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234" documentId="13_ncr:1_{D7B31631-9EC2-A043-AB5E-59F176544080}" xr6:coauthVersionLast="47" xr6:coauthVersionMax="47" xr10:uidLastSave="{06728CF4-A040-E54B-BF15-B7C54C9BE080}"/>
  <bookViews>
    <workbookView xWindow="-29160" yWindow="11280" windowWidth="23260" windowHeight="12580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293" i="1" l="1"/>
  <c r="P3673" i="1" l="1"/>
  <c r="P2476" i="1"/>
  <c r="P3675" i="1"/>
  <c r="P3676" i="1"/>
  <c r="P3677" i="1"/>
  <c r="P3678" i="1"/>
  <c r="P3679" i="1"/>
  <c r="P3680" i="1"/>
  <c r="P3681" i="1"/>
  <c r="P3682" i="1"/>
  <c r="P3683" i="1"/>
  <c r="P3684" i="1"/>
  <c r="AP3997" i="1"/>
  <c r="AQ3997" i="1"/>
  <c r="AR3997" i="1"/>
  <c r="AS3997" i="1"/>
  <c r="AT3997" i="1" s="1"/>
  <c r="I2741" i="1" l="1"/>
  <c r="Y3188" i="1" l="1"/>
  <c r="P3155" i="1"/>
  <c r="P3156" i="1"/>
  <c r="P3188" i="1"/>
  <c r="P3627" i="1"/>
  <c r="P3628" i="1"/>
  <c r="P3629" i="1"/>
  <c r="P3630" i="1"/>
  <c r="P2289" i="1"/>
  <c r="P2290" i="1"/>
  <c r="P2291" i="1"/>
  <c r="P3631" i="1"/>
  <c r="P3621" i="1"/>
  <c r="P3632" i="1"/>
  <c r="P3633" i="1"/>
  <c r="P3634" i="1"/>
  <c r="P3635" i="1"/>
  <c r="P3636" i="1"/>
  <c r="P3637" i="1"/>
  <c r="P3638" i="1"/>
  <c r="P3189" i="1"/>
  <c r="P3190" i="1"/>
  <c r="P3191" i="1"/>
  <c r="P3192" i="1"/>
  <c r="P3639" i="1"/>
  <c r="P3640" i="1"/>
  <c r="P3193" i="1"/>
  <c r="P3622" i="1"/>
  <c r="P3623" i="1"/>
  <c r="P3624" i="1"/>
  <c r="P3625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292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20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191" i="1"/>
  <c r="P1296" i="1"/>
  <c r="P1297" i="1"/>
  <c r="P1298" i="1"/>
  <c r="P1299" i="1"/>
  <c r="P1300" i="1"/>
  <c r="P1301" i="1"/>
  <c r="P1302" i="1"/>
  <c r="P1303" i="1"/>
  <c r="P1295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2293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294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304" i="1"/>
  <c r="P1476" i="1"/>
  <c r="P1511" i="1"/>
  <c r="P1602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603" i="1"/>
  <c r="P1612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3567" i="1"/>
  <c r="P2295" i="1"/>
  <c r="P2296" i="1"/>
  <c r="P2254" i="1"/>
  <c r="P2255" i="1"/>
  <c r="P2256" i="1"/>
  <c r="P2257" i="1"/>
  <c r="P2258" i="1"/>
  <c r="P2259" i="1"/>
  <c r="P2297" i="1"/>
  <c r="P2298" i="1"/>
  <c r="P3568" i="1"/>
  <c r="P3569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277" i="1"/>
  <c r="P2278" i="1"/>
  <c r="P2299" i="1"/>
  <c r="P2300" i="1"/>
  <c r="P1613" i="1"/>
  <c r="P1724" i="1"/>
  <c r="P1725" i="1"/>
  <c r="P3572" i="1"/>
  <c r="P3573" i="1"/>
  <c r="P3574" i="1"/>
  <c r="P3575" i="1"/>
  <c r="P2301" i="1"/>
  <c r="P2302" i="1"/>
  <c r="P2303" i="1"/>
  <c r="P2404" i="1"/>
  <c r="P2462" i="1"/>
  <c r="P1726" i="1"/>
  <c r="P3576" i="1"/>
  <c r="P3577" i="1"/>
  <c r="P2475" i="1"/>
  <c r="P3674" i="1"/>
  <c r="P2477" i="1"/>
  <c r="P2478" i="1"/>
  <c r="P1727" i="1"/>
  <c r="P1854" i="1"/>
  <c r="P1855" i="1"/>
  <c r="P1935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1936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149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51" i="1"/>
  <c r="P2479" i="1"/>
  <c r="P2480" i="1"/>
  <c r="P2529" i="1"/>
  <c r="P2611" i="1"/>
  <c r="P2252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53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260" i="1"/>
  <c r="P2261" i="1"/>
  <c r="P2262" i="1"/>
  <c r="P2614" i="1"/>
  <c r="P2615" i="1"/>
  <c r="P2616" i="1"/>
  <c r="P2612" i="1"/>
  <c r="P2613" i="1"/>
  <c r="P2617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18" i="1"/>
  <c r="P3578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683" i="1"/>
  <c r="P2720" i="1"/>
  <c r="P2742" i="1"/>
  <c r="P2743" i="1"/>
  <c r="P2744" i="1"/>
  <c r="P2745" i="1"/>
  <c r="P2746" i="1"/>
  <c r="P2747" i="1"/>
  <c r="P2739" i="1"/>
  <c r="P2740" i="1"/>
  <c r="P2741" i="1"/>
  <c r="P2748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49" i="1"/>
  <c r="P2750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751" i="1"/>
  <c r="P2790" i="1"/>
  <c r="P2843" i="1"/>
  <c r="P2844" i="1"/>
  <c r="P2845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63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2841" i="1"/>
  <c r="P2842" i="1"/>
  <c r="P227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276" i="1"/>
  <c r="P2279" i="1"/>
  <c r="P2280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2848" i="1"/>
  <c r="P2849" i="1"/>
  <c r="P2850" i="1"/>
  <c r="P2898" i="1"/>
  <c r="P2965" i="1"/>
  <c r="P2966" i="1"/>
  <c r="P3597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603" i="1"/>
  <c r="P3604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281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001" i="1"/>
  <c r="P3605" i="1"/>
  <c r="P3606" i="1"/>
  <c r="P3607" i="1"/>
  <c r="P2282" i="1"/>
  <c r="P2283" i="1"/>
  <c r="P2284" i="1"/>
  <c r="P3002" i="1"/>
  <c r="P3003" i="1"/>
  <c r="P3087" i="1"/>
  <c r="P3088" i="1"/>
  <c r="P3089" i="1"/>
  <c r="P3090" i="1"/>
  <c r="P3091" i="1"/>
  <c r="P3092" i="1"/>
  <c r="P3149" i="1"/>
  <c r="P3150" i="1"/>
  <c r="P3151" i="1"/>
  <c r="P3608" i="1"/>
  <c r="P3609" i="1"/>
  <c r="P3610" i="1"/>
  <c r="P3611" i="1"/>
  <c r="P3612" i="1"/>
  <c r="P3613" i="1"/>
  <c r="P3614" i="1"/>
  <c r="P3591" i="1"/>
  <c r="P3592" i="1"/>
  <c r="P2285" i="1"/>
  <c r="P2286" i="1"/>
  <c r="P2287" i="1"/>
  <c r="P3615" i="1"/>
  <c r="E615" i="1" l="1"/>
  <c r="E616" i="1"/>
  <c r="AS3616" i="1"/>
  <c r="AT3616" i="1" s="1"/>
  <c r="AS3598" i="1"/>
  <c r="AT3598" i="1" s="1"/>
  <c r="AS3599" i="1"/>
  <c r="AT3599" i="1" s="1"/>
  <c r="AS3600" i="1"/>
  <c r="AT3600" i="1" s="1"/>
  <c r="AS3601" i="1"/>
  <c r="AT3601" i="1" s="1"/>
  <c r="AS3617" i="1"/>
  <c r="AT3617" i="1" s="1"/>
  <c r="AS3618" i="1"/>
  <c r="AT3618" i="1" s="1"/>
  <c r="AS3619" i="1"/>
  <c r="AT3619" i="1" s="1"/>
  <c r="AS3620" i="1"/>
  <c r="AT3620" i="1" s="1"/>
  <c r="AS2288" i="1"/>
  <c r="AT2288" i="1" s="1"/>
  <c r="AS3626" i="1"/>
  <c r="AT3626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88" i="1"/>
  <c r="AT3188" i="1" s="1"/>
  <c r="AS3627" i="1"/>
  <c r="AT3627" i="1" s="1"/>
  <c r="AS3628" i="1"/>
  <c r="AT3628" i="1" s="1"/>
  <c r="AS3629" i="1"/>
  <c r="AT3629" i="1" s="1"/>
  <c r="AS3630" i="1"/>
  <c r="AT3630" i="1" s="1"/>
  <c r="AS2289" i="1"/>
  <c r="AT2289" i="1" s="1"/>
  <c r="AS2290" i="1"/>
  <c r="AT2290" i="1" s="1"/>
  <c r="AS2291" i="1"/>
  <c r="AT2291" i="1" s="1"/>
  <c r="AS3631" i="1"/>
  <c r="AT3631" i="1" s="1"/>
  <c r="AS3621" i="1"/>
  <c r="AT3621" i="1" s="1"/>
  <c r="AS3632" i="1"/>
  <c r="AT3632" i="1" s="1"/>
  <c r="AS3633" i="1"/>
  <c r="AT3633" i="1" s="1"/>
  <c r="AS3634" i="1"/>
  <c r="AT3634" i="1" s="1"/>
  <c r="AS3635" i="1"/>
  <c r="AT3635" i="1" s="1"/>
  <c r="AS3636" i="1"/>
  <c r="AT3636" i="1" s="1"/>
  <c r="AS3637" i="1"/>
  <c r="AT3637" i="1" s="1"/>
  <c r="AS3638" i="1"/>
  <c r="AT3638" i="1" s="1"/>
  <c r="AS3189" i="1"/>
  <c r="AT3189" i="1" s="1"/>
  <c r="AS3190" i="1"/>
  <c r="AT3190" i="1" s="1"/>
  <c r="AS3191" i="1"/>
  <c r="AT3191" i="1" s="1"/>
  <c r="AS3192" i="1"/>
  <c r="AT3192" i="1" s="1"/>
  <c r="AS3639" i="1"/>
  <c r="AT3639" i="1" s="1"/>
  <c r="AS3640" i="1"/>
  <c r="AT3640" i="1" s="1"/>
  <c r="AS3193" i="1"/>
  <c r="AT3193" i="1" s="1"/>
  <c r="AS3622" i="1"/>
  <c r="AT3622" i="1" s="1"/>
  <c r="AS3623" i="1"/>
  <c r="AT3623" i="1" s="1"/>
  <c r="AS3624" i="1"/>
  <c r="AT3624" i="1" s="1"/>
  <c r="AS3625" i="1"/>
  <c r="AT3625" i="1" s="1"/>
  <c r="AS3641" i="1"/>
  <c r="AT3641" i="1" s="1"/>
  <c r="AS3642" i="1"/>
  <c r="AT3642" i="1" s="1"/>
  <c r="AS3643" i="1"/>
  <c r="AT3643" i="1" s="1"/>
  <c r="AS3644" i="1"/>
  <c r="AT3644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64" i="1"/>
  <c r="AT3664" i="1" s="1"/>
  <c r="AS3665" i="1"/>
  <c r="AT3665" i="1" s="1"/>
  <c r="AS3666" i="1"/>
  <c r="AT3666" i="1" s="1"/>
  <c r="AS3667" i="1"/>
  <c r="AT3667" i="1" s="1"/>
  <c r="AS3668" i="1"/>
  <c r="AT3668" i="1" s="1"/>
  <c r="AS3669" i="1"/>
  <c r="AT3669" i="1" s="1"/>
  <c r="AS3670" i="1"/>
  <c r="AT3670" i="1" s="1"/>
  <c r="AS3671" i="1"/>
  <c r="AT3671" i="1" s="1"/>
  <c r="AS3672" i="1"/>
  <c r="AT3672" i="1" s="1"/>
  <c r="AS3673" i="1"/>
  <c r="AT3673" i="1" s="1"/>
  <c r="AS2476" i="1"/>
  <c r="AT2476" i="1" s="1"/>
  <c r="AS3675" i="1"/>
  <c r="AT3675" i="1" s="1"/>
  <c r="AS3676" i="1"/>
  <c r="AT3676" i="1" s="1"/>
  <c r="AS3677" i="1"/>
  <c r="AT3677" i="1" s="1"/>
  <c r="AS3678" i="1"/>
  <c r="AT3678" i="1" s="1"/>
  <c r="AS3679" i="1"/>
  <c r="AT3679" i="1" s="1"/>
  <c r="AS3680" i="1"/>
  <c r="AT3680" i="1" s="1"/>
  <c r="AS3681" i="1"/>
  <c r="AT3681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689" i="1"/>
  <c r="AT3689" i="1" s="1"/>
  <c r="AS3690" i="1"/>
  <c r="AT3690" i="1" s="1"/>
  <c r="AS3691" i="1"/>
  <c r="AT3691" i="1" s="1"/>
  <c r="AS3692" i="1"/>
  <c r="AT36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3598" i="1"/>
  <c r="AQ3598" i="1"/>
  <c r="AR3598" i="1"/>
  <c r="AP3599" i="1"/>
  <c r="AQ3599" i="1"/>
  <c r="AR3599" i="1"/>
  <c r="AP3600" i="1"/>
  <c r="AQ3600" i="1"/>
  <c r="AR3600" i="1"/>
  <c r="AP3601" i="1"/>
  <c r="AQ3601" i="1"/>
  <c r="AR3601" i="1"/>
  <c r="AP3617" i="1"/>
  <c r="AQ3617" i="1"/>
  <c r="AR3617" i="1"/>
  <c r="AP3618" i="1"/>
  <c r="AQ3618" i="1"/>
  <c r="AR3618" i="1"/>
  <c r="AP3619" i="1"/>
  <c r="AQ3619" i="1"/>
  <c r="AR3619" i="1"/>
  <c r="AP3620" i="1"/>
  <c r="AQ3620" i="1"/>
  <c r="AR3620" i="1"/>
  <c r="AP2288" i="1"/>
  <c r="AQ2288" i="1"/>
  <c r="AR2288" i="1"/>
  <c r="AP3626" i="1"/>
  <c r="AQ3626" i="1"/>
  <c r="AR3626" i="1"/>
  <c r="AP3152" i="1"/>
  <c r="AQ3152" i="1"/>
  <c r="AR3152" i="1"/>
  <c r="AP3153" i="1"/>
  <c r="AQ3153" i="1"/>
  <c r="AR3153" i="1"/>
  <c r="AP3154" i="1"/>
  <c r="AQ3154" i="1"/>
  <c r="AR3154" i="1"/>
  <c r="AP3155" i="1"/>
  <c r="AQ3155" i="1"/>
  <c r="AR3155" i="1"/>
  <c r="AP3156" i="1"/>
  <c r="AQ3156" i="1"/>
  <c r="AR3156" i="1"/>
  <c r="AP3188" i="1"/>
  <c r="AQ3188" i="1"/>
  <c r="AR3188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289" i="1"/>
  <c r="AQ2289" i="1"/>
  <c r="AR2289" i="1"/>
  <c r="AP2290" i="1"/>
  <c r="AQ2290" i="1"/>
  <c r="AR2290" i="1"/>
  <c r="AP2291" i="1"/>
  <c r="AQ2291" i="1"/>
  <c r="AR2291" i="1"/>
  <c r="AP3631" i="1"/>
  <c r="AQ3631" i="1"/>
  <c r="AR3631" i="1"/>
  <c r="AP3621" i="1"/>
  <c r="AQ3621" i="1"/>
  <c r="AR3621" i="1"/>
  <c r="AP3632" i="1"/>
  <c r="AQ3632" i="1"/>
  <c r="AR3632" i="1"/>
  <c r="AP3633" i="1"/>
  <c r="AQ3633" i="1"/>
  <c r="AR3633" i="1"/>
  <c r="AP3634" i="1"/>
  <c r="AQ3634" i="1"/>
  <c r="AR3634" i="1"/>
  <c r="AP3635" i="1"/>
  <c r="AQ3635" i="1"/>
  <c r="AR3635" i="1"/>
  <c r="AP3636" i="1"/>
  <c r="AQ3636" i="1"/>
  <c r="AR3636" i="1"/>
  <c r="AP3637" i="1"/>
  <c r="AQ3637" i="1"/>
  <c r="AR3637" i="1"/>
  <c r="AP3638" i="1"/>
  <c r="AQ3638" i="1"/>
  <c r="AR3638" i="1"/>
  <c r="AP3189" i="1"/>
  <c r="AQ3189" i="1"/>
  <c r="AR3189" i="1"/>
  <c r="AP3190" i="1"/>
  <c r="AQ3190" i="1"/>
  <c r="AR3190" i="1"/>
  <c r="AP3191" i="1"/>
  <c r="AQ3191" i="1"/>
  <c r="AR3191" i="1"/>
  <c r="AP3192" i="1"/>
  <c r="AQ3192" i="1"/>
  <c r="AR3192" i="1"/>
  <c r="AP3639" i="1"/>
  <c r="AQ3639" i="1"/>
  <c r="AR3639" i="1"/>
  <c r="AP3640" i="1"/>
  <c r="AQ3640" i="1"/>
  <c r="AR3640" i="1"/>
  <c r="AP3193" i="1"/>
  <c r="AQ3193" i="1"/>
  <c r="AR3193" i="1"/>
  <c r="AP3622" i="1"/>
  <c r="AQ3622" i="1"/>
  <c r="AR3622" i="1"/>
  <c r="AP3623" i="1"/>
  <c r="AQ3623" i="1"/>
  <c r="AR3623" i="1"/>
  <c r="AP3624" i="1"/>
  <c r="AQ3624" i="1"/>
  <c r="AR3624" i="1"/>
  <c r="AP3625" i="1"/>
  <c r="AQ3625" i="1"/>
  <c r="AR3625" i="1"/>
  <c r="AP3641" i="1"/>
  <c r="AQ3641" i="1"/>
  <c r="AR3641" i="1"/>
  <c r="AP3642" i="1"/>
  <c r="AQ3642" i="1"/>
  <c r="AR3642" i="1"/>
  <c r="AP3643" i="1"/>
  <c r="AQ3643" i="1"/>
  <c r="AR3643" i="1"/>
  <c r="AP3644" i="1"/>
  <c r="AQ3644" i="1"/>
  <c r="AR3644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64" i="1"/>
  <c r="AQ3664" i="1"/>
  <c r="AR3664" i="1"/>
  <c r="AP3665" i="1"/>
  <c r="AQ3665" i="1"/>
  <c r="AR3665" i="1"/>
  <c r="AP3666" i="1"/>
  <c r="AQ3666" i="1"/>
  <c r="AR3666" i="1"/>
  <c r="AP3667" i="1"/>
  <c r="AQ3667" i="1"/>
  <c r="AR3667" i="1"/>
  <c r="AP3668" i="1"/>
  <c r="AQ3668" i="1"/>
  <c r="AR3668" i="1"/>
  <c r="AP3669" i="1"/>
  <c r="AQ3669" i="1"/>
  <c r="AR3669" i="1"/>
  <c r="AP3670" i="1"/>
  <c r="AQ3670" i="1"/>
  <c r="AR3670" i="1"/>
  <c r="AP3671" i="1"/>
  <c r="AQ3671" i="1"/>
  <c r="AR3671" i="1"/>
  <c r="AP3672" i="1"/>
  <c r="AQ3672" i="1"/>
  <c r="AR3672" i="1"/>
  <c r="AP3673" i="1"/>
  <c r="AQ3673" i="1"/>
  <c r="AR3673" i="1"/>
  <c r="AP2476" i="1"/>
  <c r="AQ2476" i="1"/>
  <c r="AR2476" i="1"/>
  <c r="AP3675" i="1"/>
  <c r="AQ3675" i="1"/>
  <c r="AR3675" i="1"/>
  <c r="AP3676" i="1"/>
  <c r="AQ3676" i="1"/>
  <c r="AR3676" i="1"/>
  <c r="AP3677" i="1"/>
  <c r="AQ3677" i="1"/>
  <c r="AR3677" i="1"/>
  <c r="AP3678" i="1"/>
  <c r="AQ3678" i="1"/>
  <c r="AR3678" i="1"/>
  <c r="AP3679" i="1"/>
  <c r="AQ3679" i="1"/>
  <c r="AR3679" i="1"/>
  <c r="AP3680" i="1"/>
  <c r="AQ3680" i="1"/>
  <c r="AR3680" i="1"/>
  <c r="AP3681" i="1"/>
  <c r="AQ3681" i="1"/>
  <c r="AR3681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689" i="1"/>
  <c r="AQ3689" i="1"/>
  <c r="AR3689" i="1"/>
  <c r="AP3690" i="1"/>
  <c r="AQ3690" i="1"/>
  <c r="AR3690" i="1"/>
  <c r="AP3691" i="1"/>
  <c r="AQ3691" i="1"/>
  <c r="AR3691" i="1"/>
  <c r="AP3692" i="1"/>
  <c r="AQ3692" i="1"/>
  <c r="AR36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16" i="1"/>
  <c r="AF3616" i="1" s="1"/>
  <c r="AG3616" i="1"/>
  <c r="AH3616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3601" i="1"/>
  <c r="AF3601" i="1" s="1"/>
  <c r="AG3601" i="1"/>
  <c r="AH3601" i="1"/>
  <c r="AC3598" i="1"/>
  <c r="AC3599" i="1"/>
  <c r="AC3600" i="1"/>
  <c r="AC3601" i="1"/>
  <c r="Y3616" i="1"/>
  <c r="Z3616" i="1"/>
  <c r="Y3598" i="1"/>
  <c r="Z3598" i="1"/>
  <c r="Y3599" i="1"/>
  <c r="Z3599" i="1"/>
  <c r="Y3600" i="1"/>
  <c r="Z3600" i="1"/>
  <c r="Y3601" i="1"/>
  <c r="Z3601" i="1"/>
  <c r="Y3617" i="1"/>
  <c r="Z3617" i="1"/>
  <c r="Y3618" i="1"/>
  <c r="Z3618" i="1"/>
  <c r="Y3619" i="1"/>
  <c r="Z3619" i="1"/>
  <c r="Y3620" i="1"/>
  <c r="Z3620" i="1"/>
  <c r="Y2288" i="1"/>
  <c r="Z2288" i="1"/>
  <c r="AB2288" i="1" s="1"/>
  <c r="AC2288" i="1" s="1"/>
  <c r="Y3626" i="1"/>
  <c r="Z3626" i="1"/>
  <c r="Y3152" i="1"/>
  <c r="Z3152" i="1"/>
  <c r="Y3153" i="1"/>
  <c r="Z3153" i="1"/>
  <c r="Y3154" i="1"/>
  <c r="Z3154" i="1"/>
  <c r="I3616" i="1"/>
  <c r="E3616" i="1" s="1"/>
  <c r="I3598" i="1"/>
  <c r="I3599" i="1"/>
  <c r="I3600" i="1"/>
  <c r="I3601" i="1"/>
  <c r="I3617" i="1"/>
  <c r="E3617" i="1" s="1"/>
  <c r="I3618" i="1"/>
  <c r="E3618" i="1" s="1"/>
  <c r="I3619" i="1"/>
  <c r="E3619" i="1" s="1"/>
  <c r="I3620" i="1"/>
  <c r="E3620" i="1" s="1"/>
  <c r="I2288" i="1"/>
  <c r="I3626" i="1"/>
  <c r="E3626" i="1" s="1"/>
  <c r="I3152" i="1"/>
  <c r="I3153" i="1"/>
  <c r="I3154" i="1"/>
  <c r="I3155" i="1"/>
  <c r="I3156" i="1"/>
  <c r="I3188" i="1"/>
  <c r="I3627" i="1"/>
  <c r="E3627" i="1" s="1"/>
  <c r="D2282" i="1"/>
  <c r="D2283" i="1"/>
  <c r="D2284" i="1"/>
  <c r="D3002" i="1"/>
  <c r="D3003" i="1"/>
  <c r="D3087" i="1"/>
  <c r="D3088" i="1"/>
  <c r="D3089" i="1"/>
  <c r="D3090" i="1"/>
  <c r="D3091" i="1"/>
  <c r="D3092" i="1"/>
  <c r="D3149" i="1"/>
  <c r="D3150" i="1"/>
  <c r="D3151" i="1"/>
  <c r="D3608" i="1"/>
  <c r="D3609" i="1"/>
  <c r="D3610" i="1"/>
  <c r="D3611" i="1"/>
  <c r="D3612" i="1"/>
  <c r="D3613" i="1"/>
  <c r="D3614" i="1"/>
  <c r="D3591" i="1"/>
  <c r="D3592" i="1"/>
  <c r="D2285" i="1"/>
  <c r="D2286" i="1"/>
  <c r="D2287" i="1"/>
  <c r="D3615" i="1"/>
  <c r="D3616" i="1"/>
  <c r="A3616" i="1" s="1"/>
  <c r="D3598" i="1"/>
  <c r="A3598" i="1" s="1"/>
  <c r="D3599" i="1"/>
  <c r="A3599" i="1" s="1"/>
  <c r="D3600" i="1"/>
  <c r="A3600" i="1" s="1"/>
  <c r="D3601" i="1"/>
  <c r="A3601" i="1" s="1"/>
  <c r="D3617" i="1"/>
  <c r="D3618" i="1"/>
  <c r="D3619" i="1"/>
  <c r="D3620" i="1"/>
  <c r="AB3620" i="1" l="1"/>
  <c r="AC3620" i="1" s="1"/>
  <c r="AB3619" i="1"/>
  <c r="AC3619" i="1" s="1"/>
  <c r="AB3618" i="1"/>
  <c r="AC3618" i="1" s="1"/>
  <c r="AB3617" i="1"/>
  <c r="AC3617" i="1" s="1"/>
  <c r="AB3616" i="1"/>
  <c r="AC3616" i="1" s="1"/>
  <c r="Z1311" i="1"/>
  <c r="Z3302" i="1"/>
  <c r="Z1860" i="1"/>
  <c r="Z2561" i="1"/>
  <c r="Z2299" i="1"/>
  <c r="Z2300" i="1"/>
  <c r="Z855" i="1"/>
  <c r="AS2750" i="1"/>
  <c r="AS2680" i="1"/>
  <c r="AS2681" i="1"/>
  <c r="AS2682" i="1"/>
  <c r="AS2748" i="1"/>
  <c r="AS2479" i="1"/>
  <c r="AS2480" i="1"/>
  <c r="AS2529" i="1"/>
  <c r="AS134" i="1"/>
  <c r="AS3578" i="1"/>
  <c r="AS2617" i="1"/>
  <c r="AS2618" i="1"/>
  <c r="AS2611" i="1"/>
  <c r="AS2281" i="1"/>
  <c r="AS2273" i="1"/>
  <c r="AS2276" i="1"/>
  <c r="AS2279" i="1"/>
  <c r="AS2280" i="1"/>
  <c r="AS3605" i="1"/>
  <c r="AS2850" i="1"/>
  <c r="AS2898" i="1"/>
  <c r="AS3001" i="1"/>
  <c r="AS2260" i="1"/>
  <c r="AS2261" i="1"/>
  <c r="AS2262" i="1"/>
  <c r="AS1287" i="1"/>
  <c r="AS1288" i="1"/>
  <c r="AS2843" i="1"/>
  <c r="AS2844" i="1"/>
  <c r="AS2845" i="1"/>
  <c r="AS2263" i="1"/>
  <c r="AS2841" i="1"/>
  <c r="AS2295" i="1"/>
  <c r="AS2296" i="1"/>
  <c r="AS2297" i="1"/>
  <c r="AS2298" i="1"/>
  <c r="AS1289" i="1"/>
  <c r="AS1290" i="1"/>
  <c r="AS1291" i="1"/>
  <c r="AS1726" i="1"/>
  <c r="AS2842" i="1"/>
  <c r="AS3606" i="1"/>
  <c r="AS3607" i="1"/>
  <c r="AS2848" i="1"/>
  <c r="AS2849" i="1"/>
  <c r="AS3603" i="1"/>
  <c r="AS3604" i="1"/>
  <c r="AS2252" i="1"/>
  <c r="AS2253" i="1"/>
  <c r="AS700" i="1"/>
  <c r="AS721" i="1"/>
  <c r="AS748" i="1"/>
  <c r="AS749" i="1"/>
  <c r="AS2282" i="1"/>
  <c r="AS2283" i="1"/>
  <c r="AS2284" i="1"/>
  <c r="AS3002" i="1"/>
  <c r="AS3003" i="1"/>
  <c r="AS3087" i="1"/>
  <c r="AS3088" i="1"/>
  <c r="AS3089" i="1"/>
  <c r="AS3090" i="1"/>
  <c r="AS3091" i="1"/>
  <c r="AS3092" i="1"/>
  <c r="AS3149" i="1"/>
  <c r="AS3150" i="1"/>
  <c r="AS3151" i="1"/>
  <c r="AS3608" i="1"/>
  <c r="AS3609" i="1"/>
  <c r="AS3610" i="1"/>
  <c r="AS3611" i="1"/>
  <c r="AS3612" i="1"/>
  <c r="AS3613" i="1"/>
  <c r="AS3614" i="1"/>
  <c r="AS3591" i="1"/>
  <c r="AS3592" i="1"/>
  <c r="AS2285" i="1"/>
  <c r="AS2286" i="1"/>
  <c r="AS2287" i="1"/>
  <c r="AS3615" i="1"/>
  <c r="AP2750" i="1"/>
  <c r="AQ2750" i="1"/>
  <c r="AR2750" i="1"/>
  <c r="AP2680" i="1"/>
  <c r="AQ2680" i="1"/>
  <c r="AR2680" i="1"/>
  <c r="AP2681" i="1"/>
  <c r="AQ2681" i="1"/>
  <c r="AR2681" i="1"/>
  <c r="AP2682" i="1"/>
  <c r="AQ2682" i="1"/>
  <c r="AR2682" i="1"/>
  <c r="AP2748" i="1"/>
  <c r="AQ2748" i="1"/>
  <c r="AR2748" i="1"/>
  <c r="AP2479" i="1"/>
  <c r="AQ2479" i="1"/>
  <c r="AR2479" i="1"/>
  <c r="AP2480" i="1"/>
  <c r="AQ2480" i="1"/>
  <c r="AR2480" i="1"/>
  <c r="AP2529" i="1"/>
  <c r="AQ2529" i="1"/>
  <c r="AR2529" i="1"/>
  <c r="AP134" i="1"/>
  <c r="AQ134" i="1"/>
  <c r="AR134" i="1"/>
  <c r="AP3578" i="1"/>
  <c r="AQ3578" i="1"/>
  <c r="AR3578" i="1"/>
  <c r="AP2617" i="1"/>
  <c r="AQ2617" i="1"/>
  <c r="AR2617" i="1"/>
  <c r="AP2618" i="1"/>
  <c r="AQ2618" i="1"/>
  <c r="AR2618" i="1"/>
  <c r="AP2611" i="1"/>
  <c r="AQ2611" i="1"/>
  <c r="AR2611" i="1"/>
  <c r="AP2281" i="1"/>
  <c r="AQ2281" i="1"/>
  <c r="AR2281" i="1"/>
  <c r="AP2273" i="1"/>
  <c r="AQ2273" i="1"/>
  <c r="AR2273" i="1"/>
  <c r="AP2276" i="1"/>
  <c r="AQ2276" i="1"/>
  <c r="AR2276" i="1"/>
  <c r="AP2279" i="1"/>
  <c r="AQ2279" i="1"/>
  <c r="AR2279" i="1"/>
  <c r="AP2280" i="1"/>
  <c r="AQ2280" i="1"/>
  <c r="AR2280" i="1"/>
  <c r="AP3605" i="1"/>
  <c r="AQ3605" i="1"/>
  <c r="AR3605" i="1"/>
  <c r="AP2850" i="1"/>
  <c r="AQ2850" i="1"/>
  <c r="AR2850" i="1"/>
  <c r="AP2898" i="1"/>
  <c r="AQ2898" i="1"/>
  <c r="AR2898" i="1"/>
  <c r="AP3001" i="1"/>
  <c r="AQ3001" i="1"/>
  <c r="AR3001" i="1"/>
  <c r="AP2260" i="1"/>
  <c r="AQ2260" i="1"/>
  <c r="AR2260" i="1"/>
  <c r="AP2261" i="1"/>
  <c r="AQ2261" i="1"/>
  <c r="AR2261" i="1"/>
  <c r="AP2262" i="1"/>
  <c r="AQ2262" i="1"/>
  <c r="AR2262" i="1"/>
  <c r="AP1287" i="1"/>
  <c r="AQ1287" i="1"/>
  <c r="AR1287" i="1"/>
  <c r="AP1288" i="1"/>
  <c r="AQ1288" i="1"/>
  <c r="AR1288" i="1"/>
  <c r="AP2843" i="1"/>
  <c r="AQ2843" i="1"/>
  <c r="AR2843" i="1"/>
  <c r="AP2844" i="1"/>
  <c r="AQ2844" i="1"/>
  <c r="AR2844" i="1"/>
  <c r="AP2845" i="1"/>
  <c r="AQ2845" i="1"/>
  <c r="AR2845" i="1"/>
  <c r="AP2263" i="1"/>
  <c r="AQ2263" i="1"/>
  <c r="AR2263" i="1"/>
  <c r="AP2841" i="1"/>
  <c r="AQ2841" i="1"/>
  <c r="AR2841" i="1"/>
  <c r="AP2295" i="1"/>
  <c r="AQ2295" i="1"/>
  <c r="AR2295" i="1"/>
  <c r="AP2296" i="1"/>
  <c r="AQ2296" i="1"/>
  <c r="AR2296" i="1"/>
  <c r="AP2297" i="1"/>
  <c r="AQ2297" i="1"/>
  <c r="AR2297" i="1"/>
  <c r="AP2298" i="1"/>
  <c r="AQ2298" i="1"/>
  <c r="AR2298" i="1"/>
  <c r="AP1289" i="1"/>
  <c r="AQ1289" i="1"/>
  <c r="AR1289" i="1"/>
  <c r="AP1290" i="1"/>
  <c r="AQ1290" i="1"/>
  <c r="AR1290" i="1"/>
  <c r="AP1291" i="1"/>
  <c r="AQ1291" i="1"/>
  <c r="AR1291" i="1"/>
  <c r="AP1726" i="1"/>
  <c r="AQ1726" i="1"/>
  <c r="AR1726" i="1"/>
  <c r="AP2842" i="1"/>
  <c r="AQ2842" i="1"/>
  <c r="AR2842" i="1"/>
  <c r="AP3606" i="1"/>
  <c r="AQ3606" i="1"/>
  <c r="AR3606" i="1"/>
  <c r="AP3607" i="1"/>
  <c r="AQ3607" i="1"/>
  <c r="AR3607" i="1"/>
  <c r="AP2848" i="1"/>
  <c r="AQ2848" i="1"/>
  <c r="AR2848" i="1"/>
  <c r="AP2849" i="1"/>
  <c r="AQ2849" i="1"/>
  <c r="AR2849" i="1"/>
  <c r="AP3603" i="1"/>
  <c r="AQ3603" i="1"/>
  <c r="AR3603" i="1"/>
  <c r="AP3604" i="1"/>
  <c r="AQ3604" i="1"/>
  <c r="AR3604" i="1"/>
  <c r="AP2252" i="1"/>
  <c r="AQ2252" i="1"/>
  <c r="AR2252" i="1"/>
  <c r="AP2253" i="1"/>
  <c r="AQ2253" i="1"/>
  <c r="AR2253" i="1"/>
  <c r="AP700" i="1"/>
  <c r="AQ700" i="1"/>
  <c r="AR700" i="1"/>
  <c r="AP721" i="1"/>
  <c r="AQ721" i="1"/>
  <c r="AR721" i="1"/>
  <c r="AP748" i="1"/>
  <c r="AQ748" i="1"/>
  <c r="AR748" i="1"/>
  <c r="AP749" i="1"/>
  <c r="AQ749" i="1"/>
  <c r="AR749" i="1"/>
  <c r="AP2282" i="1"/>
  <c r="AQ2282" i="1"/>
  <c r="AR2282" i="1"/>
  <c r="AP2283" i="1"/>
  <c r="AQ2283" i="1"/>
  <c r="AR2283" i="1"/>
  <c r="AP2284" i="1"/>
  <c r="AQ2284" i="1"/>
  <c r="AR2284" i="1"/>
  <c r="AP3002" i="1"/>
  <c r="AQ3002" i="1"/>
  <c r="AR3002" i="1"/>
  <c r="AP3003" i="1"/>
  <c r="AQ3003" i="1"/>
  <c r="AR3003" i="1"/>
  <c r="AP3087" i="1"/>
  <c r="AQ3087" i="1"/>
  <c r="AR3087" i="1"/>
  <c r="AP3088" i="1"/>
  <c r="AQ3088" i="1"/>
  <c r="AR3088" i="1"/>
  <c r="AP3089" i="1"/>
  <c r="AQ3089" i="1"/>
  <c r="AR3089" i="1"/>
  <c r="AP3090" i="1"/>
  <c r="AQ3090" i="1"/>
  <c r="AR3090" i="1"/>
  <c r="AP3091" i="1"/>
  <c r="AQ3091" i="1"/>
  <c r="AR3091" i="1"/>
  <c r="AP3092" i="1"/>
  <c r="AQ3092" i="1"/>
  <c r="AR3092" i="1"/>
  <c r="AP3149" i="1"/>
  <c r="AQ3149" i="1"/>
  <c r="AR3149" i="1"/>
  <c r="AP3150" i="1"/>
  <c r="AQ3150" i="1"/>
  <c r="AR3150" i="1"/>
  <c r="AP3151" i="1"/>
  <c r="AQ3151" i="1"/>
  <c r="AR3151" i="1"/>
  <c r="AP3608" i="1"/>
  <c r="AQ3608" i="1"/>
  <c r="AR3608" i="1"/>
  <c r="AP3609" i="1"/>
  <c r="AQ3609" i="1"/>
  <c r="AR3609" i="1"/>
  <c r="AP3610" i="1"/>
  <c r="AQ3610" i="1"/>
  <c r="AR3610" i="1"/>
  <c r="AP3611" i="1"/>
  <c r="AQ3611" i="1"/>
  <c r="AR3611" i="1"/>
  <c r="AP3612" i="1"/>
  <c r="AQ3612" i="1"/>
  <c r="AR3612" i="1"/>
  <c r="AP3613" i="1"/>
  <c r="AQ3613" i="1"/>
  <c r="AR3613" i="1"/>
  <c r="AP3614" i="1"/>
  <c r="AQ3614" i="1"/>
  <c r="AR3614" i="1"/>
  <c r="AP3591" i="1"/>
  <c r="AQ3591" i="1"/>
  <c r="AR3591" i="1"/>
  <c r="AP3592" i="1"/>
  <c r="AQ3592" i="1"/>
  <c r="AR3592" i="1"/>
  <c r="AP2285" i="1"/>
  <c r="AQ2285" i="1"/>
  <c r="AR2285" i="1"/>
  <c r="AP2286" i="1"/>
  <c r="AQ2286" i="1"/>
  <c r="AR2286" i="1"/>
  <c r="AP2287" i="1"/>
  <c r="AQ2287" i="1"/>
  <c r="AR2287" i="1"/>
  <c r="AP3615" i="1"/>
  <c r="AQ3615" i="1"/>
  <c r="AR3615" i="1"/>
  <c r="AP3616" i="1"/>
  <c r="AQ3616" i="1"/>
  <c r="AR3616" i="1"/>
  <c r="AE1886" i="1"/>
  <c r="AF1886" i="1" s="1"/>
  <c r="AG1886" i="1"/>
  <c r="AH1886" i="1"/>
  <c r="AE2751" i="1"/>
  <c r="AF2751" i="1" s="1"/>
  <c r="AG2751" i="1"/>
  <c r="AH2751" i="1"/>
  <c r="AE2790" i="1"/>
  <c r="AF2790" i="1" s="1"/>
  <c r="AG2790" i="1"/>
  <c r="AH2790" i="1"/>
  <c r="AE2292" i="1"/>
  <c r="AF2292" i="1" s="1"/>
  <c r="AG2292" i="1"/>
  <c r="AH2292" i="1"/>
  <c r="AE2750" i="1"/>
  <c r="AF2750" i="1" s="1"/>
  <c r="AG2750" i="1"/>
  <c r="AH2750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2748" i="1"/>
  <c r="AF2748" i="1" s="1"/>
  <c r="AG2748" i="1"/>
  <c r="AH2748" i="1"/>
  <c r="AE2479" i="1"/>
  <c r="AF2479" i="1" s="1"/>
  <c r="AG2479" i="1"/>
  <c r="AH2479" i="1"/>
  <c r="AE2480" i="1"/>
  <c r="AF2480" i="1" s="1"/>
  <c r="AG2480" i="1"/>
  <c r="AH2480" i="1"/>
  <c r="AE2529" i="1"/>
  <c r="AF2529" i="1" s="1"/>
  <c r="AG2529" i="1"/>
  <c r="AH2529" i="1"/>
  <c r="AE134" i="1"/>
  <c r="AF134" i="1" s="1"/>
  <c r="AG134" i="1"/>
  <c r="AH134" i="1"/>
  <c r="AE3578" i="1"/>
  <c r="AF3578" i="1" s="1"/>
  <c r="AG3578" i="1"/>
  <c r="AH3578" i="1"/>
  <c r="AE2617" i="1"/>
  <c r="AF2617" i="1" s="1"/>
  <c r="AG2617" i="1"/>
  <c r="AH2617" i="1"/>
  <c r="AE2618" i="1"/>
  <c r="AF2618" i="1" s="1"/>
  <c r="AG2618" i="1"/>
  <c r="AH2618" i="1"/>
  <c r="AE2611" i="1"/>
  <c r="AF2611" i="1" s="1"/>
  <c r="AG2611" i="1"/>
  <c r="AH2611" i="1"/>
  <c r="AE2281" i="1"/>
  <c r="AF2281" i="1" s="1"/>
  <c r="AG2281" i="1"/>
  <c r="AH2281" i="1"/>
  <c r="AE2273" i="1"/>
  <c r="AF2273" i="1" s="1"/>
  <c r="AG2273" i="1"/>
  <c r="AH2273" i="1"/>
  <c r="AE2276" i="1"/>
  <c r="AF2276" i="1" s="1"/>
  <c r="AG2276" i="1"/>
  <c r="AH2276" i="1"/>
  <c r="AE2279" i="1"/>
  <c r="AF2279" i="1" s="1"/>
  <c r="AG2279" i="1"/>
  <c r="AH2279" i="1"/>
  <c r="AE2280" i="1"/>
  <c r="AF2280" i="1" s="1"/>
  <c r="AG2280" i="1"/>
  <c r="AH2280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01" i="1"/>
  <c r="AF3001" i="1" s="1"/>
  <c r="AG3001" i="1"/>
  <c r="AH3001" i="1"/>
  <c r="AE2260" i="1"/>
  <c r="AF2260" i="1" s="1"/>
  <c r="AG2260" i="1"/>
  <c r="AH2260" i="1"/>
  <c r="AE2261" i="1"/>
  <c r="AF2261" i="1" s="1"/>
  <c r="AG2261" i="1"/>
  <c r="AH2261" i="1"/>
  <c r="AE2262" i="1"/>
  <c r="AF2262" i="1" s="1"/>
  <c r="AG2262" i="1"/>
  <c r="AH2262" i="1"/>
  <c r="AE1287" i="1"/>
  <c r="AF1287" i="1" s="1"/>
  <c r="AG1287" i="1"/>
  <c r="AH1287" i="1"/>
  <c r="AE1288" i="1"/>
  <c r="AF1288" i="1" s="1"/>
  <c r="AG1288" i="1"/>
  <c r="AH1288" i="1"/>
  <c r="AE2843" i="1"/>
  <c r="AF2843" i="1" s="1"/>
  <c r="AG2843" i="1"/>
  <c r="AH2843" i="1"/>
  <c r="AE2844" i="1"/>
  <c r="AF2844" i="1" s="1"/>
  <c r="AG2844" i="1"/>
  <c r="AH2844" i="1"/>
  <c r="AE2845" i="1"/>
  <c r="AF2845" i="1" s="1"/>
  <c r="AG2845" i="1"/>
  <c r="AH2845" i="1"/>
  <c r="AE2263" i="1"/>
  <c r="AF2263" i="1" s="1"/>
  <c r="AG2263" i="1"/>
  <c r="AH2263" i="1"/>
  <c r="AE2841" i="1"/>
  <c r="AF2841" i="1" s="1"/>
  <c r="AG2841" i="1"/>
  <c r="AH2841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2298" i="1"/>
  <c r="AF2298" i="1" s="1"/>
  <c r="AG2298" i="1"/>
  <c r="AH2298" i="1"/>
  <c r="AE1289" i="1"/>
  <c r="AF1289" i="1" s="1"/>
  <c r="AG1289" i="1"/>
  <c r="AH1289" i="1"/>
  <c r="AE1290" i="1"/>
  <c r="AF1290" i="1" s="1"/>
  <c r="AG1290" i="1"/>
  <c r="AH1290" i="1"/>
  <c r="AE1291" i="1"/>
  <c r="AF1291" i="1" s="1"/>
  <c r="AG1291" i="1"/>
  <c r="AH1291" i="1"/>
  <c r="AE1726" i="1"/>
  <c r="AF1726" i="1" s="1"/>
  <c r="AG1726" i="1"/>
  <c r="AH1726" i="1"/>
  <c r="AE2842" i="1"/>
  <c r="AF2842" i="1" s="1"/>
  <c r="AG2842" i="1"/>
  <c r="AH2842" i="1"/>
  <c r="AE3606" i="1"/>
  <c r="AF3606" i="1" s="1"/>
  <c r="AG3606" i="1"/>
  <c r="AH3606" i="1"/>
  <c r="AE3607" i="1"/>
  <c r="AF3607" i="1" s="1"/>
  <c r="AG3607" i="1"/>
  <c r="AH3607" i="1"/>
  <c r="AE2848" i="1"/>
  <c r="AF2848" i="1" s="1"/>
  <c r="AG2848" i="1"/>
  <c r="AH2848" i="1"/>
  <c r="AE2849" i="1"/>
  <c r="AF2849" i="1" s="1"/>
  <c r="AG2849" i="1"/>
  <c r="AH2849" i="1"/>
  <c r="AE3603" i="1"/>
  <c r="AF3603" i="1" s="1"/>
  <c r="AG3603" i="1"/>
  <c r="AH3603" i="1"/>
  <c r="AE3604" i="1"/>
  <c r="AF3604" i="1" s="1"/>
  <c r="AG3604" i="1"/>
  <c r="AH3604" i="1"/>
  <c r="AE2252" i="1"/>
  <c r="AF2252" i="1" s="1"/>
  <c r="AG2252" i="1"/>
  <c r="AH2252" i="1"/>
  <c r="AE2253" i="1"/>
  <c r="AF2253" i="1" s="1"/>
  <c r="AG2253" i="1"/>
  <c r="AH2253" i="1"/>
  <c r="AE700" i="1"/>
  <c r="AF700" i="1" s="1"/>
  <c r="AG700" i="1"/>
  <c r="AH700" i="1"/>
  <c r="AE721" i="1"/>
  <c r="AF721" i="1" s="1"/>
  <c r="AG721" i="1"/>
  <c r="AH721" i="1"/>
  <c r="AE748" i="1"/>
  <c r="AF748" i="1" s="1"/>
  <c r="AG748" i="1"/>
  <c r="AH748" i="1"/>
  <c r="AE749" i="1"/>
  <c r="AF749" i="1" s="1"/>
  <c r="AG749" i="1"/>
  <c r="AH749" i="1"/>
  <c r="AE2282" i="1"/>
  <c r="AF2282" i="1" s="1"/>
  <c r="AG2282" i="1"/>
  <c r="AH2282" i="1"/>
  <c r="AE2283" i="1"/>
  <c r="AF2283" i="1" s="1"/>
  <c r="AG2283" i="1"/>
  <c r="AH2283" i="1"/>
  <c r="AE2284" i="1"/>
  <c r="AF2284" i="1" s="1"/>
  <c r="AG2284" i="1"/>
  <c r="AH2284" i="1"/>
  <c r="AE3002" i="1"/>
  <c r="AF3002" i="1" s="1"/>
  <c r="AG3002" i="1"/>
  <c r="AH3002" i="1"/>
  <c r="AE3003" i="1"/>
  <c r="AF3003" i="1" s="1"/>
  <c r="AG3003" i="1"/>
  <c r="AH3003" i="1"/>
  <c r="AE3087" i="1"/>
  <c r="AF3087" i="1" s="1"/>
  <c r="AG3087" i="1"/>
  <c r="AH3087" i="1"/>
  <c r="AE3088" i="1"/>
  <c r="AF3088" i="1" s="1"/>
  <c r="AG3088" i="1"/>
  <c r="AH3088" i="1"/>
  <c r="AE3089" i="1"/>
  <c r="AF3089" i="1" s="1"/>
  <c r="AG3089" i="1"/>
  <c r="AH308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149" i="1"/>
  <c r="AF3149" i="1" s="1"/>
  <c r="AG3149" i="1"/>
  <c r="AH3149" i="1"/>
  <c r="AE3150" i="1"/>
  <c r="AF3150" i="1" s="1"/>
  <c r="AG3150" i="1"/>
  <c r="AH3150" i="1"/>
  <c r="AE3151" i="1"/>
  <c r="AF3151" i="1" s="1"/>
  <c r="AG3151" i="1"/>
  <c r="AH3151" i="1"/>
  <c r="AE3608" i="1"/>
  <c r="AF3608" i="1" s="1"/>
  <c r="AG3608" i="1"/>
  <c r="AH3608" i="1"/>
  <c r="AE3609" i="1"/>
  <c r="AF3609" i="1" s="1"/>
  <c r="AG3609" i="1"/>
  <c r="AH3609" i="1"/>
  <c r="AE3610" i="1"/>
  <c r="AF3610" i="1" s="1"/>
  <c r="AG3610" i="1"/>
  <c r="AH3610" i="1"/>
  <c r="AE3611" i="1"/>
  <c r="AF3611" i="1" s="1"/>
  <c r="AG3611" i="1"/>
  <c r="AH3611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591" i="1"/>
  <c r="AF3591" i="1" s="1"/>
  <c r="AG3591" i="1"/>
  <c r="AH3591" i="1"/>
  <c r="AE3592" i="1"/>
  <c r="AF3592" i="1" s="1"/>
  <c r="AG3592" i="1"/>
  <c r="AH3592" i="1"/>
  <c r="AE2285" i="1"/>
  <c r="AF2285" i="1" s="1"/>
  <c r="AG2285" i="1"/>
  <c r="AH2285" i="1"/>
  <c r="AE2286" i="1"/>
  <c r="AF2286" i="1" s="1"/>
  <c r="AG2286" i="1"/>
  <c r="AH2286" i="1"/>
  <c r="AE2287" i="1"/>
  <c r="AF2287" i="1" s="1"/>
  <c r="AG2287" i="1"/>
  <c r="AH2287" i="1"/>
  <c r="AE3615" i="1"/>
  <c r="AF3615" i="1" s="1"/>
  <c r="AG3615" i="1"/>
  <c r="AH3615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620" i="1"/>
  <c r="AF3620" i="1" s="1"/>
  <c r="AG3620" i="1"/>
  <c r="AH3620" i="1"/>
  <c r="AE2288" i="1"/>
  <c r="AF2288" i="1" s="1"/>
  <c r="AG2288" i="1"/>
  <c r="AH2288" i="1"/>
  <c r="AE3626" i="1"/>
  <c r="AF3626" i="1" s="1"/>
  <c r="AG3626" i="1"/>
  <c r="AH3626" i="1"/>
  <c r="AE3152" i="1"/>
  <c r="AF3152" i="1" s="1"/>
  <c r="AG3152" i="1"/>
  <c r="AH3152" i="1"/>
  <c r="AE3153" i="1"/>
  <c r="AF3153" i="1" s="1"/>
  <c r="AG3153" i="1"/>
  <c r="AH3153" i="1"/>
  <c r="AE3154" i="1"/>
  <c r="AF3154" i="1" s="1"/>
  <c r="AG3154" i="1"/>
  <c r="AH3154" i="1"/>
  <c r="AE3155" i="1"/>
  <c r="AF3155" i="1" s="1"/>
  <c r="AG3155" i="1"/>
  <c r="AH3155" i="1"/>
  <c r="AE3156" i="1"/>
  <c r="AF3156" i="1" s="1"/>
  <c r="AG3156" i="1"/>
  <c r="AH3156" i="1"/>
  <c r="AE3188" i="1"/>
  <c r="AF3188" i="1" s="1"/>
  <c r="AG3188" i="1"/>
  <c r="AH3188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289" i="1"/>
  <c r="AF2289" i="1" s="1"/>
  <c r="AG2289" i="1"/>
  <c r="AH2289" i="1"/>
  <c r="AE2290" i="1"/>
  <c r="AF2290" i="1" s="1"/>
  <c r="AG2290" i="1"/>
  <c r="AH2290" i="1"/>
  <c r="AE2291" i="1"/>
  <c r="AF2291" i="1" s="1"/>
  <c r="AG2291" i="1"/>
  <c r="AH2291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33" i="1"/>
  <c r="AF3633" i="1" s="1"/>
  <c r="AG3633" i="1"/>
  <c r="AH3633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37" i="1"/>
  <c r="AF3637" i="1" s="1"/>
  <c r="AG3637" i="1"/>
  <c r="AH3637" i="1"/>
  <c r="AE3638" i="1"/>
  <c r="AF3638" i="1" s="1"/>
  <c r="AG3638" i="1"/>
  <c r="AH3638" i="1"/>
  <c r="AE3189" i="1"/>
  <c r="AF3189" i="1" s="1"/>
  <c r="AG3189" i="1"/>
  <c r="AH3189" i="1"/>
  <c r="AE3190" i="1"/>
  <c r="AF3190" i="1" s="1"/>
  <c r="AG3190" i="1"/>
  <c r="AH3190" i="1"/>
  <c r="AE3191" i="1"/>
  <c r="AF3191" i="1" s="1"/>
  <c r="AG3191" i="1"/>
  <c r="AH3191" i="1"/>
  <c r="AE3192" i="1"/>
  <c r="AF3192" i="1" s="1"/>
  <c r="AG3192" i="1"/>
  <c r="AH3192" i="1"/>
  <c r="AE3639" i="1"/>
  <c r="AF3639" i="1" s="1"/>
  <c r="AG3639" i="1"/>
  <c r="AH3639" i="1"/>
  <c r="AE3640" i="1"/>
  <c r="AF3640" i="1" s="1"/>
  <c r="AG3640" i="1"/>
  <c r="AH3640" i="1"/>
  <c r="AE3193" i="1"/>
  <c r="AF3193" i="1" s="1"/>
  <c r="AG3193" i="1"/>
  <c r="AH3193" i="1"/>
  <c r="AE3622" i="1"/>
  <c r="AF3622" i="1" s="1"/>
  <c r="AG3622" i="1"/>
  <c r="AH3622" i="1"/>
  <c r="AE3623" i="1"/>
  <c r="AF3623" i="1" s="1"/>
  <c r="AG3623" i="1"/>
  <c r="AH3623" i="1"/>
  <c r="AE3624" i="1"/>
  <c r="AF3624" i="1" s="1"/>
  <c r="AG3624" i="1"/>
  <c r="AH3624" i="1"/>
  <c r="AE3625" i="1"/>
  <c r="AF3625" i="1" s="1"/>
  <c r="AG3625" i="1"/>
  <c r="AH3625" i="1"/>
  <c r="AE3641" i="1"/>
  <c r="AF3641" i="1" s="1"/>
  <c r="AG3641" i="1"/>
  <c r="AH3641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64" i="1"/>
  <c r="AF3664" i="1" s="1"/>
  <c r="AG3664" i="1"/>
  <c r="AH3664" i="1"/>
  <c r="AE3665" i="1"/>
  <c r="AF3665" i="1" s="1"/>
  <c r="AG3665" i="1"/>
  <c r="AH3665" i="1"/>
  <c r="AE3666" i="1"/>
  <c r="AF3666" i="1" s="1"/>
  <c r="AG3666" i="1"/>
  <c r="AH3666" i="1"/>
  <c r="AE3667" i="1"/>
  <c r="AF3667" i="1" s="1"/>
  <c r="AG3667" i="1"/>
  <c r="AH3667" i="1"/>
  <c r="AE3668" i="1"/>
  <c r="AF3668" i="1" s="1"/>
  <c r="AG3668" i="1"/>
  <c r="AH3668" i="1"/>
  <c r="AE3669" i="1"/>
  <c r="AF3669" i="1" s="1"/>
  <c r="AG3669" i="1"/>
  <c r="AH3669" i="1"/>
  <c r="AE3670" i="1"/>
  <c r="AF3670" i="1" s="1"/>
  <c r="AG3670" i="1"/>
  <c r="AH3670" i="1"/>
  <c r="AE3671" i="1"/>
  <c r="AF3671" i="1" s="1"/>
  <c r="AG3671" i="1"/>
  <c r="AH3671" i="1"/>
  <c r="AE3672" i="1"/>
  <c r="AF3672" i="1" s="1"/>
  <c r="AG3672" i="1"/>
  <c r="AH3672" i="1"/>
  <c r="AE3673" i="1"/>
  <c r="AF3673" i="1" s="1"/>
  <c r="AG3673" i="1"/>
  <c r="AH3673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80" i="1"/>
  <c r="AF3680" i="1" s="1"/>
  <c r="AG3680" i="1"/>
  <c r="AH3680" i="1"/>
  <c r="AE3681" i="1"/>
  <c r="AF3681" i="1" s="1"/>
  <c r="AG3681" i="1"/>
  <c r="AH3681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689" i="1"/>
  <c r="AF3689" i="1" s="1"/>
  <c r="AG3689" i="1"/>
  <c r="AH3689" i="1"/>
  <c r="AE3690" i="1"/>
  <c r="AF3690" i="1" s="1"/>
  <c r="AG3690" i="1"/>
  <c r="AH3690" i="1"/>
  <c r="AE3691" i="1"/>
  <c r="AF3691" i="1" s="1"/>
  <c r="AG3691" i="1"/>
  <c r="AH3691" i="1"/>
  <c r="AE3692" i="1"/>
  <c r="AF3692" i="1" s="1"/>
  <c r="AG3692" i="1"/>
  <c r="AH36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750" i="1"/>
  <c r="A2750" i="1" s="1"/>
  <c r="D2680" i="1"/>
  <c r="A2680" i="1" s="1"/>
  <c r="D2681" i="1"/>
  <c r="A2681" i="1" s="1"/>
  <c r="D2682" i="1"/>
  <c r="A2682" i="1" s="1"/>
  <c r="D2748" i="1"/>
  <c r="A2748" i="1" s="1"/>
  <c r="D2479" i="1"/>
  <c r="A2479" i="1" s="1"/>
  <c r="D2480" i="1"/>
  <c r="A2480" i="1" s="1"/>
  <c r="D2529" i="1"/>
  <c r="A2529" i="1" s="1"/>
  <c r="D134" i="1"/>
  <c r="A134" i="1" s="1"/>
  <c r="D3578" i="1"/>
  <c r="A3578" i="1" s="1"/>
  <c r="D2617" i="1"/>
  <c r="A2617" i="1" s="1"/>
  <c r="D2618" i="1"/>
  <c r="A2618" i="1" s="1"/>
  <c r="D2611" i="1"/>
  <c r="A2611" i="1" s="1"/>
  <c r="D2281" i="1"/>
  <c r="A2281" i="1" s="1"/>
  <c r="D2273" i="1"/>
  <c r="A2273" i="1" s="1"/>
  <c r="D2276" i="1"/>
  <c r="A2276" i="1" s="1"/>
  <c r="D2279" i="1"/>
  <c r="A2279" i="1" s="1"/>
  <c r="D2280" i="1"/>
  <c r="A2280" i="1" s="1"/>
  <c r="D3605" i="1"/>
  <c r="A3605" i="1" s="1"/>
  <c r="D2850" i="1"/>
  <c r="A2850" i="1" s="1"/>
  <c r="D2898" i="1"/>
  <c r="A2898" i="1" s="1"/>
  <c r="D3001" i="1"/>
  <c r="A3001" i="1" s="1"/>
  <c r="D2260" i="1"/>
  <c r="A2260" i="1" s="1"/>
  <c r="D2261" i="1"/>
  <c r="A2261" i="1" s="1"/>
  <c r="D2262" i="1"/>
  <c r="A2262" i="1" s="1"/>
  <c r="D1287" i="1"/>
  <c r="A1287" i="1" s="1"/>
  <c r="D1288" i="1"/>
  <c r="A1288" i="1" s="1"/>
  <c r="D2843" i="1"/>
  <c r="A2843" i="1" s="1"/>
  <c r="D2844" i="1"/>
  <c r="A2844" i="1" s="1"/>
  <c r="D2845" i="1"/>
  <c r="A2845" i="1" s="1"/>
  <c r="D2263" i="1"/>
  <c r="A2263" i="1" s="1"/>
  <c r="D2841" i="1"/>
  <c r="A2841" i="1" s="1"/>
  <c r="D2295" i="1"/>
  <c r="A2295" i="1" s="1"/>
  <c r="D2296" i="1"/>
  <c r="A2296" i="1" s="1"/>
  <c r="D2297" i="1"/>
  <c r="A2297" i="1" s="1"/>
  <c r="D2298" i="1"/>
  <c r="A2298" i="1" s="1"/>
  <c r="D1289" i="1"/>
  <c r="A1289" i="1" s="1"/>
  <c r="D1290" i="1"/>
  <c r="A1290" i="1" s="1"/>
  <c r="D1291" i="1"/>
  <c r="A1291" i="1" s="1"/>
  <c r="D1726" i="1"/>
  <c r="A1726" i="1" s="1"/>
  <c r="D2842" i="1"/>
  <c r="A2842" i="1" s="1"/>
  <c r="D3606" i="1"/>
  <c r="A3606" i="1" s="1"/>
  <c r="D3607" i="1"/>
  <c r="A3607" i="1" s="1"/>
  <c r="D2848" i="1"/>
  <c r="A2848" i="1" s="1"/>
  <c r="D2849" i="1"/>
  <c r="A2849" i="1" s="1"/>
  <c r="D3603" i="1"/>
  <c r="A3603" i="1" s="1"/>
  <c r="D3604" i="1"/>
  <c r="A3604" i="1" s="1"/>
  <c r="D2252" i="1"/>
  <c r="A2252" i="1" s="1"/>
  <c r="D2253" i="1"/>
  <c r="A2253" i="1" s="1"/>
  <c r="D700" i="1"/>
  <c r="A700" i="1" s="1"/>
  <c r="D721" i="1"/>
  <c r="A721" i="1" s="1"/>
  <c r="D748" i="1"/>
  <c r="A748" i="1" s="1"/>
  <c r="D749" i="1"/>
  <c r="A749" i="1" s="1"/>
  <c r="A2282" i="1"/>
  <c r="A2283" i="1"/>
  <c r="A2284" i="1"/>
  <c r="A3002" i="1"/>
  <c r="A3003" i="1"/>
  <c r="A3087" i="1"/>
  <c r="A3088" i="1"/>
  <c r="A3089" i="1"/>
  <c r="A3090" i="1"/>
  <c r="A3091" i="1"/>
  <c r="A3092" i="1"/>
  <c r="A3149" i="1"/>
  <c r="A3150" i="1"/>
  <c r="A3151" i="1"/>
  <c r="A3608" i="1"/>
  <c r="A3609" i="1"/>
  <c r="A3610" i="1"/>
  <c r="A3611" i="1"/>
  <c r="A3612" i="1"/>
  <c r="A3613" i="1"/>
  <c r="A3614" i="1"/>
  <c r="A3591" i="1"/>
  <c r="A3592" i="1"/>
  <c r="A2285" i="1"/>
  <c r="A2286" i="1"/>
  <c r="A2287" i="1"/>
  <c r="A3615" i="1"/>
  <c r="A3617" i="1"/>
  <c r="A3618" i="1"/>
  <c r="A3619" i="1"/>
  <c r="A3620" i="1"/>
  <c r="D2288" i="1"/>
  <c r="A2288" i="1" s="1"/>
  <c r="D3626" i="1"/>
  <c r="A3626" i="1" s="1"/>
  <c r="D3152" i="1"/>
  <c r="A3152" i="1" s="1"/>
  <c r="D3153" i="1"/>
  <c r="A3153" i="1" s="1"/>
  <c r="D3154" i="1"/>
  <c r="A3154" i="1" s="1"/>
  <c r="D3155" i="1"/>
  <c r="A3155" i="1" s="1"/>
  <c r="D3156" i="1"/>
  <c r="A3156" i="1" s="1"/>
  <c r="D3188" i="1"/>
  <c r="A3188" i="1" s="1"/>
  <c r="D3627" i="1"/>
  <c r="A3627" i="1" s="1"/>
  <c r="D3628" i="1"/>
  <c r="A3628" i="1" s="1"/>
  <c r="D3629" i="1"/>
  <c r="A3629" i="1" s="1"/>
  <c r="D3630" i="1"/>
  <c r="A3630" i="1" s="1"/>
  <c r="D2289" i="1"/>
  <c r="A2289" i="1" s="1"/>
  <c r="D2290" i="1"/>
  <c r="A2290" i="1" s="1"/>
  <c r="D2291" i="1"/>
  <c r="A2291" i="1" s="1"/>
  <c r="D3631" i="1"/>
  <c r="A3631" i="1" s="1"/>
  <c r="D3621" i="1"/>
  <c r="A3621" i="1" s="1"/>
  <c r="D3632" i="1"/>
  <c r="A3632" i="1" s="1"/>
  <c r="D3633" i="1"/>
  <c r="A3633" i="1" s="1"/>
  <c r="D3634" i="1"/>
  <c r="A3634" i="1" s="1"/>
  <c r="D3635" i="1"/>
  <c r="A3635" i="1" s="1"/>
  <c r="D3636" i="1"/>
  <c r="A3636" i="1" s="1"/>
  <c r="D3637" i="1"/>
  <c r="A3637" i="1" s="1"/>
  <c r="D3638" i="1"/>
  <c r="A3638" i="1" s="1"/>
  <c r="D3189" i="1"/>
  <c r="A3189" i="1" s="1"/>
  <c r="D3190" i="1"/>
  <c r="A3190" i="1" s="1"/>
  <c r="D3191" i="1"/>
  <c r="A3191" i="1" s="1"/>
  <c r="D3192" i="1"/>
  <c r="A3192" i="1" s="1"/>
  <c r="D3639" i="1"/>
  <c r="A3639" i="1" s="1"/>
  <c r="D3640" i="1"/>
  <c r="A3640" i="1" s="1"/>
  <c r="D3193" i="1"/>
  <c r="A3193" i="1" s="1"/>
  <c r="D3622" i="1"/>
  <c r="A3622" i="1" s="1"/>
  <c r="D3623" i="1"/>
  <c r="A3623" i="1" s="1"/>
  <c r="D3624" i="1"/>
  <c r="A3624" i="1" s="1"/>
  <c r="D3625" i="1"/>
  <c r="A3625" i="1" s="1"/>
  <c r="D3641" i="1"/>
  <c r="A3641" i="1" s="1"/>
  <c r="D3642" i="1"/>
  <c r="A3642" i="1" s="1"/>
  <c r="D3643" i="1"/>
  <c r="A3643" i="1" s="1"/>
  <c r="D3644" i="1"/>
  <c r="A3644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64" i="1"/>
  <c r="A3664" i="1" s="1"/>
  <c r="D3665" i="1"/>
  <c r="A3665" i="1" s="1"/>
  <c r="D3666" i="1"/>
  <c r="A3666" i="1" s="1"/>
  <c r="D3667" i="1"/>
  <c r="A3667" i="1" s="1"/>
  <c r="D3668" i="1"/>
  <c r="A3668" i="1" s="1"/>
  <c r="D3669" i="1"/>
  <c r="A3669" i="1" s="1"/>
  <c r="D3670" i="1"/>
  <c r="A3670" i="1" s="1"/>
  <c r="D3671" i="1"/>
  <c r="A3671" i="1" s="1"/>
  <c r="D3672" i="1"/>
  <c r="A3672" i="1" s="1"/>
  <c r="D3673" i="1"/>
  <c r="A3673" i="1" s="1"/>
  <c r="D2476" i="1"/>
  <c r="A2476" i="1" s="1"/>
  <c r="D3675" i="1"/>
  <c r="A3675" i="1" s="1"/>
  <c r="D3676" i="1"/>
  <c r="A3676" i="1" s="1"/>
  <c r="D3677" i="1"/>
  <c r="A3677" i="1" s="1"/>
  <c r="D3678" i="1"/>
  <c r="A3678" i="1" s="1"/>
  <c r="D3679" i="1"/>
  <c r="A3679" i="1" s="1"/>
  <c r="D3680" i="1"/>
  <c r="A3680" i="1" s="1"/>
  <c r="D3681" i="1"/>
  <c r="A3681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689" i="1"/>
  <c r="A3689" i="1" s="1"/>
  <c r="D3690" i="1"/>
  <c r="A3690" i="1" s="1"/>
  <c r="D3691" i="1"/>
  <c r="A3691" i="1" s="1"/>
  <c r="D3692" i="1"/>
  <c r="A36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886" i="1"/>
  <c r="D2751" i="1"/>
  <c r="D2790" i="1"/>
  <c r="D2292" i="1"/>
  <c r="P3617" i="1"/>
  <c r="P3618" i="1"/>
  <c r="P3619" i="1"/>
  <c r="P3620" i="1"/>
  <c r="P2288" i="1"/>
  <c r="P3626" i="1"/>
  <c r="P3152" i="1"/>
  <c r="P3153" i="1"/>
  <c r="P3154" i="1"/>
  <c r="AB3626" i="1"/>
  <c r="AC3626" i="1" s="1"/>
  <c r="AB3152" i="1"/>
  <c r="AC3152" i="1" s="1"/>
  <c r="AB3153" i="1"/>
  <c r="AC3153" i="1" s="1"/>
  <c r="AB3154" i="1"/>
  <c r="AC3154" i="1" s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700" i="1"/>
  <c r="AC721" i="1"/>
  <c r="AC748" i="1"/>
  <c r="AC749" i="1"/>
  <c r="AC3641" i="1"/>
  <c r="AC3642" i="1"/>
  <c r="AC3643" i="1"/>
  <c r="AC3644" i="1"/>
  <c r="AC3689" i="1"/>
  <c r="AC3690" i="1"/>
  <c r="AC3691" i="1"/>
  <c r="AC3692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2751" i="1"/>
  <c r="Z2790" i="1"/>
  <c r="Z2292" i="1"/>
  <c r="Z2750" i="1"/>
  <c r="Z2680" i="1"/>
  <c r="Z2681" i="1"/>
  <c r="Z2682" i="1"/>
  <c r="Z2748" i="1"/>
  <c r="Z2479" i="1"/>
  <c r="Z2480" i="1"/>
  <c r="Z2529" i="1"/>
  <c r="Z134" i="1"/>
  <c r="Z3578" i="1"/>
  <c r="Z2617" i="1"/>
  <c r="Z2618" i="1"/>
  <c r="Z2611" i="1"/>
  <c r="Z2281" i="1"/>
  <c r="Z2273" i="1"/>
  <c r="Z2276" i="1"/>
  <c r="Z2279" i="1"/>
  <c r="Z2280" i="1"/>
  <c r="Z3605" i="1"/>
  <c r="Z2850" i="1"/>
  <c r="Z2898" i="1"/>
  <c r="Z3001" i="1"/>
  <c r="Z2260" i="1"/>
  <c r="Z2261" i="1"/>
  <c r="Z2262" i="1"/>
  <c r="Z1287" i="1"/>
  <c r="Z1288" i="1"/>
  <c r="Z2843" i="1"/>
  <c r="Z2844" i="1"/>
  <c r="Z2845" i="1"/>
  <c r="Z2263" i="1"/>
  <c r="Z2841" i="1"/>
  <c r="Z2295" i="1"/>
  <c r="Z2296" i="1"/>
  <c r="Z2297" i="1"/>
  <c r="Z2298" i="1"/>
  <c r="Z1289" i="1"/>
  <c r="Z1290" i="1"/>
  <c r="Z1291" i="1"/>
  <c r="Z1726" i="1"/>
  <c r="Z2842" i="1"/>
  <c r="Z3606" i="1"/>
  <c r="Z3607" i="1"/>
  <c r="Z2848" i="1"/>
  <c r="Z2849" i="1"/>
  <c r="Z3603" i="1"/>
  <c r="Z3604" i="1"/>
  <c r="Z2252" i="1"/>
  <c r="Z2253" i="1"/>
  <c r="Z700" i="1"/>
  <c r="Z721" i="1"/>
  <c r="Z748" i="1"/>
  <c r="Z749" i="1"/>
  <c r="Z2282" i="1"/>
  <c r="Z2283" i="1"/>
  <c r="Z2284" i="1"/>
  <c r="Z3002" i="1"/>
  <c r="Z3003" i="1"/>
  <c r="Z3087" i="1"/>
  <c r="Z3088" i="1"/>
  <c r="Z3089" i="1"/>
  <c r="Z3090" i="1"/>
  <c r="Z3091" i="1"/>
  <c r="Z3092" i="1"/>
  <c r="Z3149" i="1"/>
  <c r="Z3150" i="1"/>
  <c r="Z3151" i="1"/>
  <c r="Z3608" i="1"/>
  <c r="Z3609" i="1"/>
  <c r="Z3610" i="1"/>
  <c r="Z3611" i="1"/>
  <c r="Z3612" i="1"/>
  <c r="Z3613" i="1"/>
  <c r="Z3614" i="1"/>
  <c r="Z3591" i="1"/>
  <c r="Z3592" i="1"/>
  <c r="Z2285" i="1"/>
  <c r="Z2286" i="1"/>
  <c r="Z2287" i="1"/>
  <c r="Z3615" i="1"/>
  <c r="Z3155" i="1"/>
  <c r="Z3156" i="1"/>
  <c r="Z3188" i="1"/>
  <c r="AB3188" i="1" s="1"/>
  <c r="AC3188" i="1" s="1"/>
  <c r="Z3627" i="1"/>
  <c r="Z3628" i="1"/>
  <c r="Z3629" i="1"/>
  <c r="Z3630" i="1"/>
  <c r="Z2289" i="1"/>
  <c r="Z2290" i="1"/>
  <c r="Z2291" i="1"/>
  <c r="Z3631" i="1"/>
  <c r="Z3621" i="1"/>
  <c r="Z3632" i="1"/>
  <c r="Z3633" i="1"/>
  <c r="Z3634" i="1"/>
  <c r="Z3635" i="1"/>
  <c r="Z3636" i="1"/>
  <c r="Z3637" i="1"/>
  <c r="Z3638" i="1"/>
  <c r="Z3189" i="1"/>
  <c r="Z3190" i="1"/>
  <c r="Z3191" i="1"/>
  <c r="Z3192" i="1"/>
  <c r="Z3639" i="1"/>
  <c r="Z3640" i="1"/>
  <c r="Z3193" i="1"/>
  <c r="Z3622" i="1"/>
  <c r="Z3623" i="1"/>
  <c r="Z3624" i="1"/>
  <c r="Z3625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2476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2751" i="1"/>
  <c r="Y2790" i="1"/>
  <c r="Y2292" i="1"/>
  <c r="Y2750" i="1"/>
  <c r="Y2680" i="1"/>
  <c r="Y2681" i="1"/>
  <c r="Y2682" i="1"/>
  <c r="Y2748" i="1"/>
  <c r="Y2479" i="1"/>
  <c r="Y2480" i="1"/>
  <c r="Y2529" i="1"/>
  <c r="Y134" i="1"/>
  <c r="Y3578" i="1"/>
  <c r="Y2617" i="1"/>
  <c r="Y2618" i="1"/>
  <c r="Y2611" i="1"/>
  <c r="Y2281" i="1"/>
  <c r="Y2273" i="1"/>
  <c r="Y2276" i="1"/>
  <c r="Y2279" i="1"/>
  <c r="Y2280" i="1"/>
  <c r="Y3605" i="1"/>
  <c r="Y2850" i="1"/>
  <c r="Y2898" i="1"/>
  <c r="Y3001" i="1"/>
  <c r="Y2260" i="1"/>
  <c r="Y2261" i="1"/>
  <c r="Y2262" i="1"/>
  <c r="Y1287" i="1"/>
  <c r="Y1288" i="1"/>
  <c r="Y2843" i="1"/>
  <c r="Y2844" i="1"/>
  <c r="Y2845" i="1"/>
  <c r="Y2263" i="1"/>
  <c r="Y2841" i="1"/>
  <c r="Y2295" i="1"/>
  <c r="Y2296" i="1"/>
  <c r="Y2297" i="1"/>
  <c r="Y2298" i="1"/>
  <c r="Y1289" i="1"/>
  <c r="Y1290" i="1"/>
  <c r="Y1291" i="1"/>
  <c r="Y1726" i="1"/>
  <c r="Y2842" i="1"/>
  <c r="Y3606" i="1"/>
  <c r="Y3607" i="1"/>
  <c r="Y2848" i="1"/>
  <c r="Y2849" i="1"/>
  <c r="Y3603" i="1"/>
  <c r="Y3604" i="1"/>
  <c r="Y2252" i="1"/>
  <c r="Y2253" i="1"/>
  <c r="Y700" i="1"/>
  <c r="Y721" i="1"/>
  <c r="Y748" i="1"/>
  <c r="Y749" i="1"/>
  <c r="Y2282" i="1"/>
  <c r="Y2283" i="1"/>
  <c r="Y2284" i="1"/>
  <c r="Y3002" i="1"/>
  <c r="Y3003" i="1"/>
  <c r="Y3087" i="1"/>
  <c r="Y3088" i="1"/>
  <c r="Y3089" i="1"/>
  <c r="Y3090" i="1"/>
  <c r="Y3091" i="1"/>
  <c r="Y3092" i="1"/>
  <c r="Y3149" i="1"/>
  <c r="Y3150" i="1"/>
  <c r="Y3151" i="1"/>
  <c r="Y3608" i="1"/>
  <c r="Y3609" i="1"/>
  <c r="Y3610" i="1"/>
  <c r="Y3611" i="1"/>
  <c r="Y3612" i="1"/>
  <c r="Y3613" i="1"/>
  <c r="Y3614" i="1"/>
  <c r="Y3591" i="1"/>
  <c r="Y3592" i="1"/>
  <c r="Y2285" i="1"/>
  <c r="Y2286" i="1"/>
  <c r="Y2287" i="1"/>
  <c r="Y3615" i="1"/>
  <c r="Y3155" i="1"/>
  <c r="Y3156" i="1"/>
  <c r="Y3627" i="1"/>
  <c r="Y3628" i="1"/>
  <c r="Y3629" i="1"/>
  <c r="Y3630" i="1"/>
  <c r="Y2289" i="1"/>
  <c r="Y2290" i="1"/>
  <c r="Y2291" i="1"/>
  <c r="Y3631" i="1"/>
  <c r="Y3621" i="1"/>
  <c r="Y3632" i="1"/>
  <c r="Y3633" i="1"/>
  <c r="Y3634" i="1"/>
  <c r="Y3635" i="1"/>
  <c r="Y3636" i="1"/>
  <c r="Y3637" i="1"/>
  <c r="Y3638" i="1"/>
  <c r="Y3189" i="1"/>
  <c r="Y3190" i="1"/>
  <c r="Y3191" i="1"/>
  <c r="Y3192" i="1"/>
  <c r="Y3639" i="1"/>
  <c r="Y3640" i="1"/>
  <c r="Y3193" i="1"/>
  <c r="Y3622" i="1"/>
  <c r="Y3623" i="1"/>
  <c r="Y3624" i="1"/>
  <c r="Y3625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2476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20" i="1" l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673" i="1"/>
  <c r="AC3673" i="1" s="1"/>
  <c r="AB3686" i="1"/>
  <c r="AC3686" i="1" s="1"/>
  <c r="AB3685" i="1"/>
  <c r="AC3685" i="1" s="1"/>
  <c r="AB3677" i="1"/>
  <c r="AC3677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678" i="1"/>
  <c r="AC3678" i="1" s="1"/>
  <c r="AB3680" i="1"/>
  <c r="AC3680" i="1" s="1"/>
  <c r="AB3681" i="1"/>
  <c r="AC3681" i="1" s="1"/>
  <c r="AB3679" i="1"/>
  <c r="AC3679" i="1" s="1"/>
  <c r="AB3672" i="1"/>
  <c r="AC3672" i="1" s="1"/>
  <c r="AB3669" i="1"/>
  <c r="AC3669" i="1" s="1"/>
  <c r="AB3667" i="1"/>
  <c r="AC3667" i="1" s="1"/>
  <c r="AB3656" i="1"/>
  <c r="AC3656" i="1" s="1"/>
  <c r="AB3671" i="1"/>
  <c r="AC3671" i="1" s="1"/>
  <c r="AB3668" i="1"/>
  <c r="AC3668" i="1" s="1"/>
  <c r="AB3660" i="1"/>
  <c r="AC3660" i="1" s="1"/>
  <c r="AB3655" i="1"/>
  <c r="AC3655" i="1" s="1"/>
  <c r="AB3654" i="1"/>
  <c r="AC3654" i="1" s="1"/>
  <c r="AB3670" i="1"/>
  <c r="AC3670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65" i="1"/>
  <c r="AC3665" i="1" s="1"/>
  <c r="AB3657" i="1"/>
  <c r="AC3657" i="1" s="1"/>
  <c r="AB3649" i="1"/>
  <c r="AC3649" i="1" s="1"/>
  <c r="AB3664" i="1"/>
  <c r="AC3664" i="1" s="1"/>
  <c r="AB3648" i="1"/>
  <c r="AC3648" i="1" s="1"/>
  <c r="AB3666" i="1"/>
  <c r="AC3666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24" i="1"/>
  <c r="AC3624" i="1" s="1"/>
  <c r="AB3625" i="1"/>
  <c r="AC3625" i="1" s="1"/>
  <c r="AB3193" i="1"/>
  <c r="AC3193" i="1" s="1"/>
  <c r="AB3623" i="1"/>
  <c r="AC3623" i="1" s="1"/>
  <c r="AB3622" i="1"/>
  <c r="AC3622" i="1" s="1"/>
  <c r="AB3640" i="1"/>
  <c r="AC3640" i="1" s="1"/>
  <c r="AB3639" i="1"/>
  <c r="AC3639" i="1" s="1"/>
  <c r="AB3189" i="1"/>
  <c r="AC3189" i="1" s="1"/>
  <c r="AB3192" i="1"/>
  <c r="AC3192" i="1" s="1"/>
  <c r="AB3191" i="1"/>
  <c r="AC3191" i="1" s="1"/>
  <c r="AB3190" i="1"/>
  <c r="AC3190" i="1" s="1"/>
  <c r="AB3638" i="1"/>
  <c r="AC3638" i="1" s="1"/>
  <c r="AB3630" i="1"/>
  <c r="AC3630" i="1" s="1"/>
  <c r="AB3637" i="1"/>
  <c r="AC3637" i="1" s="1"/>
  <c r="AB3633" i="1"/>
  <c r="AC3633" i="1" s="1"/>
  <c r="AB3627" i="1"/>
  <c r="AC3627" i="1" s="1"/>
  <c r="AB3631" i="1"/>
  <c r="AC3631" i="1" s="1"/>
  <c r="AB3621" i="1"/>
  <c r="AC3621" i="1" s="1"/>
  <c r="AB2291" i="1"/>
  <c r="AC2291" i="1" s="1"/>
  <c r="AB3629" i="1"/>
  <c r="AC3629" i="1" s="1"/>
  <c r="AB3635" i="1"/>
  <c r="AC3635" i="1" s="1"/>
  <c r="AB2289" i="1"/>
  <c r="AC2289" i="1" s="1"/>
  <c r="AB3634" i="1"/>
  <c r="AC3634" i="1" s="1"/>
  <c r="AB3636" i="1"/>
  <c r="AC3636" i="1" s="1"/>
  <c r="AB3632" i="1"/>
  <c r="AC3632" i="1" s="1"/>
  <c r="AB3628" i="1"/>
  <c r="AC3628" i="1" s="1"/>
  <c r="AB2290" i="1"/>
  <c r="AC2290" i="1" s="1"/>
  <c r="AB3156" i="1"/>
  <c r="AC3156" i="1" s="1"/>
  <c r="AB3155" i="1"/>
  <c r="AC3155" i="1" s="1"/>
  <c r="AB3615" i="1"/>
  <c r="AC3615" i="1" s="1"/>
  <c r="AB3591" i="1"/>
  <c r="AC3591" i="1" s="1"/>
  <c r="AB3614" i="1"/>
  <c r="AC3614" i="1" s="1"/>
  <c r="AB3592" i="1"/>
  <c r="AC3592" i="1" s="1"/>
  <c r="AB2287" i="1"/>
  <c r="AC2287" i="1" s="1"/>
  <c r="AB2286" i="1"/>
  <c r="AC2286" i="1" s="1"/>
  <c r="AB2285" i="1"/>
  <c r="AC2285" i="1" s="1"/>
  <c r="AB3613" i="1"/>
  <c r="AC3613" i="1" s="1"/>
  <c r="AB3092" i="1"/>
  <c r="AC3092" i="1" s="1"/>
  <c r="AB3612" i="1"/>
  <c r="AC3612" i="1" s="1"/>
  <c r="AB2284" i="1"/>
  <c r="AC2284" i="1" s="1"/>
  <c r="AB3087" i="1"/>
  <c r="AC3087" i="1" s="1"/>
  <c r="AB2282" i="1"/>
  <c r="AC2282" i="1" s="1"/>
  <c r="AB3609" i="1"/>
  <c r="AC3609" i="1" s="1"/>
  <c r="AB3089" i="1"/>
  <c r="AC3089" i="1" s="1"/>
  <c r="AB3610" i="1"/>
  <c r="AC3610" i="1" s="1"/>
  <c r="AB3090" i="1"/>
  <c r="AC3090" i="1" s="1"/>
  <c r="AB3608" i="1"/>
  <c r="AC3608" i="1" s="1"/>
  <c r="AB2283" i="1"/>
  <c r="AC2283" i="1" s="1"/>
  <c r="AB3151" i="1"/>
  <c r="AC3151" i="1" s="1"/>
  <c r="AB3003" i="1"/>
  <c r="AC3003" i="1" s="1"/>
  <c r="AB3150" i="1"/>
  <c r="AC3150" i="1" s="1"/>
  <c r="AB3002" i="1"/>
  <c r="AC3002" i="1" s="1"/>
  <c r="AB3149" i="1"/>
  <c r="AC3149" i="1" s="1"/>
  <c r="AB3088" i="1"/>
  <c r="AC3088" i="1" s="1"/>
  <c r="AB3611" i="1"/>
  <c r="AC3611" i="1" s="1"/>
  <c r="AB3091" i="1"/>
  <c r="AC3091" i="1" s="1"/>
  <c r="AB2253" i="1"/>
  <c r="AC2253" i="1" s="1"/>
  <c r="AB2848" i="1"/>
  <c r="AC2848" i="1" s="1"/>
  <c r="AB3607" i="1"/>
  <c r="AC3607" i="1" s="1"/>
  <c r="AB3604" i="1"/>
  <c r="AC3604" i="1" s="1"/>
  <c r="AB2842" i="1"/>
  <c r="AC2842" i="1" s="1"/>
  <c r="AB2252" i="1"/>
  <c r="AC2252" i="1" s="1"/>
  <c r="AB2849" i="1"/>
  <c r="AC2849" i="1" s="1"/>
  <c r="AB3606" i="1"/>
  <c r="AC3606" i="1" s="1"/>
  <c r="AB3603" i="1"/>
  <c r="AC3603" i="1" s="1"/>
  <c r="AB1726" i="1"/>
  <c r="AC1726" i="1" s="1"/>
  <c r="AB1291" i="1"/>
  <c r="AC1291" i="1" s="1"/>
  <c r="AB2296" i="1"/>
  <c r="AC2296" i="1" s="1"/>
  <c r="AB2297" i="1"/>
  <c r="AC2297" i="1" s="1"/>
  <c r="AB1289" i="1"/>
  <c r="AC1289" i="1" s="1"/>
  <c r="AB2298" i="1"/>
  <c r="AC2298" i="1" s="1"/>
  <c r="AB2295" i="1"/>
  <c r="AC2295" i="1" s="1"/>
  <c r="AB1290" i="1"/>
  <c r="AC1290" i="1" s="1"/>
  <c r="AB2843" i="1"/>
  <c r="AC2843" i="1" s="1"/>
  <c r="AB1287" i="1"/>
  <c r="AC1287" i="1" s="1"/>
  <c r="AB2281" i="1"/>
  <c r="AC2281" i="1" s="1"/>
  <c r="AB2841" i="1"/>
  <c r="AC2841" i="1" s="1"/>
  <c r="AB2850" i="1"/>
  <c r="AC2850" i="1" s="1"/>
  <c r="AB2529" i="1"/>
  <c r="AC2529" i="1" s="1"/>
  <c r="AB2279" i="1"/>
  <c r="AC2279" i="1" s="1"/>
  <c r="AB2617" i="1"/>
  <c r="AC2617" i="1" s="1"/>
  <c r="AB2748" i="1"/>
  <c r="AC2748" i="1" s="1"/>
  <c r="AB2263" i="1"/>
  <c r="AC2263" i="1" s="1"/>
  <c r="AB2262" i="1"/>
  <c r="AC2262" i="1" s="1"/>
  <c r="AB3605" i="1"/>
  <c r="AC3605" i="1" s="1"/>
  <c r="AB2611" i="1"/>
  <c r="AC2611" i="1" s="1"/>
  <c r="AB2480" i="1"/>
  <c r="AC2480" i="1" s="1"/>
  <c r="AB2844" i="1"/>
  <c r="AC2844" i="1" s="1"/>
  <c r="AB2260" i="1"/>
  <c r="AC2260" i="1" s="1"/>
  <c r="AB2845" i="1"/>
  <c r="AC2845" i="1" s="1"/>
  <c r="AB2261" i="1"/>
  <c r="AC2261" i="1" s="1"/>
  <c r="AB2280" i="1"/>
  <c r="AC2280" i="1" s="1"/>
  <c r="AB2618" i="1"/>
  <c r="AC2618" i="1" s="1"/>
  <c r="AB2479" i="1"/>
  <c r="AC2479" i="1" s="1"/>
  <c r="AB2276" i="1"/>
  <c r="AC2276" i="1" s="1"/>
  <c r="AB3578" i="1"/>
  <c r="AC3578" i="1" s="1"/>
  <c r="AB3001" i="1"/>
  <c r="AC3001" i="1" s="1"/>
  <c r="AB2682" i="1"/>
  <c r="AC2682" i="1" s="1"/>
  <c r="AB1288" i="1"/>
  <c r="AC1288" i="1" s="1"/>
  <c r="AB2898" i="1"/>
  <c r="AC2898" i="1" s="1"/>
  <c r="AB2273" i="1"/>
  <c r="AC2273" i="1" s="1"/>
  <c r="AB134" i="1"/>
  <c r="AC134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2790" i="1"/>
  <c r="A2292" i="1"/>
  <c r="A1886" i="1"/>
  <c r="A2751" i="1"/>
  <c r="AB2751" i="1"/>
  <c r="AC2751" i="1" s="1"/>
  <c r="AB2790" i="1"/>
  <c r="AC2790" i="1" s="1"/>
  <c r="AB2292" i="1"/>
  <c r="AB2750" i="1"/>
  <c r="AC2750" i="1" s="1"/>
  <c r="AB2680" i="1"/>
  <c r="AC2680" i="1" s="1"/>
  <c r="I3577" i="1"/>
  <c r="E3577" i="1" s="1"/>
  <c r="I3278" i="1"/>
  <c r="E3278" i="1" s="1"/>
  <c r="I3343" i="1"/>
  <c r="E3343" i="1" s="1"/>
  <c r="I1283" i="1"/>
  <c r="E1283" i="1" s="1"/>
  <c r="I1886" i="1"/>
  <c r="I2751" i="1"/>
  <c r="I2790" i="1"/>
  <c r="I2292" i="1"/>
  <c r="I2750" i="1"/>
  <c r="I2680" i="1"/>
  <c r="I2681" i="1"/>
  <c r="I2682" i="1"/>
  <c r="I2748" i="1"/>
  <c r="I2479" i="1"/>
  <c r="I2480" i="1"/>
  <c r="I2529" i="1"/>
  <c r="I134" i="1"/>
  <c r="E134" i="1" s="1"/>
  <c r="I3578" i="1"/>
  <c r="I2617" i="1"/>
  <c r="I2618" i="1"/>
  <c r="I2611" i="1"/>
  <c r="I2281" i="1"/>
  <c r="I2273" i="1"/>
  <c r="I2276" i="1"/>
  <c r="I2279" i="1"/>
  <c r="I2280" i="1"/>
  <c r="I3605" i="1"/>
  <c r="I2850" i="1"/>
  <c r="I2898" i="1"/>
  <c r="I3001" i="1"/>
  <c r="I2260" i="1"/>
  <c r="I2261" i="1"/>
  <c r="I2262" i="1"/>
  <c r="I1287" i="1"/>
  <c r="I1288" i="1"/>
  <c r="I2843" i="1"/>
  <c r="I2844" i="1"/>
  <c r="I2845" i="1"/>
  <c r="I2263" i="1"/>
  <c r="I2841" i="1"/>
  <c r="I2295" i="1"/>
  <c r="I2296" i="1"/>
  <c r="I2297" i="1"/>
  <c r="I2298" i="1"/>
  <c r="I1289" i="1"/>
  <c r="I1290" i="1"/>
  <c r="I1291" i="1"/>
  <c r="I1726" i="1"/>
  <c r="I2842" i="1"/>
  <c r="I3606" i="1"/>
  <c r="I3607" i="1"/>
  <c r="I2848" i="1"/>
  <c r="I2849" i="1"/>
  <c r="E2849" i="1" s="1"/>
  <c r="I3603" i="1"/>
  <c r="I3604" i="1"/>
  <c r="I2252" i="1"/>
  <c r="I2253" i="1"/>
  <c r="I700" i="1"/>
  <c r="E700" i="1" s="1"/>
  <c r="I721" i="1"/>
  <c r="E721" i="1" s="1"/>
  <c r="I748" i="1"/>
  <c r="E748" i="1" s="1"/>
  <c r="I749" i="1"/>
  <c r="E749" i="1" s="1"/>
  <c r="I2282" i="1"/>
  <c r="E2282" i="1" s="1"/>
  <c r="I2283" i="1"/>
  <c r="E2283" i="1" s="1"/>
  <c r="I2284" i="1"/>
  <c r="E2284" i="1" s="1"/>
  <c r="I3002" i="1"/>
  <c r="E3002" i="1" s="1"/>
  <c r="I3003" i="1"/>
  <c r="E3003" i="1" s="1"/>
  <c r="I3087" i="1"/>
  <c r="E3087" i="1" s="1"/>
  <c r="I3088" i="1"/>
  <c r="E3088" i="1" s="1"/>
  <c r="I3089" i="1"/>
  <c r="E3089" i="1" s="1"/>
  <c r="I3090" i="1"/>
  <c r="E3090" i="1" s="1"/>
  <c r="I3091" i="1"/>
  <c r="E3091" i="1" s="1"/>
  <c r="I3092" i="1"/>
  <c r="E3092" i="1" s="1"/>
  <c r="I3149" i="1"/>
  <c r="E3149" i="1" s="1"/>
  <c r="I3150" i="1"/>
  <c r="E3150" i="1" s="1"/>
  <c r="I3151" i="1"/>
  <c r="E3151" i="1" s="1"/>
  <c r="I3608" i="1"/>
  <c r="E3608" i="1" s="1"/>
  <c r="I3609" i="1"/>
  <c r="E3609" i="1" s="1"/>
  <c r="I3610" i="1"/>
  <c r="E3610" i="1" s="1"/>
  <c r="I3611" i="1"/>
  <c r="E3611" i="1" s="1"/>
  <c r="I3612" i="1"/>
  <c r="E3612" i="1" s="1"/>
  <c r="I3613" i="1"/>
  <c r="E3613" i="1" s="1"/>
  <c r="I3614" i="1"/>
  <c r="E3614" i="1" s="1"/>
  <c r="I3591" i="1"/>
  <c r="E3591" i="1" s="1"/>
  <c r="I3592" i="1"/>
  <c r="E3592" i="1" s="1"/>
  <c r="I2285" i="1"/>
  <c r="E2285" i="1" s="1"/>
  <c r="I2286" i="1"/>
  <c r="E2286" i="1" s="1"/>
  <c r="I2287" i="1"/>
  <c r="E2287" i="1" s="1"/>
  <c r="I3615" i="1"/>
  <c r="E3615" i="1" s="1"/>
  <c r="I3628" i="1"/>
  <c r="E3628" i="1" s="1"/>
  <c r="I3629" i="1"/>
  <c r="E3629" i="1" s="1"/>
  <c r="I3630" i="1"/>
  <c r="E3630" i="1" s="1"/>
  <c r="I2289" i="1"/>
  <c r="E2289" i="1" s="1"/>
  <c r="I2290" i="1"/>
  <c r="E2290" i="1" s="1"/>
  <c r="I2291" i="1"/>
  <c r="E2291" i="1" s="1"/>
  <c r="I3631" i="1"/>
  <c r="E3631" i="1" s="1"/>
  <c r="I3621" i="1"/>
  <c r="E3621" i="1" s="1"/>
  <c r="I3632" i="1"/>
  <c r="E3632" i="1" s="1"/>
  <c r="I3633" i="1"/>
  <c r="E3633" i="1" s="1"/>
  <c r="I3634" i="1"/>
  <c r="E3634" i="1" s="1"/>
  <c r="I3635" i="1"/>
  <c r="E3635" i="1" s="1"/>
  <c r="I3636" i="1"/>
  <c r="E3636" i="1" s="1"/>
  <c r="I3637" i="1"/>
  <c r="E3637" i="1" s="1"/>
  <c r="I3638" i="1"/>
  <c r="E3638" i="1" s="1"/>
  <c r="I3189" i="1"/>
  <c r="I3190" i="1"/>
  <c r="I3191" i="1"/>
  <c r="I3192" i="1"/>
  <c r="I3639" i="1"/>
  <c r="E3639" i="1" s="1"/>
  <c r="I3640" i="1"/>
  <c r="E3640" i="1" s="1"/>
  <c r="I3193" i="1"/>
  <c r="I3622" i="1"/>
  <c r="E3622" i="1" s="1"/>
  <c r="I3623" i="1"/>
  <c r="E3623" i="1" s="1"/>
  <c r="I3624" i="1"/>
  <c r="E3624" i="1" s="1"/>
  <c r="I3625" i="1"/>
  <c r="E3625" i="1" s="1"/>
  <c r="I3641" i="1"/>
  <c r="E3641" i="1" s="1"/>
  <c r="I3642" i="1"/>
  <c r="E3642" i="1" s="1"/>
  <c r="I3643" i="1"/>
  <c r="E3643" i="1" s="1"/>
  <c r="I3644" i="1"/>
  <c r="E3644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64" i="1"/>
  <c r="E3664" i="1" s="1"/>
  <c r="I3665" i="1"/>
  <c r="E3665" i="1" s="1"/>
  <c r="I3666" i="1"/>
  <c r="E3666" i="1" s="1"/>
  <c r="I3667" i="1"/>
  <c r="I3668" i="1"/>
  <c r="I3669" i="1"/>
  <c r="I3670" i="1"/>
  <c r="I3671" i="1"/>
  <c r="I3672" i="1"/>
  <c r="I3673" i="1"/>
  <c r="I2476" i="1"/>
  <c r="I3675" i="1"/>
  <c r="I3676" i="1"/>
  <c r="I3677" i="1"/>
  <c r="I3678" i="1"/>
  <c r="I3679" i="1"/>
  <c r="I3680" i="1"/>
  <c r="I3681" i="1"/>
  <c r="E3681" i="1" s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I3739" i="1"/>
  <c r="I3740" i="1"/>
  <c r="E3740" i="1" s="1"/>
  <c r="I3741" i="1"/>
  <c r="I3742" i="1"/>
  <c r="I3743" i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2790" i="1"/>
  <c r="AT2790" i="1" s="1"/>
  <c r="AS2292" i="1"/>
  <c r="AT2292" i="1" s="1"/>
  <c r="AT2750" i="1"/>
  <c r="AT2680" i="1"/>
  <c r="AT2681" i="1"/>
  <c r="AT2682" i="1"/>
  <c r="AT2748" i="1"/>
  <c r="AT2479" i="1"/>
  <c r="AT2480" i="1"/>
  <c r="AT2529" i="1"/>
  <c r="AT134" i="1"/>
  <c r="AT3578" i="1"/>
  <c r="AT2617" i="1"/>
  <c r="AT2618" i="1"/>
  <c r="AT2611" i="1"/>
  <c r="AT2281" i="1"/>
  <c r="AT2273" i="1"/>
  <c r="AT2276" i="1"/>
  <c r="AT2279" i="1"/>
  <c r="AT2280" i="1"/>
  <c r="AT3605" i="1"/>
  <c r="AT2850" i="1"/>
  <c r="AT2898" i="1"/>
  <c r="AT3001" i="1"/>
  <c r="AT2260" i="1"/>
  <c r="AT2261" i="1"/>
  <c r="AT2262" i="1"/>
  <c r="AT1287" i="1"/>
  <c r="AT1288" i="1"/>
  <c r="AT2843" i="1"/>
  <c r="AT2844" i="1"/>
  <c r="AT2845" i="1"/>
  <c r="AT2263" i="1"/>
  <c r="AT2841" i="1"/>
  <c r="AT2295" i="1"/>
  <c r="AT2296" i="1"/>
  <c r="AT2297" i="1"/>
  <c r="AT2298" i="1"/>
  <c r="AT1289" i="1"/>
  <c r="AT1290" i="1"/>
  <c r="AT1291" i="1"/>
  <c r="AT1726" i="1"/>
  <c r="AT2842" i="1"/>
  <c r="AT3606" i="1"/>
  <c r="AT3607" i="1"/>
  <c r="AT2848" i="1"/>
  <c r="AT2849" i="1"/>
  <c r="AT3603" i="1"/>
  <c r="AT3604" i="1"/>
  <c r="AT2252" i="1"/>
  <c r="AT2253" i="1"/>
  <c r="AT700" i="1"/>
  <c r="AT721" i="1"/>
  <c r="AT748" i="1"/>
  <c r="AT749" i="1"/>
  <c r="AT2282" i="1"/>
  <c r="AT2283" i="1"/>
  <c r="AT2284" i="1"/>
  <c r="AT3002" i="1"/>
  <c r="AT3003" i="1"/>
  <c r="AT3087" i="1"/>
  <c r="AT3088" i="1"/>
  <c r="AT3089" i="1"/>
  <c r="AT3090" i="1"/>
  <c r="AT3091" i="1"/>
  <c r="AT3092" i="1"/>
  <c r="AT3149" i="1"/>
  <c r="AT3150" i="1"/>
  <c r="AT3151" i="1"/>
  <c r="AT3608" i="1"/>
  <c r="AT3609" i="1"/>
  <c r="AT3610" i="1"/>
  <c r="AT3611" i="1"/>
  <c r="AT3612" i="1"/>
  <c r="AT3613" i="1"/>
  <c r="AT3614" i="1"/>
  <c r="AT3591" i="1"/>
  <c r="AT3592" i="1"/>
  <c r="AT2285" i="1"/>
  <c r="AT2286" i="1"/>
  <c r="AT2287" i="1"/>
  <c r="AT3615" i="1"/>
  <c r="AR2790" i="1"/>
  <c r="AR2292" i="1"/>
  <c r="AQ2790" i="1"/>
  <c r="AQ2292" i="1"/>
  <c r="AP2790" i="1"/>
  <c r="AP2292" i="1"/>
  <c r="D3576" i="1"/>
  <c r="A3576" i="1" s="1"/>
  <c r="D3577" i="1"/>
  <c r="A3577" i="1" s="1"/>
  <c r="D3278" i="1"/>
  <c r="A3278" i="1" s="1"/>
  <c r="D3343" i="1"/>
  <c r="A3343" i="1" s="1"/>
  <c r="D1283" i="1"/>
  <c r="A1283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283" i="1"/>
  <c r="AF1283" i="1" s="1"/>
  <c r="AG1283" i="1"/>
  <c r="AH1283" i="1"/>
  <c r="Y3576" i="1"/>
  <c r="Z3576" i="1"/>
  <c r="Y3577" i="1"/>
  <c r="Z3577" i="1"/>
  <c r="Y3278" i="1"/>
  <c r="Z3278" i="1"/>
  <c r="Y3343" i="1"/>
  <c r="Z3343" i="1"/>
  <c r="Y1283" i="1"/>
  <c r="Z1283" i="1"/>
  <c r="Y1886" i="1"/>
  <c r="Z1886" i="1"/>
  <c r="AS206" i="1"/>
  <c r="AT206" i="1" s="1"/>
  <c r="AR206" i="1"/>
  <c r="AQ206" i="1"/>
  <c r="AP206" i="1"/>
  <c r="AH206" i="1"/>
  <c r="AG206" i="1"/>
  <c r="AE206" i="1"/>
  <c r="AF206" i="1" s="1"/>
  <c r="Z206" i="1"/>
  <c r="Y206" i="1"/>
  <c r="I206" i="1"/>
  <c r="E206" i="1" s="1"/>
  <c r="D206" i="1"/>
  <c r="A206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2751" i="1"/>
  <c r="AQ2751" i="1"/>
  <c r="AR2751" i="1"/>
  <c r="AS2751" i="1"/>
  <c r="AT275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84" i="1"/>
  <c r="AR1284" i="1"/>
  <c r="AR2494" i="1"/>
  <c r="AR3546" i="1"/>
  <c r="AR3547" i="1"/>
  <c r="AR3548" i="1"/>
  <c r="AR3549" i="1"/>
  <c r="AR1293" i="1"/>
  <c r="AR1294" i="1"/>
  <c r="AR3597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85" i="1"/>
  <c r="AR912" i="1"/>
  <c r="AR1295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2678" i="1"/>
  <c r="AR1510" i="1"/>
  <c r="AR2846" i="1"/>
  <c r="AR2847" i="1"/>
  <c r="AR2475" i="1"/>
  <c r="AR3674" i="1"/>
  <c r="AR2418" i="1"/>
  <c r="AR2419" i="1"/>
  <c r="AR1191" i="1"/>
  <c r="AR2965" i="1"/>
  <c r="AR3550" i="1"/>
  <c r="AR3551" i="1"/>
  <c r="AR3552" i="1"/>
  <c r="AR3553" i="1"/>
  <c r="AR2916" i="1"/>
  <c r="AR1672" i="1"/>
  <c r="AR2966" i="1"/>
  <c r="AR1493" i="1"/>
  <c r="AR2935" i="1"/>
  <c r="AR1404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826" i="1"/>
  <c r="AR827" i="1"/>
  <c r="AR828" i="1"/>
  <c r="AR1311" i="1"/>
  <c r="AR3302" i="1"/>
  <c r="AR1860" i="1"/>
  <c r="AR2561" i="1"/>
  <c r="AR2299" i="1"/>
  <c r="AR2300" i="1"/>
  <c r="AR855" i="1"/>
  <c r="AR856" i="1"/>
  <c r="AR857" i="1"/>
  <c r="AR858" i="1"/>
  <c r="AR2612" i="1"/>
  <c r="AR2613" i="1"/>
  <c r="AR271" i="1"/>
  <c r="AR477" i="1"/>
  <c r="AR2345" i="1"/>
  <c r="AR2346" i="1"/>
  <c r="AR159" i="1"/>
  <c r="AR1398" i="1"/>
  <c r="AR1443" i="1"/>
  <c r="AR1444" i="1"/>
  <c r="AR1466" i="1"/>
  <c r="AR1467" i="1"/>
  <c r="AR1468" i="1"/>
  <c r="AR1474" i="1"/>
  <c r="AR1475" i="1"/>
  <c r="AR1305" i="1"/>
  <c r="AR1318" i="1"/>
  <c r="AR1322" i="1"/>
  <c r="AR1362" i="1"/>
  <c r="AR1363" i="1"/>
  <c r="AR1390" i="1"/>
  <c r="AR1392" i="1"/>
  <c r="AR1397" i="1"/>
  <c r="AR3585" i="1"/>
  <c r="AR3586" i="1"/>
  <c r="AR3587" i="1"/>
  <c r="AR3588" i="1"/>
  <c r="AR3589" i="1"/>
  <c r="AR3590" i="1"/>
  <c r="AR3593" i="1"/>
  <c r="AR3594" i="1"/>
  <c r="AR3595" i="1"/>
  <c r="AR3596" i="1"/>
  <c r="AR496" i="1"/>
  <c r="AR509" i="1"/>
  <c r="AR510" i="1"/>
  <c r="AR601" i="1"/>
  <c r="AR602" i="1"/>
  <c r="AR688" i="1"/>
  <c r="AR689" i="1"/>
  <c r="AR690" i="1"/>
  <c r="AR2246" i="1"/>
  <c r="AR2247" i="1"/>
  <c r="AR2248" i="1"/>
  <c r="AR2249" i="1"/>
  <c r="AR2250" i="1"/>
  <c r="AR2581" i="1"/>
  <c r="AR2648" i="1"/>
  <c r="AR1937" i="1"/>
  <c r="AR1938" i="1"/>
  <c r="AR2277" i="1"/>
  <c r="AR2278" i="1"/>
  <c r="AR3558" i="1"/>
  <c r="AR478" i="1"/>
  <c r="AR482" i="1"/>
  <c r="AR483" i="1"/>
  <c r="AR495" i="1"/>
  <c r="AR1880" i="1"/>
  <c r="AR1881" i="1"/>
  <c r="AR1882" i="1"/>
  <c r="AR1883" i="1"/>
  <c r="AR1884" i="1"/>
  <c r="AR651" i="1"/>
  <c r="AR1405" i="1"/>
  <c r="AR1406" i="1"/>
  <c r="AR135" i="1"/>
  <c r="AR183" i="1"/>
  <c r="AR205" i="1"/>
  <c r="AR1613" i="1"/>
  <c r="AR1724" i="1"/>
  <c r="AR1725" i="1"/>
  <c r="AR2251" i="1"/>
  <c r="AR3559" i="1"/>
  <c r="AR3560" i="1"/>
  <c r="AR3561" i="1"/>
  <c r="AR2110" i="1"/>
  <c r="AR2871" i="1"/>
  <c r="AR2872" i="1"/>
  <c r="AR1277" i="1"/>
  <c r="AR1282" i="1"/>
  <c r="AR1304" i="1"/>
  <c r="AR1476" i="1"/>
  <c r="AR1511" i="1"/>
  <c r="AR1602" i="1"/>
  <c r="AR2111" i="1"/>
  <c r="AR2148" i="1"/>
  <c r="AR217" i="1"/>
  <c r="AR223" i="1"/>
  <c r="AR1603" i="1"/>
  <c r="AR1612" i="1"/>
  <c r="AR2683" i="1"/>
  <c r="AR3579" i="1"/>
  <c r="AR3580" i="1"/>
  <c r="AR3581" i="1"/>
  <c r="AR3582" i="1"/>
  <c r="AR3583" i="1"/>
  <c r="AR3584" i="1"/>
  <c r="AR3194" i="1"/>
  <c r="AR3195" i="1"/>
  <c r="AR3253" i="1"/>
  <c r="AR3277" i="1"/>
  <c r="AR2749" i="1"/>
  <c r="AR1120" i="1"/>
  <c r="AR1276" i="1"/>
  <c r="AR2301" i="1"/>
  <c r="AR1286" i="1"/>
  <c r="AR1578" i="1"/>
  <c r="AR1601" i="1"/>
  <c r="AR2293" i="1"/>
  <c r="AR2294" i="1"/>
  <c r="AR2740" i="1"/>
  <c r="AR2741" i="1"/>
  <c r="AR2477" i="1"/>
  <c r="AR2478" i="1"/>
  <c r="AR2610" i="1"/>
  <c r="AR2720" i="1"/>
  <c r="AR2739" i="1"/>
  <c r="AR1133" i="1"/>
  <c r="AR1143" i="1"/>
  <c r="AR1144" i="1"/>
  <c r="AR3567" i="1"/>
  <c r="AR270" i="1"/>
  <c r="AR1727" i="1"/>
  <c r="AR1854" i="1"/>
  <c r="AR1855" i="1"/>
  <c r="AR1935" i="1"/>
  <c r="AR1936" i="1"/>
  <c r="AR2149" i="1"/>
  <c r="AR1856" i="1"/>
  <c r="AR1857" i="1"/>
  <c r="AR1858" i="1"/>
  <c r="AR1885" i="1"/>
  <c r="AR2302" i="1"/>
  <c r="AR2303" i="1"/>
  <c r="AR2404" i="1"/>
  <c r="AR2462" i="1"/>
  <c r="AR3562" i="1"/>
  <c r="AR3563" i="1"/>
  <c r="AR3564" i="1"/>
  <c r="AR3565" i="1"/>
  <c r="AR3568" i="1"/>
  <c r="AR3569" i="1"/>
  <c r="AR3576" i="1"/>
  <c r="AR3577" i="1"/>
  <c r="AR3278" i="1"/>
  <c r="AR3343" i="1"/>
  <c r="AR1283" i="1"/>
  <c r="AR1886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84" i="1"/>
  <c r="AT184" i="1" s="1"/>
  <c r="AS1284" i="1"/>
  <c r="AT1284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597" i="1"/>
  <c r="AT3597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85" i="1"/>
  <c r="AT185" i="1" s="1"/>
  <c r="AS912" i="1"/>
  <c r="AT912" i="1" s="1"/>
  <c r="AS1295" i="1"/>
  <c r="AT1295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2678" i="1"/>
  <c r="AT2678" i="1" s="1"/>
  <c r="AS1510" i="1"/>
  <c r="AT1510" i="1" s="1"/>
  <c r="AS2846" i="1"/>
  <c r="AT2846" i="1" s="1"/>
  <c r="AS2847" i="1"/>
  <c r="AT2847" i="1" s="1"/>
  <c r="AS2475" i="1"/>
  <c r="AT2475" i="1" s="1"/>
  <c r="AS3674" i="1"/>
  <c r="AT3674" i="1" s="1"/>
  <c r="AS2418" i="1"/>
  <c r="AT2418" i="1" s="1"/>
  <c r="AS2419" i="1"/>
  <c r="AT2419" i="1" s="1"/>
  <c r="AS1191" i="1"/>
  <c r="AT1191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1404" i="1"/>
  <c r="AT1404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826" i="1"/>
  <c r="AT826" i="1" s="1"/>
  <c r="AS827" i="1"/>
  <c r="AT827" i="1" s="1"/>
  <c r="AS828" i="1"/>
  <c r="AT828" i="1" s="1"/>
  <c r="AS1311" i="1"/>
  <c r="AT1311" i="1" s="1"/>
  <c r="AS3302" i="1"/>
  <c r="AT3302" i="1" s="1"/>
  <c r="AS1860" i="1"/>
  <c r="AT1860" i="1" s="1"/>
  <c r="AS2561" i="1"/>
  <c r="AT2561" i="1" s="1"/>
  <c r="AS2299" i="1"/>
  <c r="AT2299" i="1" s="1"/>
  <c r="AS2300" i="1"/>
  <c r="AT2300" i="1" s="1"/>
  <c r="AS855" i="1"/>
  <c r="AT855" i="1" s="1"/>
  <c r="AS856" i="1"/>
  <c r="AT856" i="1" s="1"/>
  <c r="AS857" i="1"/>
  <c r="AT857" i="1" s="1"/>
  <c r="AS858" i="1"/>
  <c r="AT858" i="1" s="1"/>
  <c r="AS2612" i="1"/>
  <c r="AT2612" i="1" s="1"/>
  <c r="AS2613" i="1"/>
  <c r="AT2613" i="1" s="1"/>
  <c r="AS271" i="1"/>
  <c r="AT271" i="1" s="1"/>
  <c r="AS477" i="1"/>
  <c r="AT477" i="1" s="1"/>
  <c r="AS2345" i="1"/>
  <c r="AT2345" i="1" s="1"/>
  <c r="AS2346" i="1"/>
  <c r="AT2346" i="1" s="1"/>
  <c r="AS159" i="1"/>
  <c r="AT159" i="1" s="1"/>
  <c r="AS1398" i="1"/>
  <c r="AT1398" i="1" s="1"/>
  <c r="AS1443" i="1"/>
  <c r="AT1443" i="1" s="1"/>
  <c r="AS1444" i="1"/>
  <c r="AT1444" i="1" s="1"/>
  <c r="AS1466" i="1"/>
  <c r="AT1466" i="1" s="1"/>
  <c r="AS1467" i="1"/>
  <c r="AT1467" i="1" s="1"/>
  <c r="AS1468" i="1"/>
  <c r="AT1468" i="1" s="1"/>
  <c r="AS1474" i="1"/>
  <c r="AT1474" i="1" s="1"/>
  <c r="AS1475" i="1"/>
  <c r="AT1475" i="1" s="1"/>
  <c r="AS1305" i="1"/>
  <c r="AT1305" i="1" s="1"/>
  <c r="AS1318" i="1"/>
  <c r="AT1318" i="1" s="1"/>
  <c r="AS1322" i="1"/>
  <c r="AT1322" i="1" s="1"/>
  <c r="AS1362" i="1"/>
  <c r="AT1362" i="1" s="1"/>
  <c r="AS1363" i="1"/>
  <c r="AT1363" i="1" s="1"/>
  <c r="AS1390" i="1"/>
  <c r="AT1390" i="1" s="1"/>
  <c r="AS1392" i="1"/>
  <c r="AT1392" i="1" s="1"/>
  <c r="AS1397" i="1"/>
  <c r="AT1397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496" i="1"/>
  <c r="AT496" i="1" s="1"/>
  <c r="AS509" i="1"/>
  <c r="AT509" i="1" s="1"/>
  <c r="AS510" i="1"/>
  <c r="AT510" i="1" s="1"/>
  <c r="AS601" i="1"/>
  <c r="AT601" i="1" s="1"/>
  <c r="AS602" i="1"/>
  <c r="AT602" i="1" s="1"/>
  <c r="AS688" i="1"/>
  <c r="AT688" i="1" s="1"/>
  <c r="AS689" i="1"/>
  <c r="AT689" i="1" s="1"/>
  <c r="AS690" i="1"/>
  <c r="AT690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581" i="1"/>
  <c r="AT2581" i="1" s="1"/>
  <c r="AS2648" i="1"/>
  <c r="AT2648" i="1" s="1"/>
  <c r="AS1937" i="1"/>
  <c r="AT1937" i="1" s="1"/>
  <c r="AS1938" i="1"/>
  <c r="AT1938" i="1" s="1"/>
  <c r="AS2277" i="1"/>
  <c r="AT2277" i="1" s="1"/>
  <c r="AS2278" i="1"/>
  <c r="AT2278" i="1" s="1"/>
  <c r="AS3558" i="1"/>
  <c r="AT3558" i="1" s="1"/>
  <c r="AS478" i="1"/>
  <c r="AT478" i="1" s="1"/>
  <c r="AS482" i="1"/>
  <c r="AT482" i="1" s="1"/>
  <c r="AS483" i="1"/>
  <c r="AT483" i="1" s="1"/>
  <c r="AS495" i="1"/>
  <c r="AT495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651" i="1"/>
  <c r="AT651" i="1" s="1"/>
  <c r="AS1405" i="1"/>
  <c r="AT1405" i="1" s="1"/>
  <c r="AS1406" i="1"/>
  <c r="AT1406" i="1" s="1"/>
  <c r="AS135" i="1"/>
  <c r="AT135" i="1" s="1"/>
  <c r="AS183" i="1"/>
  <c r="AT183" i="1" s="1"/>
  <c r="AS205" i="1"/>
  <c r="AT205" i="1" s="1"/>
  <c r="AS1613" i="1"/>
  <c r="AT1613" i="1" s="1"/>
  <c r="AS1724" i="1"/>
  <c r="AT1724" i="1" s="1"/>
  <c r="AS1725" i="1"/>
  <c r="AT1725" i="1" s="1"/>
  <c r="AS2251" i="1"/>
  <c r="AT2251" i="1" s="1"/>
  <c r="AS3559" i="1"/>
  <c r="AT3559" i="1" s="1"/>
  <c r="AS3560" i="1"/>
  <c r="AT3560" i="1" s="1"/>
  <c r="AS3561" i="1"/>
  <c r="AT3561" i="1" s="1"/>
  <c r="AS2110" i="1"/>
  <c r="AT2110" i="1" s="1"/>
  <c r="AS2871" i="1"/>
  <c r="AT2871" i="1" s="1"/>
  <c r="AS2872" i="1"/>
  <c r="AT2872" i="1" s="1"/>
  <c r="AS1277" i="1"/>
  <c r="AT1277" i="1" s="1"/>
  <c r="AS1282" i="1"/>
  <c r="AT1282" i="1" s="1"/>
  <c r="AS1304" i="1"/>
  <c r="AT1304" i="1" s="1"/>
  <c r="AS1476" i="1"/>
  <c r="AT1476" i="1" s="1"/>
  <c r="AS1511" i="1"/>
  <c r="AT1511" i="1" s="1"/>
  <c r="AS1602" i="1"/>
  <c r="AT1602" i="1" s="1"/>
  <c r="AS2111" i="1"/>
  <c r="AT2111" i="1" s="1"/>
  <c r="AS2148" i="1"/>
  <c r="AT2148" i="1" s="1"/>
  <c r="AS217" i="1"/>
  <c r="AT217" i="1" s="1"/>
  <c r="AS223" i="1"/>
  <c r="AT223" i="1" s="1"/>
  <c r="AS1603" i="1"/>
  <c r="AT1603" i="1" s="1"/>
  <c r="AS1612" i="1"/>
  <c r="AT1612" i="1" s="1"/>
  <c r="AS2683" i="1"/>
  <c r="AT268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749" i="1"/>
  <c r="AT2749" i="1" s="1"/>
  <c r="AS1120" i="1"/>
  <c r="AT1120" i="1" s="1"/>
  <c r="AS1276" i="1"/>
  <c r="AT1276" i="1" s="1"/>
  <c r="AS2301" i="1"/>
  <c r="AT2301" i="1" s="1"/>
  <c r="AS1286" i="1"/>
  <c r="AT1286" i="1" s="1"/>
  <c r="AS1578" i="1"/>
  <c r="AT1578" i="1" s="1"/>
  <c r="AS1601" i="1"/>
  <c r="AT1601" i="1" s="1"/>
  <c r="AS2293" i="1"/>
  <c r="AT2293" i="1" s="1"/>
  <c r="AS2294" i="1"/>
  <c r="AT2294" i="1" s="1"/>
  <c r="AS2740" i="1"/>
  <c r="AT2740" i="1" s="1"/>
  <c r="AS2741" i="1"/>
  <c r="AT2741" i="1" s="1"/>
  <c r="AS2477" i="1"/>
  <c r="AT2477" i="1" s="1"/>
  <c r="AS2478" i="1"/>
  <c r="AT2478" i="1" s="1"/>
  <c r="AS2610" i="1"/>
  <c r="AT2610" i="1" s="1"/>
  <c r="AS2720" i="1"/>
  <c r="AT2720" i="1" s="1"/>
  <c r="AS2739" i="1"/>
  <c r="AT2739" i="1" s="1"/>
  <c r="AS1133" i="1"/>
  <c r="AT1133" i="1" s="1"/>
  <c r="AS1143" i="1"/>
  <c r="AT1143" i="1" s="1"/>
  <c r="AS1144" i="1"/>
  <c r="AT1144" i="1" s="1"/>
  <c r="AS3567" i="1"/>
  <c r="AT3567" i="1" s="1"/>
  <c r="AS270" i="1"/>
  <c r="AT270" i="1" s="1"/>
  <c r="AS1727" i="1"/>
  <c r="AT1727" i="1" s="1"/>
  <c r="AS1854" i="1"/>
  <c r="AT1854" i="1" s="1"/>
  <c r="AS1855" i="1"/>
  <c r="AT1855" i="1" s="1"/>
  <c r="AS1935" i="1"/>
  <c r="AT1935" i="1" s="1"/>
  <c r="AS1936" i="1"/>
  <c r="AT1936" i="1" s="1"/>
  <c r="AS2149" i="1"/>
  <c r="AT2149" i="1" s="1"/>
  <c r="AS1856" i="1"/>
  <c r="AT1856" i="1" s="1"/>
  <c r="AS1857" i="1"/>
  <c r="AT1857" i="1" s="1"/>
  <c r="AS1858" i="1"/>
  <c r="AT1858" i="1" s="1"/>
  <c r="AS1885" i="1"/>
  <c r="AT1885" i="1" s="1"/>
  <c r="AS2302" i="1"/>
  <c r="AT2302" i="1" s="1"/>
  <c r="AS2303" i="1"/>
  <c r="AT2303" i="1" s="1"/>
  <c r="AS2404" i="1"/>
  <c r="AT2404" i="1" s="1"/>
  <c r="AS2462" i="1"/>
  <c r="AT2462" i="1" s="1"/>
  <c r="AS3562" i="1"/>
  <c r="AT3562" i="1" s="1"/>
  <c r="AS3563" i="1"/>
  <c r="AT3563" i="1" s="1"/>
  <c r="AS3564" i="1"/>
  <c r="AT3564" i="1" s="1"/>
  <c r="AS3565" i="1"/>
  <c r="AT3565" i="1" s="1"/>
  <c r="AS3568" i="1"/>
  <c r="AT3568" i="1" s="1"/>
  <c r="AS3569" i="1"/>
  <c r="AT3569" i="1" s="1"/>
  <c r="AS3576" i="1"/>
  <c r="AT3576" i="1" s="1"/>
  <c r="AS3577" i="1"/>
  <c r="AT3577" i="1" s="1"/>
  <c r="AS3278" i="1"/>
  <c r="AT3278" i="1" s="1"/>
  <c r="AS3343" i="1"/>
  <c r="AT3343" i="1" s="1"/>
  <c r="AS1283" i="1"/>
  <c r="AT1283" i="1" s="1"/>
  <c r="AS1886" i="1"/>
  <c r="AT1886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1404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886" i="1"/>
  <c r="AP1886" i="1"/>
  <c r="AQ1283" i="1"/>
  <c r="AP1283" i="1"/>
  <c r="AQ3343" i="1"/>
  <c r="AP3343" i="1"/>
  <c r="AQ3278" i="1"/>
  <c r="AP3278" i="1"/>
  <c r="AQ3577" i="1"/>
  <c r="AP3577" i="1"/>
  <c r="AQ3576" i="1"/>
  <c r="AP3576" i="1"/>
  <c r="I3576" i="1"/>
  <c r="E3576" i="1" s="1"/>
  <c r="AQ3569" i="1"/>
  <c r="AP3569" i="1"/>
  <c r="AH3569" i="1"/>
  <c r="AG3569" i="1"/>
  <c r="AE3569" i="1"/>
  <c r="AF3569" i="1" s="1"/>
  <c r="Z3569" i="1"/>
  <c r="Y3569" i="1"/>
  <c r="I3569" i="1"/>
  <c r="E3569" i="1" s="1"/>
  <c r="D3569" i="1"/>
  <c r="A3569" i="1" s="1"/>
  <c r="AQ3568" i="1"/>
  <c r="AP3568" i="1"/>
  <c r="AH3568" i="1"/>
  <c r="AG3568" i="1"/>
  <c r="AE3568" i="1"/>
  <c r="AF3568" i="1" s="1"/>
  <c r="Z3568" i="1"/>
  <c r="Y3568" i="1"/>
  <c r="I3568" i="1"/>
  <c r="E3568" i="1" s="1"/>
  <c r="D3568" i="1"/>
  <c r="A3568" i="1" s="1"/>
  <c r="AQ3565" i="1"/>
  <c r="AP3565" i="1"/>
  <c r="AH3565" i="1"/>
  <c r="AG3565" i="1"/>
  <c r="AE3565" i="1"/>
  <c r="AF3565" i="1" s="1"/>
  <c r="AC3565" i="1"/>
  <c r="Z3565" i="1"/>
  <c r="Y3565" i="1"/>
  <c r="I3565" i="1"/>
  <c r="E3565" i="1" s="1"/>
  <c r="D3565" i="1"/>
  <c r="A3565" i="1" s="1"/>
  <c r="AQ3564" i="1"/>
  <c r="AP3564" i="1"/>
  <c r="AH3564" i="1"/>
  <c r="AG3564" i="1"/>
  <c r="AE3564" i="1"/>
  <c r="AF3564" i="1" s="1"/>
  <c r="AC3564" i="1"/>
  <c r="Z3564" i="1"/>
  <c r="Y3564" i="1"/>
  <c r="I3564" i="1"/>
  <c r="E3564" i="1" s="1"/>
  <c r="D3564" i="1"/>
  <c r="A3564" i="1" s="1"/>
  <c r="AQ3563" i="1"/>
  <c r="AP3563" i="1"/>
  <c r="AH3563" i="1"/>
  <c r="AG3563" i="1"/>
  <c r="AE3563" i="1"/>
  <c r="AF3563" i="1" s="1"/>
  <c r="AC3563" i="1"/>
  <c r="Z3563" i="1"/>
  <c r="Y3563" i="1"/>
  <c r="I3563" i="1"/>
  <c r="E3563" i="1" s="1"/>
  <c r="D3563" i="1"/>
  <c r="A3563" i="1" s="1"/>
  <c r="AQ3562" i="1"/>
  <c r="AP3562" i="1"/>
  <c r="AH3562" i="1"/>
  <c r="AG3562" i="1"/>
  <c r="AE3562" i="1"/>
  <c r="AF3562" i="1" s="1"/>
  <c r="AC3562" i="1"/>
  <c r="Z3562" i="1"/>
  <c r="Y3562" i="1"/>
  <c r="I3562" i="1"/>
  <c r="E3562" i="1" s="1"/>
  <c r="D3562" i="1"/>
  <c r="A3562" i="1" s="1"/>
  <c r="AQ2462" i="1"/>
  <c r="AP2462" i="1"/>
  <c r="AH2462" i="1"/>
  <c r="AG2462" i="1"/>
  <c r="AE2462" i="1"/>
  <c r="AF2462" i="1" s="1"/>
  <c r="Z2462" i="1"/>
  <c r="Y2462" i="1"/>
  <c r="I2462" i="1"/>
  <c r="E2462" i="1" s="1"/>
  <c r="D2462" i="1"/>
  <c r="A2462" i="1" s="1"/>
  <c r="AQ2404" i="1"/>
  <c r="AP2404" i="1"/>
  <c r="AH2404" i="1"/>
  <c r="AG2404" i="1"/>
  <c r="AE2404" i="1"/>
  <c r="AF2404" i="1" s="1"/>
  <c r="Z2404" i="1"/>
  <c r="Y2404" i="1"/>
  <c r="I2404" i="1"/>
  <c r="E2404" i="1" s="1"/>
  <c r="D2404" i="1"/>
  <c r="A2404" i="1" s="1"/>
  <c r="AQ2303" i="1"/>
  <c r="AP2303" i="1"/>
  <c r="AH2303" i="1"/>
  <c r="AG2303" i="1"/>
  <c r="AE2303" i="1"/>
  <c r="AF2303" i="1" s="1"/>
  <c r="Z2303" i="1"/>
  <c r="Y2303" i="1"/>
  <c r="I2303" i="1"/>
  <c r="E2303" i="1" s="1"/>
  <c r="D2303" i="1"/>
  <c r="A2303" i="1" s="1"/>
  <c r="AQ2302" i="1"/>
  <c r="AP2302" i="1"/>
  <c r="AH2302" i="1"/>
  <c r="AG2302" i="1"/>
  <c r="AE2302" i="1"/>
  <c r="AF2302" i="1" s="1"/>
  <c r="Z2302" i="1"/>
  <c r="Y2302" i="1"/>
  <c r="I2302" i="1"/>
  <c r="E2302" i="1" s="1"/>
  <c r="D2302" i="1"/>
  <c r="A2302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2149" i="1"/>
  <c r="AP2149" i="1"/>
  <c r="AH2149" i="1"/>
  <c r="AG2149" i="1"/>
  <c r="AE2149" i="1"/>
  <c r="AF2149" i="1" s="1"/>
  <c r="Z2149" i="1"/>
  <c r="Y2149" i="1"/>
  <c r="I2149" i="1"/>
  <c r="E2149" i="1" s="1"/>
  <c r="D2149" i="1"/>
  <c r="A2149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1935" i="1"/>
  <c r="AP1935" i="1"/>
  <c r="AH1935" i="1"/>
  <c r="AG1935" i="1"/>
  <c r="AE1935" i="1"/>
  <c r="AF1935" i="1" s="1"/>
  <c r="Z1935" i="1"/>
  <c r="Y1935" i="1"/>
  <c r="I1935" i="1"/>
  <c r="E1935" i="1" s="1"/>
  <c r="D1935" i="1"/>
  <c r="A1935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2739" i="1"/>
  <c r="AP2739" i="1"/>
  <c r="AH2739" i="1"/>
  <c r="AG2739" i="1"/>
  <c r="AE2739" i="1"/>
  <c r="AF2739" i="1" s="1"/>
  <c r="Z2739" i="1"/>
  <c r="Y2739" i="1"/>
  <c r="I2739" i="1"/>
  <c r="E2739" i="1" s="1"/>
  <c r="D2739" i="1"/>
  <c r="A2739" i="1" s="1"/>
  <c r="AQ2720" i="1"/>
  <c r="AP2720" i="1"/>
  <c r="AH2720" i="1"/>
  <c r="AG2720" i="1"/>
  <c r="AE2720" i="1"/>
  <c r="AF2720" i="1" s="1"/>
  <c r="Z2720" i="1"/>
  <c r="Y2720" i="1"/>
  <c r="I2720" i="1"/>
  <c r="E2720" i="1" s="1"/>
  <c r="D2720" i="1"/>
  <c r="A2720" i="1" s="1"/>
  <c r="AQ2610" i="1"/>
  <c r="AP2610" i="1"/>
  <c r="AH2610" i="1"/>
  <c r="AG2610" i="1"/>
  <c r="AE2610" i="1"/>
  <c r="AF2610" i="1" s="1"/>
  <c r="Z2610" i="1"/>
  <c r="Y2610" i="1"/>
  <c r="I2610" i="1"/>
  <c r="E2610" i="1" s="1"/>
  <c r="D2610" i="1"/>
  <c r="A2610" i="1" s="1"/>
  <c r="AQ2478" i="1"/>
  <c r="AP2478" i="1"/>
  <c r="AH2478" i="1"/>
  <c r="AG2478" i="1"/>
  <c r="AE2478" i="1"/>
  <c r="AF2478" i="1" s="1"/>
  <c r="Z2478" i="1"/>
  <c r="Y2478" i="1"/>
  <c r="I2478" i="1"/>
  <c r="E2478" i="1" s="1"/>
  <c r="D2478" i="1"/>
  <c r="A2478" i="1" s="1"/>
  <c r="AQ2477" i="1"/>
  <c r="AP2477" i="1"/>
  <c r="AH2477" i="1"/>
  <c r="AG2477" i="1"/>
  <c r="AE2477" i="1"/>
  <c r="AF2477" i="1" s="1"/>
  <c r="Z2477" i="1"/>
  <c r="Y2477" i="1"/>
  <c r="I2477" i="1"/>
  <c r="E2477" i="1" s="1"/>
  <c r="D2477" i="1"/>
  <c r="A2477" i="1" s="1"/>
  <c r="AQ2741" i="1"/>
  <c r="AP2741" i="1"/>
  <c r="AH2741" i="1"/>
  <c r="AG2741" i="1"/>
  <c r="AE2741" i="1"/>
  <c r="AF2741" i="1" s="1"/>
  <c r="Z2741" i="1"/>
  <c r="Y2741" i="1"/>
  <c r="E2741" i="1"/>
  <c r="D2741" i="1"/>
  <c r="A2741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294" i="1"/>
  <c r="AP2294" i="1"/>
  <c r="AH2294" i="1"/>
  <c r="AG2294" i="1"/>
  <c r="AE2294" i="1"/>
  <c r="AF2294" i="1" s="1"/>
  <c r="Z2294" i="1"/>
  <c r="Y2294" i="1"/>
  <c r="I2294" i="1"/>
  <c r="E2294" i="1" s="1"/>
  <c r="D2294" i="1"/>
  <c r="A2294" i="1" s="1"/>
  <c r="AQ2293" i="1"/>
  <c r="AP2293" i="1"/>
  <c r="AH2293" i="1"/>
  <c r="AG2293" i="1"/>
  <c r="AE2293" i="1"/>
  <c r="AF2293" i="1" s="1"/>
  <c r="Z2293" i="1"/>
  <c r="I2293" i="1"/>
  <c r="E2293" i="1" s="1"/>
  <c r="D2293" i="1"/>
  <c r="A2293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578" i="1"/>
  <c r="AP1578" i="1"/>
  <c r="AH1578" i="1"/>
  <c r="AG1578" i="1"/>
  <c r="AE1578" i="1"/>
  <c r="AF1578" i="1" s="1"/>
  <c r="Z1578" i="1"/>
  <c r="Y1578" i="1"/>
  <c r="I1578" i="1"/>
  <c r="E1578" i="1" s="1"/>
  <c r="D1578" i="1"/>
  <c r="A1578" i="1" s="1"/>
  <c r="AQ1286" i="1"/>
  <c r="AP1286" i="1"/>
  <c r="AH1286" i="1"/>
  <c r="AG1286" i="1"/>
  <c r="AE1286" i="1"/>
  <c r="AF1286" i="1" s="1"/>
  <c r="Z1286" i="1"/>
  <c r="Y1286" i="1"/>
  <c r="I1286" i="1"/>
  <c r="E1286" i="1" s="1"/>
  <c r="D1286" i="1"/>
  <c r="A1286" i="1" s="1"/>
  <c r="AQ2301" i="1"/>
  <c r="AP2301" i="1"/>
  <c r="AH2301" i="1"/>
  <c r="AG2301" i="1"/>
  <c r="AE2301" i="1"/>
  <c r="AF2301" i="1" s="1"/>
  <c r="Z2301" i="1"/>
  <c r="Y2301" i="1"/>
  <c r="I2301" i="1"/>
  <c r="E2301" i="1" s="1"/>
  <c r="D2301" i="1"/>
  <c r="A2301" i="1" s="1"/>
  <c r="AQ1276" i="1"/>
  <c r="AP1276" i="1"/>
  <c r="AH1276" i="1"/>
  <c r="AG1276" i="1"/>
  <c r="AE1276" i="1"/>
  <c r="AF1276" i="1" s="1"/>
  <c r="Z1276" i="1"/>
  <c r="Y1276" i="1"/>
  <c r="I1276" i="1"/>
  <c r="E1276" i="1" s="1"/>
  <c r="D1276" i="1"/>
  <c r="A1276" i="1" s="1"/>
  <c r="AQ1120" i="1"/>
  <c r="AP1120" i="1"/>
  <c r="AH1120" i="1"/>
  <c r="AG1120" i="1"/>
  <c r="AE1120" i="1"/>
  <c r="AF1120" i="1" s="1"/>
  <c r="Z1120" i="1"/>
  <c r="Y1120" i="1"/>
  <c r="I1120" i="1"/>
  <c r="E1120" i="1" s="1"/>
  <c r="D1120" i="1"/>
  <c r="A112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683" i="1"/>
  <c r="AP2683" i="1"/>
  <c r="AH2683" i="1"/>
  <c r="AG2683" i="1"/>
  <c r="AE2683" i="1"/>
  <c r="AF2683" i="1" s="1"/>
  <c r="Z2683" i="1"/>
  <c r="Y2683" i="1"/>
  <c r="I2683" i="1"/>
  <c r="E2683" i="1" s="1"/>
  <c r="D2683" i="1"/>
  <c r="A2683" i="1" s="1"/>
  <c r="AQ1612" i="1"/>
  <c r="AP1612" i="1"/>
  <c r="AH1612" i="1"/>
  <c r="AG1612" i="1"/>
  <c r="AE1612" i="1"/>
  <c r="AF1612" i="1" s="1"/>
  <c r="Z1612" i="1"/>
  <c r="Y1612" i="1"/>
  <c r="I1612" i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D1603" i="1"/>
  <c r="A1603" i="1" s="1"/>
  <c r="AQ223" i="1"/>
  <c r="AP223" i="1"/>
  <c r="AH223" i="1"/>
  <c r="AG223" i="1"/>
  <c r="AE223" i="1"/>
  <c r="AF223" i="1" s="1"/>
  <c r="Z223" i="1"/>
  <c r="Y223" i="1"/>
  <c r="I223" i="1"/>
  <c r="D223" i="1"/>
  <c r="A223" i="1" s="1"/>
  <c r="AQ217" i="1"/>
  <c r="AP217" i="1"/>
  <c r="AH217" i="1"/>
  <c r="AG217" i="1"/>
  <c r="AE217" i="1"/>
  <c r="AF217" i="1" s="1"/>
  <c r="Z217" i="1"/>
  <c r="Y217" i="1"/>
  <c r="I217" i="1"/>
  <c r="D217" i="1"/>
  <c r="A217" i="1" s="1"/>
  <c r="AQ2148" i="1"/>
  <c r="AP2148" i="1"/>
  <c r="AH2148" i="1"/>
  <c r="AG2148" i="1"/>
  <c r="AE2148" i="1"/>
  <c r="AF2148" i="1" s="1"/>
  <c r="Z2148" i="1"/>
  <c r="Y2148" i="1"/>
  <c r="I2148" i="1"/>
  <c r="D2148" i="1"/>
  <c r="A2148" i="1" s="1"/>
  <c r="AQ2111" i="1"/>
  <c r="AP2111" i="1"/>
  <c r="AH2111" i="1"/>
  <c r="AG2111" i="1"/>
  <c r="AE2111" i="1"/>
  <c r="AF2111" i="1" s="1"/>
  <c r="Z2111" i="1"/>
  <c r="Y2111" i="1"/>
  <c r="I2111" i="1"/>
  <c r="D2111" i="1"/>
  <c r="A2111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511" i="1"/>
  <c r="AP1511" i="1"/>
  <c r="AH1511" i="1"/>
  <c r="AG1511" i="1"/>
  <c r="AE1511" i="1"/>
  <c r="AF1511" i="1" s="1"/>
  <c r="Z1511" i="1"/>
  <c r="Y1511" i="1"/>
  <c r="I1511" i="1"/>
  <c r="E1511" i="1" s="1"/>
  <c r="D1511" i="1"/>
  <c r="A1511" i="1" s="1"/>
  <c r="AQ1476" i="1"/>
  <c r="AP1476" i="1"/>
  <c r="AH1476" i="1"/>
  <c r="AG1476" i="1"/>
  <c r="AE1476" i="1"/>
  <c r="AF1476" i="1" s="1"/>
  <c r="Z1476" i="1"/>
  <c r="Y1476" i="1"/>
  <c r="I1476" i="1"/>
  <c r="E1476" i="1" s="1"/>
  <c r="D1476" i="1"/>
  <c r="A1476" i="1" s="1"/>
  <c r="AQ1304" i="1"/>
  <c r="AP1304" i="1"/>
  <c r="AH1304" i="1"/>
  <c r="AG1304" i="1"/>
  <c r="AE1304" i="1"/>
  <c r="AF1304" i="1" s="1"/>
  <c r="Z1304" i="1"/>
  <c r="Y1304" i="1"/>
  <c r="I1304" i="1"/>
  <c r="E1304" i="1" s="1"/>
  <c r="D1304" i="1"/>
  <c r="A1304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1277" i="1"/>
  <c r="AP1277" i="1"/>
  <c r="AH1277" i="1"/>
  <c r="AG1277" i="1"/>
  <c r="AE1277" i="1"/>
  <c r="AF1277" i="1" s="1"/>
  <c r="Z1277" i="1"/>
  <c r="Y1277" i="1"/>
  <c r="I1277" i="1"/>
  <c r="E1277" i="1" s="1"/>
  <c r="D1277" i="1"/>
  <c r="A1277" i="1" s="1"/>
  <c r="AQ2872" i="1"/>
  <c r="AP2872" i="1"/>
  <c r="AH2872" i="1"/>
  <c r="AG2872" i="1"/>
  <c r="AE2872" i="1"/>
  <c r="AF2872" i="1" s="1"/>
  <c r="Z2872" i="1"/>
  <c r="Y2872" i="1"/>
  <c r="I2872" i="1"/>
  <c r="E2872" i="1" s="1"/>
  <c r="D2872" i="1"/>
  <c r="A287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51" i="1"/>
  <c r="AP2251" i="1"/>
  <c r="AH2251" i="1"/>
  <c r="AG2251" i="1"/>
  <c r="AE2251" i="1"/>
  <c r="AF2251" i="1" s="1"/>
  <c r="Z2251" i="1"/>
  <c r="Y2251" i="1"/>
  <c r="I2251" i="1"/>
  <c r="E2251" i="1" s="1"/>
  <c r="D2251" i="1"/>
  <c r="A2251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495" i="1"/>
  <c r="AP495" i="1"/>
  <c r="AH495" i="1"/>
  <c r="AG495" i="1"/>
  <c r="AE495" i="1"/>
  <c r="AF495" i="1" s="1"/>
  <c r="Y495" i="1"/>
  <c r="I495" i="1"/>
  <c r="D495" i="1"/>
  <c r="A495" i="1" s="1"/>
  <c r="AQ483" i="1"/>
  <c r="AP483" i="1"/>
  <c r="AH483" i="1"/>
  <c r="AG483" i="1"/>
  <c r="AE483" i="1"/>
  <c r="AF483" i="1" s="1"/>
  <c r="Y483" i="1"/>
  <c r="I483" i="1"/>
  <c r="D483" i="1"/>
  <c r="A483" i="1" s="1"/>
  <c r="AQ482" i="1"/>
  <c r="AP482" i="1"/>
  <c r="AH482" i="1"/>
  <c r="AG482" i="1"/>
  <c r="AE482" i="1"/>
  <c r="AF482" i="1" s="1"/>
  <c r="Y482" i="1"/>
  <c r="I482" i="1"/>
  <c r="D482" i="1"/>
  <c r="A482" i="1" s="1"/>
  <c r="AQ478" i="1"/>
  <c r="AP478" i="1"/>
  <c r="AH478" i="1"/>
  <c r="AG478" i="1"/>
  <c r="AE478" i="1"/>
  <c r="AF478" i="1" s="1"/>
  <c r="Y478" i="1"/>
  <c r="I478" i="1"/>
  <c r="D478" i="1"/>
  <c r="A478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1938" i="1"/>
  <c r="AP1938" i="1"/>
  <c r="AH1938" i="1"/>
  <c r="AG1938" i="1"/>
  <c r="AE1938" i="1"/>
  <c r="AF1938" i="1" s="1"/>
  <c r="Z1938" i="1"/>
  <c r="Y1938" i="1"/>
  <c r="I1938" i="1"/>
  <c r="E1938" i="1" s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E1937" i="1" s="1"/>
  <c r="D1937" i="1"/>
  <c r="A1937" i="1" s="1"/>
  <c r="AQ2648" i="1"/>
  <c r="AP2648" i="1"/>
  <c r="AH2648" i="1"/>
  <c r="AG2648" i="1"/>
  <c r="AE2648" i="1"/>
  <c r="AF2648" i="1" s="1"/>
  <c r="Z2648" i="1"/>
  <c r="Y2648" i="1"/>
  <c r="I2648" i="1"/>
  <c r="E2648" i="1" s="1"/>
  <c r="D2648" i="1"/>
  <c r="A2648" i="1" s="1"/>
  <c r="AQ2581" i="1"/>
  <c r="AP2581" i="1"/>
  <c r="AH2581" i="1"/>
  <c r="AG2581" i="1"/>
  <c r="AE2581" i="1"/>
  <c r="AF2581" i="1" s="1"/>
  <c r="Y2581" i="1"/>
  <c r="I2581" i="1"/>
  <c r="E2581" i="1" s="1"/>
  <c r="D2581" i="1"/>
  <c r="A2581" i="1" s="1"/>
  <c r="AQ2250" i="1"/>
  <c r="AP2250" i="1"/>
  <c r="AH2250" i="1"/>
  <c r="AG2250" i="1"/>
  <c r="AE2250" i="1"/>
  <c r="AF2250" i="1" s="1"/>
  <c r="Z2250" i="1"/>
  <c r="Y2250" i="1"/>
  <c r="I2250" i="1"/>
  <c r="E2250" i="1" s="1"/>
  <c r="D2250" i="1"/>
  <c r="A2250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2247" i="1"/>
  <c r="AP2247" i="1"/>
  <c r="AH2247" i="1"/>
  <c r="AG2247" i="1"/>
  <c r="AE2247" i="1"/>
  <c r="AF2247" i="1" s="1"/>
  <c r="Z2247" i="1"/>
  <c r="Y2247" i="1"/>
  <c r="I2247" i="1"/>
  <c r="E2247" i="1" s="1"/>
  <c r="D2247" i="1"/>
  <c r="A2247" i="1" s="1"/>
  <c r="AQ2246" i="1"/>
  <c r="AP2246" i="1"/>
  <c r="AH2246" i="1"/>
  <c r="AG2246" i="1"/>
  <c r="AE2246" i="1"/>
  <c r="AF2246" i="1" s="1"/>
  <c r="Z2246" i="1"/>
  <c r="Y2246" i="1"/>
  <c r="I2246" i="1"/>
  <c r="E2246" i="1" s="1"/>
  <c r="D2246" i="1"/>
  <c r="A2246" i="1" s="1"/>
  <c r="AQ690" i="1"/>
  <c r="AP690" i="1"/>
  <c r="AH690" i="1"/>
  <c r="AG690" i="1"/>
  <c r="AE690" i="1"/>
  <c r="AF690" i="1" s="1"/>
  <c r="Z690" i="1"/>
  <c r="Y690" i="1"/>
  <c r="I690" i="1"/>
  <c r="D690" i="1"/>
  <c r="A690" i="1" s="1"/>
  <c r="AQ689" i="1"/>
  <c r="AP689" i="1"/>
  <c r="AH689" i="1"/>
  <c r="AG689" i="1"/>
  <c r="AE689" i="1"/>
  <c r="AF689" i="1" s="1"/>
  <c r="Z689" i="1"/>
  <c r="Y689" i="1"/>
  <c r="I689" i="1"/>
  <c r="D689" i="1"/>
  <c r="A689" i="1" s="1"/>
  <c r="AQ688" i="1"/>
  <c r="AP688" i="1"/>
  <c r="AH688" i="1"/>
  <c r="AG688" i="1"/>
  <c r="AE688" i="1"/>
  <c r="AF688" i="1" s="1"/>
  <c r="Z688" i="1"/>
  <c r="Y688" i="1"/>
  <c r="I688" i="1"/>
  <c r="D688" i="1"/>
  <c r="A688" i="1" s="1"/>
  <c r="AQ602" i="1"/>
  <c r="AP602" i="1"/>
  <c r="AH602" i="1"/>
  <c r="AG602" i="1"/>
  <c r="AE602" i="1"/>
  <c r="AF602" i="1" s="1"/>
  <c r="Z602" i="1"/>
  <c r="Y602" i="1"/>
  <c r="I602" i="1"/>
  <c r="D602" i="1"/>
  <c r="A602" i="1" s="1"/>
  <c r="AQ601" i="1"/>
  <c r="AP601" i="1"/>
  <c r="AH601" i="1"/>
  <c r="AG601" i="1"/>
  <c r="AE601" i="1"/>
  <c r="AF601" i="1" s="1"/>
  <c r="Z601" i="1"/>
  <c r="Y601" i="1"/>
  <c r="I601" i="1"/>
  <c r="D601" i="1"/>
  <c r="A601" i="1" s="1"/>
  <c r="AQ510" i="1"/>
  <c r="AP510" i="1"/>
  <c r="AH510" i="1"/>
  <c r="AG510" i="1"/>
  <c r="AE510" i="1"/>
  <c r="AF510" i="1" s="1"/>
  <c r="Z510" i="1"/>
  <c r="Y510" i="1"/>
  <c r="I510" i="1"/>
  <c r="D510" i="1"/>
  <c r="A510" i="1" s="1"/>
  <c r="AQ509" i="1"/>
  <c r="AP509" i="1"/>
  <c r="AH509" i="1"/>
  <c r="AG509" i="1"/>
  <c r="AE509" i="1"/>
  <c r="AF509" i="1" s="1"/>
  <c r="Z509" i="1"/>
  <c r="Y509" i="1"/>
  <c r="I509" i="1"/>
  <c r="D509" i="1"/>
  <c r="A509" i="1" s="1"/>
  <c r="AQ496" i="1"/>
  <c r="AP496" i="1"/>
  <c r="AH496" i="1"/>
  <c r="AG496" i="1"/>
  <c r="AE496" i="1"/>
  <c r="AF496" i="1" s="1"/>
  <c r="Z496" i="1"/>
  <c r="Y496" i="1"/>
  <c r="I496" i="1"/>
  <c r="D496" i="1"/>
  <c r="A496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397" i="1"/>
  <c r="AP1397" i="1"/>
  <c r="AH1397" i="1"/>
  <c r="AG1397" i="1"/>
  <c r="AE1397" i="1"/>
  <c r="AF1397" i="1" s="1"/>
  <c r="Z1397" i="1"/>
  <c r="Y1397" i="1"/>
  <c r="I1397" i="1"/>
  <c r="E1397" i="1" s="1"/>
  <c r="D1397" i="1"/>
  <c r="A1397" i="1" s="1"/>
  <c r="AQ1392" i="1"/>
  <c r="AP1392" i="1"/>
  <c r="AH1392" i="1"/>
  <c r="AG1392" i="1"/>
  <c r="AE1392" i="1"/>
  <c r="AF1392" i="1" s="1"/>
  <c r="Z1392" i="1"/>
  <c r="Y1392" i="1"/>
  <c r="I1392" i="1"/>
  <c r="E1392" i="1" s="1"/>
  <c r="D1392" i="1"/>
  <c r="A1392" i="1" s="1"/>
  <c r="AQ1390" i="1"/>
  <c r="AP1390" i="1"/>
  <c r="AH1390" i="1"/>
  <c r="AG1390" i="1"/>
  <c r="AE1390" i="1"/>
  <c r="AF1390" i="1" s="1"/>
  <c r="Z1390" i="1"/>
  <c r="Y1390" i="1"/>
  <c r="I1390" i="1"/>
  <c r="E1390" i="1" s="1"/>
  <c r="D1390" i="1"/>
  <c r="A1390" i="1" s="1"/>
  <c r="AQ1363" i="1"/>
  <c r="AP1363" i="1"/>
  <c r="AH1363" i="1"/>
  <c r="AG1363" i="1"/>
  <c r="AE1363" i="1"/>
  <c r="AF1363" i="1" s="1"/>
  <c r="Z1363" i="1"/>
  <c r="Y1363" i="1"/>
  <c r="I1363" i="1"/>
  <c r="E1363" i="1" s="1"/>
  <c r="D1363" i="1"/>
  <c r="A1363" i="1" s="1"/>
  <c r="AQ1362" i="1"/>
  <c r="AP1362" i="1"/>
  <c r="AH1362" i="1"/>
  <c r="AG1362" i="1"/>
  <c r="AE1362" i="1"/>
  <c r="AF1362" i="1" s="1"/>
  <c r="Z1362" i="1"/>
  <c r="Y1362" i="1"/>
  <c r="I1362" i="1"/>
  <c r="E1362" i="1" s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E1322" i="1" s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E1318" i="1" s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E1305" i="1" s="1"/>
  <c r="D1305" i="1"/>
  <c r="A1305" i="1" s="1"/>
  <c r="AQ1475" i="1"/>
  <c r="AP1475" i="1"/>
  <c r="AH1475" i="1"/>
  <c r="AG1475" i="1"/>
  <c r="AE1475" i="1"/>
  <c r="AF1475" i="1" s="1"/>
  <c r="Z1475" i="1"/>
  <c r="Y1475" i="1"/>
  <c r="I1475" i="1"/>
  <c r="E1475" i="1" s="1"/>
  <c r="D1475" i="1"/>
  <c r="A1475" i="1" s="1"/>
  <c r="AQ1474" i="1"/>
  <c r="AP1474" i="1"/>
  <c r="AH1474" i="1"/>
  <c r="AG1474" i="1"/>
  <c r="AE1474" i="1"/>
  <c r="AF1474" i="1" s="1"/>
  <c r="Z1474" i="1"/>
  <c r="Y1474" i="1"/>
  <c r="I1474" i="1"/>
  <c r="E1474" i="1" s="1"/>
  <c r="D1474" i="1"/>
  <c r="A1474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466" i="1"/>
  <c r="AP1466" i="1"/>
  <c r="AH1466" i="1"/>
  <c r="AG1466" i="1"/>
  <c r="AE1466" i="1"/>
  <c r="AF1466" i="1" s="1"/>
  <c r="Z1466" i="1"/>
  <c r="Y1466" i="1"/>
  <c r="I1466" i="1"/>
  <c r="E1466" i="1" s="1"/>
  <c r="D1466" i="1"/>
  <c r="A146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477" i="1"/>
  <c r="AP477" i="1"/>
  <c r="AH477" i="1"/>
  <c r="AG477" i="1"/>
  <c r="AE477" i="1"/>
  <c r="AF477" i="1" s="1"/>
  <c r="Z477" i="1"/>
  <c r="Y477" i="1"/>
  <c r="I477" i="1"/>
  <c r="D477" i="1"/>
  <c r="A477" i="1" s="1"/>
  <c r="AQ271" i="1"/>
  <c r="AP271" i="1"/>
  <c r="AH271" i="1"/>
  <c r="AG271" i="1"/>
  <c r="AE271" i="1"/>
  <c r="AF271" i="1" s="1"/>
  <c r="Z271" i="1"/>
  <c r="Y271" i="1"/>
  <c r="I271" i="1"/>
  <c r="D271" i="1"/>
  <c r="A271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858" i="1"/>
  <c r="AP858" i="1"/>
  <c r="AH858" i="1"/>
  <c r="AG858" i="1"/>
  <c r="AE858" i="1"/>
  <c r="AF858" i="1" s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Y855" i="1"/>
  <c r="I855" i="1"/>
  <c r="E855" i="1" s="1"/>
  <c r="D855" i="1"/>
  <c r="A855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1860" i="1"/>
  <c r="AP1860" i="1"/>
  <c r="AH1860" i="1"/>
  <c r="AG1860" i="1"/>
  <c r="AE1860" i="1"/>
  <c r="AF1860" i="1" s="1"/>
  <c r="Y1860" i="1"/>
  <c r="I1860" i="1"/>
  <c r="E1860" i="1" s="1"/>
  <c r="D1860" i="1"/>
  <c r="A1860" i="1" s="1"/>
  <c r="AQ3302" i="1"/>
  <c r="AP3302" i="1"/>
  <c r="AH3302" i="1"/>
  <c r="AG3302" i="1"/>
  <c r="AE3302" i="1"/>
  <c r="AF3302" i="1" s="1"/>
  <c r="Y3302" i="1"/>
  <c r="I3302" i="1"/>
  <c r="E3302" i="1" s="1"/>
  <c r="D3302" i="1"/>
  <c r="A3302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828" i="1"/>
  <c r="AP828" i="1"/>
  <c r="AH828" i="1"/>
  <c r="AG828" i="1"/>
  <c r="AE828" i="1"/>
  <c r="AF828" i="1" s="1"/>
  <c r="Z828" i="1"/>
  <c r="Y828" i="1"/>
  <c r="I828" i="1"/>
  <c r="E828" i="1" s="1"/>
  <c r="D828" i="1"/>
  <c r="A828" i="1" s="1"/>
  <c r="AQ827" i="1"/>
  <c r="AP827" i="1"/>
  <c r="AH827" i="1"/>
  <c r="AG827" i="1"/>
  <c r="AE827" i="1"/>
  <c r="AF827" i="1" s="1"/>
  <c r="Z827" i="1"/>
  <c r="Y827" i="1"/>
  <c r="I827" i="1"/>
  <c r="E827" i="1" s="1"/>
  <c r="D827" i="1"/>
  <c r="A827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1404" i="1"/>
  <c r="AP1404" i="1"/>
  <c r="AH1404" i="1"/>
  <c r="AG1404" i="1"/>
  <c r="AE1404" i="1"/>
  <c r="AF1404" i="1" s="1"/>
  <c r="Z1404" i="1"/>
  <c r="Y1404" i="1"/>
  <c r="D1404" i="1"/>
  <c r="A1404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1295" i="1"/>
  <c r="AP1295" i="1"/>
  <c r="AH1295" i="1"/>
  <c r="AG1295" i="1"/>
  <c r="AE1295" i="1"/>
  <c r="AF1295" i="1" s="1"/>
  <c r="Z1295" i="1"/>
  <c r="Y1295" i="1"/>
  <c r="I1295" i="1"/>
  <c r="E1295" i="1" s="1"/>
  <c r="D1295" i="1"/>
  <c r="A1295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2678" i="1"/>
  <c r="AP2678" i="1"/>
  <c r="AH2678" i="1"/>
  <c r="AG2678" i="1"/>
  <c r="AE2678" i="1"/>
  <c r="AF2678" i="1" s="1"/>
  <c r="Z2678" i="1"/>
  <c r="Y2678" i="1"/>
  <c r="I2678" i="1"/>
  <c r="D2678" i="1"/>
  <c r="A2678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2419" i="1"/>
  <c r="AP2419" i="1"/>
  <c r="AH2419" i="1"/>
  <c r="AG2419" i="1"/>
  <c r="AE2419" i="1"/>
  <c r="AF2419" i="1" s="1"/>
  <c r="Z2419" i="1"/>
  <c r="Y2419" i="1"/>
  <c r="I2419" i="1"/>
  <c r="D2419" i="1"/>
  <c r="A2419" i="1" s="1"/>
  <c r="AQ2418" i="1"/>
  <c r="AP2418" i="1"/>
  <c r="AH2418" i="1"/>
  <c r="AG2418" i="1"/>
  <c r="AE2418" i="1"/>
  <c r="AF2418" i="1" s="1"/>
  <c r="Z2418" i="1"/>
  <c r="Y2418" i="1"/>
  <c r="I2418" i="1"/>
  <c r="D2418" i="1"/>
  <c r="A2418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85" i="1"/>
  <c r="AP185" i="1"/>
  <c r="AH185" i="1"/>
  <c r="AG185" i="1"/>
  <c r="AE185" i="1"/>
  <c r="AF185" i="1" s="1"/>
  <c r="Z185" i="1"/>
  <c r="Y185" i="1"/>
  <c r="I185" i="1"/>
  <c r="D185" i="1"/>
  <c r="A185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74" i="1"/>
  <c r="AP3674" i="1"/>
  <c r="AH3674" i="1"/>
  <c r="AG3674" i="1"/>
  <c r="AE3674" i="1"/>
  <c r="AF3674" i="1" s="1"/>
  <c r="Z3674" i="1"/>
  <c r="Y3674" i="1"/>
  <c r="I3674" i="1"/>
  <c r="E3674" i="1" s="1"/>
  <c r="D3674" i="1"/>
  <c r="A3674" i="1" s="1"/>
  <c r="AQ2475" i="1"/>
  <c r="AP2475" i="1"/>
  <c r="AH2475" i="1"/>
  <c r="AG2475" i="1"/>
  <c r="AE2475" i="1"/>
  <c r="AF2475" i="1" s="1"/>
  <c r="Z2475" i="1"/>
  <c r="Y2475" i="1"/>
  <c r="I2475" i="1"/>
  <c r="E2475" i="1" s="1"/>
  <c r="D2475" i="1"/>
  <c r="A2475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284" i="1"/>
  <c r="AP1284" i="1"/>
  <c r="AH1284" i="1"/>
  <c r="AG1284" i="1"/>
  <c r="AE1284" i="1"/>
  <c r="AF1284" i="1" s="1"/>
  <c r="Z1284" i="1"/>
  <c r="Y1284" i="1"/>
  <c r="I1284" i="1"/>
  <c r="E1284" i="1" s="1"/>
  <c r="D1284" i="1"/>
  <c r="A1284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597" i="1"/>
  <c r="AP3597" i="1"/>
  <c r="AH3597" i="1"/>
  <c r="AG3597" i="1"/>
  <c r="AE3597" i="1"/>
  <c r="AF3597" i="1" s="1"/>
  <c r="Z3597" i="1"/>
  <c r="Y3597" i="1"/>
  <c r="I3597" i="1"/>
  <c r="E3597" i="1" s="1"/>
  <c r="D3597" i="1"/>
  <c r="A3597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AB581" i="1" s="1"/>
  <c r="AC581" i="1" s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AB1893" i="1" s="1"/>
  <c r="AC1893" i="1" s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AB2385" i="1" s="1"/>
  <c r="AC2385" i="1" s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AB2214" i="1" s="1"/>
  <c r="AC2214" i="1" s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1191" i="1"/>
  <c r="AP1191" i="1"/>
  <c r="AH1191" i="1"/>
  <c r="AG1191" i="1"/>
  <c r="AE1191" i="1"/>
  <c r="AF1191" i="1" s="1"/>
  <c r="Z1191" i="1"/>
  <c r="Y1191" i="1"/>
  <c r="I1191" i="1"/>
  <c r="E1191" i="1" s="1"/>
  <c r="D1191" i="1"/>
  <c r="A1191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286" i="1"/>
  <c r="AC1286" i="1" s="1"/>
  <c r="AB2294" i="1"/>
  <c r="AC2294" i="1" s="1"/>
  <c r="AB1578" i="1"/>
  <c r="AC1578" i="1" s="1"/>
  <c r="AB1276" i="1"/>
  <c r="AC1276" i="1" s="1"/>
  <c r="AB2741" i="1"/>
  <c r="AC2741" i="1" s="1"/>
  <c r="AB2293" i="1"/>
  <c r="AC2293" i="1" s="1"/>
  <c r="AB2111" i="1"/>
  <c r="AC2111" i="1" s="1"/>
  <c r="AB1603" i="1"/>
  <c r="AC1603" i="1" s="1"/>
  <c r="AB3580" i="1"/>
  <c r="AC3580" i="1" s="1"/>
  <c r="AB3584" i="1"/>
  <c r="AC3584" i="1" s="1"/>
  <c r="AB3277" i="1"/>
  <c r="AC3277" i="1" s="1"/>
  <c r="AB2301" i="1"/>
  <c r="AC2301" i="1" s="1"/>
  <c r="AB217" i="1"/>
  <c r="AC217" i="1" s="1"/>
  <c r="AB2683" i="1"/>
  <c r="AC2683" i="1" s="1"/>
  <c r="AB3582" i="1"/>
  <c r="AC3582" i="1" s="1"/>
  <c r="AB3195" i="1"/>
  <c r="AC3195" i="1" s="1"/>
  <c r="AB1120" i="1"/>
  <c r="AC1120" i="1" s="1"/>
  <c r="AB223" i="1"/>
  <c r="AC223" i="1" s="1"/>
  <c r="AB3579" i="1"/>
  <c r="AC3579" i="1" s="1"/>
  <c r="AB3583" i="1"/>
  <c r="AC3583" i="1" s="1"/>
  <c r="AB3253" i="1"/>
  <c r="AC3253" i="1" s="1"/>
  <c r="AB2148" i="1"/>
  <c r="AC2148" i="1" s="1"/>
  <c r="AB1612" i="1"/>
  <c r="AC1612" i="1" s="1"/>
  <c r="AB3581" i="1"/>
  <c r="AC3581" i="1" s="1"/>
  <c r="AB3194" i="1"/>
  <c r="AC3194" i="1" s="1"/>
  <c r="AB2110" i="1"/>
  <c r="AC2110" i="1" s="1"/>
  <c r="AB1282" i="1"/>
  <c r="AC1282" i="1" s="1"/>
  <c r="AB1602" i="1"/>
  <c r="AC1602" i="1" s="1"/>
  <c r="AB1476" i="1"/>
  <c r="AC1476" i="1" s="1"/>
  <c r="AB2749" i="1"/>
  <c r="AC2749" i="1" s="1"/>
  <c r="AB1277" i="1"/>
  <c r="AC1277" i="1" s="1"/>
  <c r="AB1511" i="1"/>
  <c r="AC1511" i="1" s="1"/>
  <c r="AB1304" i="1"/>
  <c r="AC1304" i="1" s="1"/>
  <c r="AB2872" i="1"/>
  <c r="AC2872" i="1" s="1"/>
  <c r="AB2871" i="1"/>
  <c r="AC2871" i="1" s="1"/>
  <c r="AB2251" i="1"/>
  <c r="AC2251" i="1" s="1"/>
  <c r="AB482" i="1"/>
  <c r="AC482" i="1" s="1"/>
  <c r="AB1881" i="1"/>
  <c r="AC1881" i="1" s="1"/>
  <c r="AB651" i="1"/>
  <c r="AC651" i="1" s="1"/>
  <c r="AB183" i="1"/>
  <c r="AC183" i="1" s="1"/>
  <c r="AB1725" i="1"/>
  <c r="AC1725" i="1" s="1"/>
  <c r="AB1305" i="1"/>
  <c r="AC1305" i="1" s="1"/>
  <c r="AB1363" i="1"/>
  <c r="AC1363" i="1" s="1"/>
  <c r="AB3585" i="1"/>
  <c r="AC3585" i="1" s="1"/>
  <c r="AB3589" i="1"/>
  <c r="AC3589" i="1" s="1"/>
  <c r="AB3595" i="1"/>
  <c r="AC3595" i="1" s="1"/>
  <c r="AB510" i="1"/>
  <c r="AC510" i="1" s="1"/>
  <c r="AB689" i="1"/>
  <c r="AC689" i="1" s="1"/>
  <c r="AB2248" i="1"/>
  <c r="AC2248" i="1" s="1"/>
  <c r="AB2278" i="1"/>
  <c r="AC2278" i="1" s="1"/>
  <c r="AB495" i="1"/>
  <c r="AC495" i="1" s="1"/>
  <c r="AB1883" i="1"/>
  <c r="AC1883" i="1" s="1"/>
  <c r="AB1406" i="1"/>
  <c r="AC1406" i="1" s="1"/>
  <c r="AB1613" i="1"/>
  <c r="AC1613" i="1" s="1"/>
  <c r="AB2346" i="1"/>
  <c r="AC2346" i="1" s="1"/>
  <c r="AB1444" i="1"/>
  <c r="AC1444" i="1" s="1"/>
  <c r="AB1474" i="1"/>
  <c r="AC1474" i="1" s="1"/>
  <c r="AB1322" i="1"/>
  <c r="AC1322" i="1" s="1"/>
  <c r="AB1392" i="1"/>
  <c r="AC1392" i="1" s="1"/>
  <c r="AB3587" i="1"/>
  <c r="AC3587" i="1" s="1"/>
  <c r="AB3593" i="1"/>
  <c r="AC3593" i="1" s="1"/>
  <c r="AB496" i="1"/>
  <c r="AC496" i="1" s="1"/>
  <c r="AB602" i="1"/>
  <c r="AC602" i="1" s="1"/>
  <c r="AB2246" i="1"/>
  <c r="AC2246" i="1" s="1"/>
  <c r="AB2250" i="1"/>
  <c r="AC2250" i="1" s="1"/>
  <c r="AB1938" i="1"/>
  <c r="AC1938" i="1" s="1"/>
  <c r="AB1882" i="1"/>
  <c r="AC1882" i="1" s="1"/>
  <c r="AB1405" i="1"/>
  <c r="AC1405" i="1" s="1"/>
  <c r="AB205" i="1"/>
  <c r="AC205" i="1" s="1"/>
  <c r="AB1880" i="1"/>
  <c r="AC1880" i="1" s="1"/>
  <c r="AB1884" i="1"/>
  <c r="AC1884" i="1" s="1"/>
  <c r="AB135" i="1"/>
  <c r="AC135" i="1" s="1"/>
  <c r="AB1724" i="1"/>
  <c r="AC1724" i="1" s="1"/>
  <c r="AB478" i="1"/>
  <c r="AC478" i="1" s="1"/>
  <c r="AB483" i="1"/>
  <c r="AC483" i="1" s="1"/>
  <c r="AB1398" i="1"/>
  <c r="AC1398" i="1" s="1"/>
  <c r="AB1467" i="1"/>
  <c r="AC1467" i="1" s="1"/>
  <c r="AB1466" i="1"/>
  <c r="AC1466" i="1" s="1"/>
  <c r="AB1475" i="1"/>
  <c r="AC1475" i="1" s="1"/>
  <c r="AB1362" i="1"/>
  <c r="AC1362" i="1" s="1"/>
  <c r="AB1397" i="1"/>
  <c r="AC1397" i="1" s="1"/>
  <c r="AB3588" i="1"/>
  <c r="AC3588" i="1" s="1"/>
  <c r="AB3594" i="1"/>
  <c r="AC3594" i="1" s="1"/>
  <c r="AB509" i="1"/>
  <c r="AC509" i="1" s="1"/>
  <c r="AB688" i="1"/>
  <c r="AC688" i="1" s="1"/>
  <c r="AB2247" i="1"/>
  <c r="AC2247" i="1" s="1"/>
  <c r="AB2581" i="1"/>
  <c r="AC2581" i="1" s="1"/>
  <c r="AB2277" i="1"/>
  <c r="AC2277" i="1" s="1"/>
  <c r="AB2648" i="1"/>
  <c r="AC2648" i="1" s="1"/>
  <c r="AB1443" i="1"/>
  <c r="AC1443" i="1" s="1"/>
  <c r="AB1468" i="1"/>
  <c r="AC1468" i="1" s="1"/>
  <c r="AB1318" i="1"/>
  <c r="AC1318" i="1" s="1"/>
  <c r="AB1390" i="1"/>
  <c r="AC1390" i="1" s="1"/>
  <c r="AB3586" i="1"/>
  <c r="AC3586" i="1" s="1"/>
  <c r="AB3590" i="1"/>
  <c r="AC3590" i="1" s="1"/>
  <c r="AB3596" i="1"/>
  <c r="AC3596" i="1" s="1"/>
  <c r="AB601" i="1"/>
  <c r="AC601" i="1" s="1"/>
  <c r="AB690" i="1"/>
  <c r="AC690" i="1" s="1"/>
  <c r="AB2249" i="1"/>
  <c r="AC2249" i="1" s="1"/>
  <c r="AB1937" i="1"/>
  <c r="AB1274" i="1"/>
  <c r="AC1274" i="1" s="1"/>
  <c r="AB827" i="1"/>
  <c r="AC827" i="1" s="1"/>
  <c r="AB855" i="1"/>
  <c r="AC855" i="1" s="1"/>
  <c r="AB2612" i="1"/>
  <c r="AC2612" i="1" s="1"/>
  <c r="AB2345" i="1"/>
  <c r="AC2345" i="1" s="1"/>
  <c r="AB992" i="1"/>
  <c r="AC992" i="1" s="1"/>
  <c r="AB2299" i="1"/>
  <c r="AC2299" i="1" s="1"/>
  <c r="AB857" i="1"/>
  <c r="AC857" i="1" s="1"/>
  <c r="AB159" i="1"/>
  <c r="AC159" i="1" s="1"/>
  <c r="AB477" i="1"/>
  <c r="AC477" i="1" s="1"/>
  <c r="AB3302" i="1"/>
  <c r="AC3302" i="1" s="1"/>
  <c r="AB858" i="1"/>
  <c r="AC858" i="1" s="1"/>
  <c r="AB3566" i="1"/>
  <c r="AC3566" i="1" s="1"/>
  <c r="AB856" i="1"/>
  <c r="AC856" i="1" s="1"/>
  <c r="AB2613" i="1"/>
  <c r="AC2613" i="1" s="1"/>
  <c r="AB271" i="1"/>
  <c r="AC271" i="1" s="1"/>
  <c r="AB2609" i="1"/>
  <c r="AC2609" i="1" s="1"/>
  <c r="AB2955" i="1"/>
  <c r="AC2955" i="1" s="1"/>
  <c r="AB826" i="1"/>
  <c r="AC826" i="1" s="1"/>
  <c r="AB2561" i="1"/>
  <c r="AC2561" i="1" s="1"/>
  <c r="AB3000" i="1"/>
  <c r="AC3000" i="1" s="1"/>
  <c r="AB2954" i="1"/>
  <c r="AC2954" i="1" s="1"/>
  <c r="AB828" i="1"/>
  <c r="AC828" i="1" s="1"/>
  <c r="AB1860" i="1"/>
  <c r="AC1860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1404" i="1"/>
  <c r="AC1404" i="1" s="1"/>
  <c r="AB695" i="1"/>
  <c r="AC695" i="1" s="1"/>
  <c r="AB1493" i="1"/>
  <c r="AC1493" i="1" s="1"/>
  <c r="AB2417" i="1"/>
  <c r="AC2417" i="1" s="1"/>
  <c r="AB1294" i="1"/>
  <c r="AC1294" i="1" s="1"/>
  <c r="AB2846" i="1"/>
  <c r="AB1295" i="1"/>
  <c r="AC1295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2418" i="1"/>
  <c r="AC2418" i="1" s="1"/>
  <c r="AB2674" i="1"/>
  <c r="AC2674" i="1" s="1"/>
  <c r="AB3574" i="1"/>
  <c r="AC3574" i="1" s="1"/>
  <c r="AB1510" i="1"/>
  <c r="AC1510" i="1" s="1"/>
  <c r="AB185" i="1"/>
  <c r="AC185" i="1" s="1"/>
  <c r="AB2791" i="1"/>
  <c r="AC2791" i="1" s="1"/>
  <c r="AB3573" i="1"/>
  <c r="AC3573" i="1" s="1"/>
  <c r="AB2678" i="1"/>
  <c r="AC2678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475" i="1"/>
  <c r="AC2475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58" i="1"/>
  <c r="AC1858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57" i="1"/>
  <c r="AC1857" i="1" s="1"/>
  <c r="AB1856" i="1"/>
  <c r="AC1856" i="1" s="1"/>
  <c r="AB1133" i="1"/>
  <c r="AC1133" i="1" s="1"/>
  <c r="AB2303" i="1"/>
  <c r="AC2303" i="1" s="1"/>
  <c r="AB2404" i="1"/>
  <c r="AC2404" i="1" s="1"/>
  <c r="AB1143" i="1"/>
  <c r="AC1143" i="1" s="1"/>
  <c r="AB1885" i="1"/>
  <c r="AC1885" i="1" s="1"/>
  <c r="AB2462" i="1"/>
  <c r="AC2462" i="1" s="1"/>
  <c r="AB2302" i="1"/>
  <c r="AC2302" i="1" s="1"/>
  <c r="AB1936" i="1"/>
  <c r="AC1936" i="1" s="1"/>
  <c r="AB1144" i="1"/>
  <c r="AC1144" i="1" s="1"/>
  <c r="AB2478" i="1"/>
  <c r="AB1854" i="1"/>
  <c r="AC1854" i="1" s="1"/>
  <c r="AB2149" i="1"/>
  <c r="AC2149" i="1" s="1"/>
  <c r="AB2610" i="1"/>
  <c r="AC2610" i="1" s="1"/>
  <c r="AB3567" i="1"/>
  <c r="AC3567" i="1" s="1"/>
  <c r="AB1855" i="1"/>
  <c r="AC1855" i="1" s="1"/>
  <c r="AB2720" i="1"/>
  <c r="AC2720" i="1" s="1"/>
  <c r="AB270" i="1"/>
  <c r="AC270" i="1" s="1"/>
  <c r="AB1935" i="1"/>
  <c r="AC1935" i="1" s="1"/>
  <c r="AB2477" i="1"/>
  <c r="AC2477" i="1" s="1"/>
  <c r="AB2739" i="1"/>
  <c r="AC2739" i="1" s="1"/>
  <c r="AB1727" i="1"/>
  <c r="AC1727" i="1" s="1"/>
  <c r="AB2740" i="1"/>
  <c r="AC2740" i="1" s="1"/>
  <c r="AB2916" i="1"/>
  <c r="AC2916" i="1" s="1"/>
  <c r="AB1601" i="1"/>
  <c r="AC1601" i="1" s="1"/>
  <c r="I8" i="2" l="1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AI3736" i="1" s="1"/>
  <c r="E3728" i="1"/>
  <c r="AI3728" i="1" s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43" i="1"/>
  <c r="AJ3743" i="1" s="1"/>
  <c r="AK3743" i="1" s="1"/>
  <c r="E3727" i="1"/>
  <c r="AI3727" i="1" s="1"/>
  <c r="E3711" i="1"/>
  <c r="E3695" i="1"/>
  <c r="E3687" i="1"/>
  <c r="E3671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42" i="1"/>
  <c r="AI3742" i="1" s="1"/>
  <c r="E3734" i="1"/>
  <c r="AI3734" i="1" s="1"/>
  <c r="E3718" i="1"/>
  <c r="E3710" i="1"/>
  <c r="E3702" i="1"/>
  <c r="E3686" i="1"/>
  <c r="E3670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41" i="1"/>
  <c r="AI3741" i="1" s="1"/>
  <c r="E3733" i="1"/>
  <c r="AI3733" i="1" s="1"/>
  <c r="E3725" i="1"/>
  <c r="AI3725" i="1" s="1"/>
  <c r="E3709" i="1"/>
  <c r="E3701" i="1"/>
  <c r="E3685" i="1"/>
  <c r="E3669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AI3748" i="1" s="1"/>
  <c r="E3732" i="1"/>
  <c r="AI3732" i="1" s="1"/>
  <c r="E3700" i="1"/>
  <c r="E3684" i="1"/>
  <c r="E3676" i="1"/>
  <c r="E3668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AJ3747" i="1" s="1"/>
  <c r="AK3747" i="1" s="1"/>
  <c r="E3739" i="1"/>
  <c r="AI3739" i="1" s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AJ3746" i="1" s="1"/>
  <c r="AK3746" i="1" s="1"/>
  <c r="E3738" i="1"/>
  <c r="AI3738" i="1" s="1"/>
  <c r="E3730" i="1"/>
  <c r="AI3730" i="1" s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AJ3745" i="1" s="1"/>
  <c r="AK3745" i="1" s="1"/>
  <c r="E3737" i="1"/>
  <c r="AJ3737" i="1" s="1"/>
  <c r="AK3737" i="1" s="1"/>
  <c r="E3729" i="1"/>
  <c r="AI3729" i="1" s="1"/>
  <c r="E3713" i="1"/>
  <c r="E3705" i="1"/>
  <c r="E3673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292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284" i="1"/>
  <c r="AC1284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2419" i="1"/>
  <c r="AC2419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597" i="1"/>
  <c r="AB200" i="1"/>
  <c r="AC200" i="1" s="1"/>
  <c r="AB115" i="1"/>
  <c r="AC115" i="1" s="1"/>
  <c r="AB817" i="1"/>
  <c r="AC817" i="1" s="1"/>
  <c r="J6" i="2"/>
  <c r="AB3674" i="1"/>
  <c r="AC3674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886" i="1"/>
  <c r="AC1886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I3744" i="1"/>
  <c r="AJ3744" i="1"/>
  <c r="AK3744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I3735" i="1"/>
  <c r="AJ3735" i="1"/>
  <c r="AK3735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726" i="1"/>
  <c r="AK3726" i="1" s="1"/>
  <c r="AI3726" i="1"/>
  <c r="AJ3736" i="1"/>
  <c r="AK373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J3749" i="1"/>
  <c r="AK3749" i="1" s="1"/>
  <c r="AI374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I3740" i="1"/>
  <c r="AJ3740" i="1"/>
  <c r="AK3740" i="1" s="1"/>
  <c r="AB1283" i="1"/>
  <c r="AC1283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I3731" i="1"/>
  <c r="AJ3731" i="1"/>
  <c r="AK3731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568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84" i="1"/>
  <c r="AI749" i="1" s="1"/>
  <c r="AB3576" i="1"/>
  <c r="AC3576" i="1" s="1"/>
  <c r="AC1937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206" i="1"/>
  <c r="AC2478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1191" i="1"/>
  <c r="AI3642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569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64" i="1" l="1"/>
  <c r="AI3382" i="1"/>
  <c r="AI273" i="1"/>
  <c r="AJ3963" i="1"/>
  <c r="AK3963" i="1" s="1"/>
  <c r="AI3721" i="1"/>
  <c r="AI3723" i="1"/>
  <c r="AI3815" i="1"/>
  <c r="AJ3879" i="1"/>
  <c r="AK3879" i="1" s="1"/>
  <c r="AI3005" i="1"/>
  <c r="AJ3728" i="1"/>
  <c r="AK3728" i="1" s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6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J3748" i="1"/>
  <c r="AK3748" i="1" s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30" i="1"/>
  <c r="AK3730" i="1" s="1"/>
  <c r="AJ3794" i="1"/>
  <c r="AK3794" i="1" s="1"/>
  <c r="AJ3823" i="1"/>
  <c r="AK3823" i="1" s="1"/>
  <c r="AI368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6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J3742" i="1"/>
  <c r="AK3742" i="1" s="1"/>
  <c r="AI3876" i="1"/>
  <c r="AJ3906" i="1"/>
  <c r="AK3906" i="1" s="1"/>
  <c r="AJ3891" i="1"/>
  <c r="AK3891" i="1" s="1"/>
  <c r="AI3804" i="1"/>
  <c r="AI3690" i="1"/>
  <c r="AI3754" i="1"/>
  <c r="AI3971" i="1"/>
  <c r="AJ3733" i="1"/>
  <c r="AK3733" i="1" s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J3739" i="1"/>
  <c r="AK3739" i="1" s="1"/>
  <c r="AI3681" i="1"/>
  <c r="AI3682" i="1"/>
  <c r="AI3685" i="1"/>
  <c r="AI3678" i="1"/>
  <c r="AI3684" i="1"/>
  <c r="AI3686" i="1"/>
  <c r="AI3680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673" i="1"/>
  <c r="AI3778" i="1"/>
  <c r="AJ3907" i="1"/>
  <c r="AK3907" i="1" s="1"/>
  <c r="AJ3741" i="1"/>
  <c r="AK3741" i="1" s="1"/>
  <c r="AJ3756" i="1"/>
  <c r="AK3756" i="1" s="1"/>
  <c r="AI3747" i="1"/>
  <c r="AI3842" i="1"/>
  <c r="AI3677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J3738" i="1"/>
  <c r="AK3738" i="1" s="1"/>
  <c r="AI2476" i="1"/>
  <c r="AJ3727" i="1"/>
  <c r="AK3727" i="1" s="1"/>
  <c r="AJ3802" i="1"/>
  <c r="AK3802" i="1" s="1"/>
  <c r="AJ3871" i="1"/>
  <c r="AK3871" i="1" s="1"/>
  <c r="AJ3788" i="1"/>
  <c r="AK3788" i="1" s="1"/>
  <c r="AI3874" i="1"/>
  <c r="AJ3831" i="1"/>
  <c r="AK3831" i="1" s="1"/>
  <c r="AI3679" i="1"/>
  <c r="AJ3884" i="1"/>
  <c r="AK3884" i="1" s="1"/>
  <c r="AI3806" i="1"/>
  <c r="AI3919" i="1"/>
  <c r="AI3720" i="1"/>
  <c r="AI3803" i="1"/>
  <c r="AJ3725" i="1"/>
  <c r="AK3725" i="1" s="1"/>
  <c r="AJ3729" i="1"/>
  <c r="AK3729" i="1" s="1"/>
  <c r="AI3800" i="1"/>
  <c r="AJ3759" i="1"/>
  <c r="AK3759" i="1" s="1"/>
  <c r="AJ3734" i="1"/>
  <c r="AK3734" i="1" s="1"/>
  <c r="AJ3861" i="1"/>
  <c r="AK3861" i="1" s="1"/>
  <c r="AJ3732" i="1"/>
  <c r="AK3732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70" i="1"/>
  <c r="AI3672" i="1"/>
  <c r="AI3668" i="1"/>
  <c r="AI3667" i="1"/>
  <c r="AI3669" i="1"/>
  <c r="AI3671" i="1"/>
  <c r="AI3657" i="1"/>
  <c r="AI3661" i="1"/>
  <c r="AI3666" i="1"/>
  <c r="AI3654" i="1"/>
  <c r="AI3663" i="1"/>
  <c r="AI3651" i="1"/>
  <c r="AI3659" i="1"/>
  <c r="AI3656" i="1"/>
  <c r="AI3652" i="1"/>
  <c r="AI3647" i="1"/>
  <c r="AI3665" i="1"/>
  <c r="AI3645" i="1"/>
  <c r="AI3660" i="1"/>
  <c r="AI3653" i="1"/>
  <c r="AI3649" i="1"/>
  <c r="AI3648" i="1"/>
  <c r="AI3662" i="1"/>
  <c r="AI3650" i="1"/>
  <c r="AI3664" i="1"/>
  <c r="AI3658" i="1"/>
  <c r="AI3646" i="1"/>
  <c r="AI3655" i="1"/>
  <c r="AI3643" i="1"/>
  <c r="AI3644" i="1"/>
  <c r="AI3641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206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22" i="1"/>
  <c r="AI3625" i="1"/>
  <c r="AI3623" i="1"/>
  <c r="AI3624" i="1"/>
  <c r="AI3640" i="1"/>
  <c r="AI3639" i="1"/>
  <c r="AI3193" i="1"/>
  <c r="AI3381" i="1"/>
  <c r="AI136" i="1"/>
  <c r="AI117" i="1"/>
  <c r="AI2434" i="1"/>
  <c r="AI3380" i="1"/>
  <c r="AI913" i="1"/>
  <c r="AI1580" i="1"/>
  <c r="AI1646" i="1"/>
  <c r="AI2831" i="1"/>
  <c r="AI3004" i="1"/>
  <c r="AI3189" i="1"/>
  <c r="AI3190" i="1"/>
  <c r="AI3191" i="1"/>
  <c r="AI3192" i="1"/>
  <c r="AI3638" i="1"/>
  <c r="T13" i="2"/>
  <c r="AI3637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33" i="1"/>
  <c r="AI3629" i="1"/>
  <c r="AI3636" i="1"/>
  <c r="AI2289" i="1"/>
  <c r="AI3635" i="1"/>
  <c r="AI2290" i="1"/>
  <c r="AI2291" i="1"/>
  <c r="AI3155" i="1"/>
  <c r="AI3188" i="1"/>
  <c r="AI3152" i="1"/>
  <c r="AI3156" i="1"/>
  <c r="AI3153" i="1"/>
  <c r="AI3154" i="1"/>
  <c r="AI3626" i="1"/>
  <c r="AI2288" i="1"/>
  <c r="AI297" i="1"/>
  <c r="AI2436" i="1"/>
  <c r="AI973" i="1"/>
  <c r="AI3160" i="1"/>
  <c r="AI1281" i="1"/>
  <c r="AI2592" i="1"/>
  <c r="AI1484" i="1"/>
  <c r="AI1485" i="1"/>
  <c r="AI3394" i="1"/>
  <c r="AI1117" i="1"/>
  <c r="AJ3592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20" i="1"/>
  <c r="AC80" i="1"/>
  <c r="AI3617" i="1"/>
  <c r="AI3618" i="1"/>
  <c r="AI3619" i="1"/>
  <c r="AI3597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3598" i="1"/>
  <c r="AI3601" i="1"/>
  <c r="AI3599" i="1"/>
  <c r="AI3600" i="1"/>
  <c r="AJ3601" i="1"/>
  <c r="AJ3600" i="1"/>
  <c r="AJ3598" i="1"/>
  <c r="AJ3599" i="1"/>
  <c r="AC278" i="1"/>
  <c r="AI278" i="1"/>
  <c r="AI2025" i="1"/>
  <c r="AI3390" i="1"/>
  <c r="AI1105" i="1"/>
  <c r="AI1894" i="1"/>
  <c r="AI3387" i="1"/>
  <c r="AI2231" i="1"/>
  <c r="AI2191" i="1"/>
  <c r="AI1496" i="1"/>
  <c r="AI3616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3615" i="1"/>
  <c r="AI3592" i="1"/>
  <c r="AJ3591" i="1"/>
  <c r="AI3591" i="1"/>
  <c r="AI2286" i="1"/>
  <c r="AI3614" i="1"/>
  <c r="AI2285" i="1"/>
  <c r="AI2287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087" i="1"/>
  <c r="AI3150" i="1"/>
  <c r="AI3088" i="1"/>
  <c r="AI3149" i="1"/>
  <c r="AI3089" i="1"/>
  <c r="AI3608" i="1"/>
  <c r="AI3151" i="1"/>
  <c r="AI3610" i="1"/>
  <c r="AI3557" i="1"/>
  <c r="AI2282" i="1"/>
  <c r="AI2283" i="1"/>
  <c r="AI3091" i="1"/>
  <c r="AI3003" i="1"/>
  <c r="AI2284" i="1"/>
  <c r="AI3092" i="1"/>
  <c r="AI3611" i="1"/>
  <c r="AI3090" i="1"/>
  <c r="AI3002" i="1"/>
  <c r="AI3612" i="1"/>
  <c r="AI3613" i="1"/>
  <c r="AI1959" i="1"/>
  <c r="AI3609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597" i="1"/>
  <c r="AJ3722" i="1" s="1"/>
  <c r="V16" i="2"/>
  <c r="S16" i="2"/>
  <c r="AC3568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721" i="1"/>
  <c r="AI700" i="1"/>
  <c r="AI748" i="1"/>
  <c r="AI3046" i="1"/>
  <c r="AI519" i="1"/>
  <c r="AI3000" i="1"/>
  <c r="AI2966" i="1"/>
  <c r="AI3546" i="1"/>
  <c r="AI2847" i="1"/>
  <c r="AI2872" i="1"/>
  <c r="AI2871" i="1"/>
  <c r="AI2967" i="1"/>
  <c r="AJ36" i="1"/>
  <c r="AK36" i="1" s="1"/>
  <c r="AI2252" i="1"/>
  <c r="AK1065" i="1"/>
  <c r="AI2253" i="1"/>
  <c r="AI2848" i="1"/>
  <c r="AI3607" i="1"/>
  <c r="AI2849" i="1"/>
  <c r="AI2842" i="1"/>
  <c r="AI3604" i="1"/>
  <c r="AI3603" i="1"/>
  <c r="AI3606" i="1"/>
  <c r="AK44" i="1"/>
  <c r="AI1726" i="1"/>
  <c r="AI1291" i="1"/>
  <c r="AI1290" i="1"/>
  <c r="AI2296" i="1"/>
  <c r="AI2298" i="1"/>
  <c r="AI1289" i="1"/>
  <c r="AI2295" i="1"/>
  <c r="AI2297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61" i="1"/>
  <c r="AI2279" i="1"/>
  <c r="AI2750" i="1"/>
  <c r="AI2898" i="1"/>
  <c r="AI2841" i="1"/>
  <c r="AI2680" i="1"/>
  <c r="AI2529" i="1"/>
  <c r="AI1288" i="1"/>
  <c r="AI2273" i="1"/>
  <c r="AI2276" i="1"/>
  <c r="AI2480" i="1"/>
  <c r="AI2681" i="1"/>
  <c r="AI134" i="1"/>
  <c r="AI2280" i="1"/>
  <c r="AI2843" i="1"/>
  <c r="AI2617" i="1"/>
  <c r="AI2262" i="1"/>
  <c r="AI2260" i="1"/>
  <c r="AI2682" i="1"/>
  <c r="AI3578" i="1"/>
  <c r="AI2611" i="1"/>
  <c r="AI2844" i="1"/>
  <c r="AI2281" i="1"/>
  <c r="AI2748" i="1"/>
  <c r="AI3605" i="1"/>
  <c r="AI1287" i="1"/>
  <c r="AI2845" i="1"/>
  <c r="AI2479" i="1"/>
  <c r="AI2618" i="1"/>
  <c r="AI2850" i="1"/>
  <c r="AI3001" i="1"/>
  <c r="AI2263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3565" i="1"/>
  <c r="AI856" i="1"/>
  <c r="AJ2689" i="1"/>
  <c r="AJ2690" i="1"/>
  <c r="AJ249" i="1"/>
  <c r="AI2689" i="1"/>
  <c r="AI3267" i="1"/>
  <c r="AI3450" i="1"/>
  <c r="AJ3449" i="1"/>
  <c r="AI560" i="1"/>
  <c r="AI1744" i="1"/>
  <c r="AI3439" i="1"/>
  <c r="AI1277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3563" i="1"/>
  <c r="AK2663" i="1"/>
  <c r="AI2993" i="1"/>
  <c r="AI2292" i="1"/>
  <c r="AI1886" i="1"/>
  <c r="AI275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2790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84" i="1"/>
  <c r="AJ495" i="1" s="1"/>
  <c r="AI1318" i="1"/>
  <c r="AI510" i="1"/>
  <c r="AI602" i="1"/>
  <c r="AI184" i="1"/>
  <c r="AI601" i="1"/>
  <c r="AI135" i="1"/>
  <c r="AI1322" i="1"/>
  <c r="AI185" i="1"/>
  <c r="AI689" i="1"/>
  <c r="AI1397" i="1"/>
  <c r="AI509" i="1"/>
  <c r="AI1390" i="1"/>
  <c r="AI690" i="1"/>
  <c r="AI270" i="1"/>
  <c r="AI496" i="1"/>
  <c r="AI1363" i="1"/>
  <c r="AI1305" i="1"/>
  <c r="AI183" i="1"/>
  <c r="AI1362" i="1"/>
  <c r="AI1392" i="1"/>
  <c r="AI68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206" i="1"/>
  <c r="AJ2418" i="1" s="1"/>
  <c r="AI828" i="1"/>
  <c r="AI1883" i="1"/>
  <c r="AI2581" i="1"/>
  <c r="AI827" i="1"/>
  <c r="AI1938" i="1"/>
  <c r="AI1880" i="1"/>
  <c r="AI1404" i="1"/>
  <c r="AI1406" i="1"/>
  <c r="AI1881" i="1"/>
  <c r="AI2678" i="1"/>
  <c r="AI1884" i="1"/>
  <c r="AI651" i="1"/>
  <c r="AI1937" i="1"/>
  <c r="AI1882" i="1"/>
  <c r="AI3302" i="1"/>
  <c r="AI1405" i="1"/>
  <c r="AI855" i="1"/>
  <c r="AI2249" i="1"/>
  <c r="AI205" i="1"/>
  <c r="AI2418" i="1"/>
  <c r="AI857" i="1"/>
  <c r="AI159" i="1"/>
  <c r="AI826" i="1"/>
  <c r="AI2250" i="1"/>
  <c r="AI2248" i="1"/>
  <c r="AI2648" i="1"/>
  <c r="AI2419" i="1"/>
  <c r="AI2247" i="1"/>
  <c r="AI858" i="1"/>
  <c r="AI1860" i="1"/>
  <c r="AI2246" i="1"/>
  <c r="AI1315" i="1"/>
  <c r="AI804" i="1"/>
  <c r="AI921" i="1"/>
  <c r="AI2146" i="1"/>
  <c r="AI2143" i="1"/>
  <c r="V13" i="2"/>
  <c r="AI3533" i="1"/>
  <c r="AI2820" i="1"/>
  <c r="AI2821" i="1"/>
  <c r="AI3564" i="1"/>
  <c r="AI1396" i="1"/>
  <c r="AI3562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398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477" i="1"/>
  <c r="AC3569" i="1"/>
  <c r="AI3574" i="1"/>
  <c r="AI271" i="1"/>
  <c r="AI1856" i="1"/>
  <c r="AI223" i="1"/>
  <c r="AI1476" i="1"/>
  <c r="AI1602" i="1"/>
  <c r="AI1276" i="1"/>
  <c r="AI3573" i="1"/>
  <c r="AI1725" i="1"/>
  <c r="AI1885" i="1"/>
  <c r="AI2294" i="1"/>
  <c r="AI1578" i="1"/>
  <c r="AI1120" i="1"/>
  <c r="AI2148" i="1"/>
  <c r="AI1143" i="1"/>
  <c r="AI3567" i="1"/>
  <c r="AI2462" i="1"/>
  <c r="AI1601" i="1"/>
  <c r="AI1511" i="1"/>
  <c r="AI1304" i="1"/>
  <c r="AI1724" i="1"/>
  <c r="AI2299" i="1"/>
  <c r="AI2302" i="1"/>
  <c r="AI1858" i="1"/>
  <c r="AI1133" i="1"/>
  <c r="AI2293" i="1"/>
  <c r="AI2111" i="1"/>
  <c r="AI1144" i="1"/>
  <c r="AI2303" i="1"/>
  <c r="AI1857" i="1"/>
  <c r="AI3566" i="1"/>
  <c r="AI2404" i="1"/>
  <c r="AI217" i="1"/>
  <c r="AI13" i="2"/>
  <c r="AI230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2110" i="1"/>
  <c r="AI3568" i="1"/>
  <c r="AI2948" i="1"/>
  <c r="AI130" i="1"/>
  <c r="AI1082" i="1"/>
  <c r="AI3530" i="1"/>
  <c r="AI1283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1613" i="1"/>
  <c r="AI3278" i="1"/>
  <c r="AI1284" i="1"/>
  <c r="AI1935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482" i="1"/>
  <c r="AI3572" i="1"/>
  <c r="AI3575" i="1"/>
  <c r="AI807" i="1"/>
  <c r="AI1510" i="1"/>
  <c r="AI3343" i="1"/>
  <c r="AC1191" i="1"/>
  <c r="AI2475" i="1"/>
  <c r="AI3674" i="1"/>
  <c r="AI1191" i="1"/>
  <c r="AI2277" i="1"/>
  <c r="AI495" i="1"/>
  <c r="AI1468" i="1"/>
  <c r="AI478" i="1"/>
  <c r="AI1467" i="1"/>
  <c r="AI483" i="1"/>
  <c r="AI1286" i="1"/>
  <c r="AI3571" i="1"/>
  <c r="AI2278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444" i="1"/>
  <c r="AI2489" i="1"/>
  <c r="AI1443" i="1"/>
  <c r="AI1488" i="1"/>
  <c r="AI850" i="1"/>
  <c r="AI84" i="1"/>
  <c r="AI3479" i="1"/>
  <c r="AI1282" i="1"/>
  <c r="AI1475" i="1"/>
  <c r="AI1960" i="1"/>
  <c r="AI404" i="1"/>
  <c r="AI3319" i="1"/>
  <c r="AI439" i="1"/>
  <c r="AI1614" i="1"/>
  <c r="AI3569" i="1"/>
  <c r="AH13" i="2"/>
  <c r="AI2644" i="1"/>
  <c r="AI415" i="1"/>
  <c r="AI2929" i="1"/>
  <c r="AI963" i="1"/>
  <c r="AI2199" i="1"/>
  <c r="AI2002" i="1"/>
  <c r="AI235" i="1"/>
  <c r="AI1739" i="1"/>
  <c r="AC3577" i="1"/>
  <c r="AI2478" i="1"/>
  <c r="AI2749" i="1"/>
  <c r="AI2619" i="1"/>
  <c r="AI2740" i="1"/>
  <c r="AI1855" i="1"/>
  <c r="AI2739" i="1"/>
  <c r="AI2720" i="1"/>
  <c r="AI1854" i="1"/>
  <c r="AI3253" i="1"/>
  <c r="AI3194" i="1"/>
  <c r="AI1295" i="1"/>
  <c r="AI1727" i="1"/>
  <c r="AI3195" i="1"/>
  <c r="AI2251" i="1"/>
  <c r="AI2683" i="1"/>
  <c r="AI2477" i="1"/>
  <c r="AI3584" i="1"/>
  <c r="AI1603" i="1"/>
  <c r="AI3580" i="1"/>
  <c r="AI2149" i="1"/>
  <c r="AI2741" i="1"/>
  <c r="AI3582" i="1"/>
  <c r="AI3583" i="1"/>
  <c r="AI3581" i="1"/>
  <c r="AE13" i="2"/>
  <c r="AI3277" i="1"/>
  <c r="AI1612" i="1"/>
  <c r="AI2610" i="1"/>
  <c r="AI3579" i="1"/>
  <c r="AI1936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466" i="1"/>
  <c r="AI1474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K1029" i="1" s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K3392" i="1" s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K747" i="1" s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534" i="1" l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692" i="1"/>
  <c r="AK3692" i="1" s="1"/>
  <c r="AJ3690" i="1"/>
  <c r="AK3690" i="1" s="1"/>
  <c r="AJ3689" i="1"/>
  <c r="AK3689" i="1" s="1"/>
  <c r="AJ3691" i="1"/>
  <c r="AK36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673" i="1"/>
  <c r="AK3673" i="1" s="1"/>
  <c r="AJ3681" i="1"/>
  <c r="AK3681" i="1" s="1"/>
  <c r="AJ3675" i="1"/>
  <c r="AK3675" i="1" s="1"/>
  <c r="AJ2476" i="1"/>
  <c r="AK2476" i="1" s="1"/>
  <c r="AJ3683" i="1"/>
  <c r="AK3683" i="1" s="1"/>
  <c r="AJ3680" i="1"/>
  <c r="AK3680" i="1" s="1"/>
  <c r="AJ3685" i="1"/>
  <c r="AK3685" i="1" s="1"/>
  <c r="AJ3676" i="1"/>
  <c r="AK3676" i="1" s="1"/>
  <c r="AJ3678" i="1"/>
  <c r="AK3678" i="1" s="1"/>
  <c r="AJ3679" i="1"/>
  <c r="AK3679" i="1" s="1"/>
  <c r="AJ3682" i="1"/>
  <c r="AK3682" i="1" s="1"/>
  <c r="AJ3677" i="1"/>
  <c r="AK3677" i="1" s="1"/>
  <c r="AJ3686" i="1"/>
  <c r="AK3686" i="1" s="1"/>
  <c r="AK1095" i="1"/>
  <c r="AK2387" i="1"/>
  <c r="AK1640" i="1"/>
  <c r="AK1548" i="1"/>
  <c r="AK519" i="1"/>
  <c r="AK1800" i="1"/>
  <c r="AK408" i="1"/>
  <c r="AK3128" i="1"/>
  <c r="AJ3668" i="1"/>
  <c r="AK3668" i="1" s="1"/>
  <c r="AJ3672" i="1"/>
  <c r="AK3672" i="1" s="1"/>
  <c r="AJ3670" i="1"/>
  <c r="AK3670" i="1" s="1"/>
  <c r="AJ3671" i="1"/>
  <c r="AK3671" i="1" s="1"/>
  <c r="AJ3669" i="1"/>
  <c r="AK3669" i="1" s="1"/>
  <c r="AJ3667" i="1"/>
  <c r="AK3667" i="1" s="1"/>
  <c r="AJ3653" i="1"/>
  <c r="AK3653" i="1" s="1"/>
  <c r="AJ3665" i="1"/>
  <c r="AK3665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64" i="1"/>
  <c r="AK3664" i="1" s="1"/>
  <c r="AJ3657" i="1"/>
  <c r="AK3657" i="1" s="1"/>
  <c r="AJ3649" i="1"/>
  <c r="AK3649" i="1" s="1"/>
  <c r="AJ3666" i="1"/>
  <c r="AK3666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467" i="1"/>
  <c r="AK1467" i="1" s="1"/>
  <c r="AJ3644" i="1"/>
  <c r="AK3644" i="1" s="1"/>
  <c r="AJ3643" i="1"/>
  <c r="AK3643" i="1" s="1"/>
  <c r="AJ3641" i="1"/>
  <c r="AK3641" i="1" s="1"/>
  <c r="AJ3642" i="1"/>
  <c r="AK3642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614" i="1"/>
  <c r="AK3614" i="1" s="1"/>
  <c r="AJ3625" i="1"/>
  <c r="AK3625" i="1" s="1"/>
  <c r="AJ3624" i="1"/>
  <c r="AK3624" i="1" s="1"/>
  <c r="AJ3623" i="1"/>
  <c r="AK3623" i="1" s="1"/>
  <c r="AJ3622" i="1"/>
  <c r="AK3622" i="1" s="1"/>
  <c r="AJ422" i="1"/>
  <c r="AK422" i="1" s="1"/>
  <c r="AJ3193" i="1"/>
  <c r="AK3193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92" i="1"/>
  <c r="AK3192" i="1" s="1"/>
  <c r="AJ3191" i="1"/>
  <c r="AK3191" i="1" s="1"/>
  <c r="AJ3190" i="1"/>
  <c r="AK3190" i="1" s="1"/>
  <c r="AJ3189" i="1"/>
  <c r="AK3189" i="1" s="1"/>
  <c r="AJ3637" i="1"/>
  <c r="AK3637" i="1" s="1"/>
  <c r="AJ3638" i="1"/>
  <c r="AK3638" i="1" s="1"/>
  <c r="AJ131" i="1"/>
  <c r="AK131" i="1" s="1"/>
  <c r="AJ2948" i="1"/>
  <c r="AK2948" i="1" s="1"/>
  <c r="AJ129" i="1"/>
  <c r="AK129" i="1" s="1"/>
  <c r="AJ3507" i="1"/>
  <c r="AK3507" i="1" s="1"/>
  <c r="AJ3633" i="1"/>
  <c r="AK3633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291" i="1"/>
  <c r="AK2291" i="1" s="1"/>
  <c r="AJ3632" i="1"/>
  <c r="AK3632" i="1" s="1"/>
  <c r="AJ3621" i="1"/>
  <c r="AK3621" i="1" s="1"/>
  <c r="AJ3627" i="1"/>
  <c r="AK3627" i="1" s="1"/>
  <c r="AJ2289" i="1"/>
  <c r="AK2289" i="1" s="1"/>
  <c r="AJ2290" i="1"/>
  <c r="AK2290" i="1" s="1"/>
  <c r="AJ3153" i="1"/>
  <c r="AK3153" i="1" s="1"/>
  <c r="AJ3152" i="1"/>
  <c r="AK3152" i="1" s="1"/>
  <c r="AJ3156" i="1"/>
  <c r="AK3156" i="1" s="1"/>
  <c r="AJ3188" i="1"/>
  <c r="AK3188" i="1" s="1"/>
  <c r="AJ3155" i="1"/>
  <c r="AK3155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26" i="1"/>
  <c r="AK3626" i="1" s="1"/>
  <c r="AK1281" i="1"/>
  <c r="AK841" i="1"/>
  <c r="AK1701" i="1"/>
  <c r="AK1486" i="1"/>
  <c r="AK640" i="1"/>
  <c r="AJ2288" i="1"/>
  <c r="AK2288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3592" i="1"/>
  <c r="AJ3620" i="1"/>
  <c r="AK3620" i="1" s="1"/>
  <c r="AJ3617" i="1"/>
  <c r="AK3617" i="1" s="1"/>
  <c r="AJ3618" i="1"/>
  <c r="AK3618" i="1" s="1"/>
  <c r="AJ3619" i="1"/>
  <c r="AK3619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3599" i="1"/>
  <c r="AK3600" i="1"/>
  <c r="AK3598" i="1"/>
  <c r="AK3601" i="1"/>
  <c r="AK1560" i="1"/>
  <c r="AJ3616" i="1"/>
  <c r="AK3616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3615" i="1"/>
  <c r="AK3615" i="1" s="1"/>
  <c r="AK3591" i="1"/>
  <c r="AK2219" i="1"/>
  <c r="AK3268" i="1"/>
  <c r="AK1094" i="1"/>
  <c r="AK2118" i="1"/>
  <c r="AK21" i="1"/>
  <c r="AK1642" i="1"/>
  <c r="AK3129" i="1"/>
  <c r="AK209" i="1"/>
  <c r="AJ3602" i="1"/>
  <c r="AK3602" i="1" s="1"/>
  <c r="AJ2285" i="1"/>
  <c r="AK2285" i="1" s="1"/>
  <c r="AJ2287" i="1"/>
  <c r="AK2287" i="1" s="1"/>
  <c r="AJ2286" i="1"/>
  <c r="AK2286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872" i="1"/>
  <c r="AK2872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871" i="1"/>
  <c r="AK2871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597" i="1"/>
  <c r="AK3597" i="1" s="1"/>
  <c r="AJ2849" i="1"/>
  <c r="AK2849" i="1" s="1"/>
  <c r="AK2775" i="1"/>
  <c r="AK58" i="1"/>
  <c r="AJ2283" i="1"/>
  <c r="AK2283" i="1" s="1"/>
  <c r="AJ3151" i="1"/>
  <c r="AK3151" i="1" s="1"/>
  <c r="AK4" i="1"/>
  <c r="AJ2846" i="1"/>
  <c r="AK2846" i="1" s="1"/>
  <c r="AJ3002" i="1"/>
  <c r="AK3002" i="1" s="1"/>
  <c r="AJ3090" i="1"/>
  <c r="AK3090" i="1" s="1"/>
  <c r="AJ3087" i="1"/>
  <c r="AK3087" i="1" s="1"/>
  <c r="AK952" i="1"/>
  <c r="AJ3608" i="1"/>
  <c r="AK3608" i="1" s="1"/>
  <c r="AK1345" i="1"/>
  <c r="AJ3611" i="1"/>
  <c r="AK3611" i="1" s="1"/>
  <c r="AJ3612" i="1"/>
  <c r="AK3612" i="1" s="1"/>
  <c r="AJ2284" i="1"/>
  <c r="AK2284" i="1" s="1"/>
  <c r="AJ2282" i="1"/>
  <c r="AK2282" i="1" s="1"/>
  <c r="AJ3091" i="1"/>
  <c r="AK3091" i="1" s="1"/>
  <c r="AK1268" i="1"/>
  <c r="AJ3003" i="1"/>
  <c r="AK3003" i="1" s="1"/>
  <c r="AJ3088" i="1"/>
  <c r="AK3088" i="1" s="1"/>
  <c r="AJ3609" i="1"/>
  <c r="AK3609" i="1" s="1"/>
  <c r="AJ3610" i="1"/>
  <c r="AK3610" i="1" s="1"/>
  <c r="AJ3613" i="1"/>
  <c r="AK3613" i="1" s="1"/>
  <c r="AJ3089" i="1"/>
  <c r="AK3089" i="1" s="1"/>
  <c r="AJ3150" i="1"/>
  <c r="AK3150" i="1" s="1"/>
  <c r="AJ3092" i="1"/>
  <c r="AK3092" i="1" s="1"/>
  <c r="AJ3149" i="1"/>
  <c r="AK3149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2249" i="1"/>
  <c r="AK2249" i="1" s="1"/>
  <c r="AK171" i="1"/>
  <c r="AK1053" i="1"/>
  <c r="AJ3549" i="1"/>
  <c r="AK3549" i="1" s="1"/>
  <c r="AK702" i="1"/>
  <c r="AK3450" i="1"/>
  <c r="AK257" i="1"/>
  <c r="AK204" i="1"/>
  <c r="AK3046" i="1"/>
  <c r="AK977" i="1"/>
  <c r="AJ827" i="1"/>
  <c r="AK827" i="1" s="1"/>
  <c r="AJ858" i="1"/>
  <c r="AK858" i="1" s="1"/>
  <c r="AJ2078" i="1"/>
  <c r="AK2078" i="1" s="1"/>
  <c r="AJ2119" i="1"/>
  <c r="AK2119" i="1" s="1"/>
  <c r="AJ2906" i="1"/>
  <c r="AK2906" i="1" s="1"/>
  <c r="AJ1398" i="1"/>
  <c r="AK1398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749" i="1"/>
  <c r="AK749" i="1" s="1"/>
  <c r="AJ721" i="1"/>
  <c r="AK721" i="1" s="1"/>
  <c r="AJ700" i="1"/>
  <c r="AK700" i="1" s="1"/>
  <c r="AJ748" i="1"/>
  <c r="AK748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1938" i="1"/>
  <c r="AK1938" i="1" s="1"/>
  <c r="AJ3562" i="1"/>
  <c r="AK3562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52" i="1"/>
  <c r="AK2252" i="1" s="1"/>
  <c r="AJ2253" i="1"/>
  <c r="AK2253" i="1" s="1"/>
  <c r="AK2198" i="1"/>
  <c r="AJ3603" i="1"/>
  <c r="AK3603" i="1" s="1"/>
  <c r="AJ3606" i="1"/>
  <c r="AK3606" i="1" s="1"/>
  <c r="AJ3604" i="1"/>
  <c r="AK3604" i="1" s="1"/>
  <c r="AJ2848" i="1"/>
  <c r="AK2848" i="1" s="1"/>
  <c r="AJ2842" i="1"/>
  <c r="AK2842" i="1" s="1"/>
  <c r="AJ3607" i="1"/>
  <c r="AK3607" i="1" s="1"/>
  <c r="AK1672" i="1"/>
  <c r="AK3117" i="1"/>
  <c r="AK1567" i="1"/>
  <c r="AK2954" i="1"/>
  <c r="AK163" i="1"/>
  <c r="AK2345" i="1"/>
  <c r="AK2909" i="1"/>
  <c r="AK2756" i="1"/>
  <c r="AJ3674" i="1"/>
  <c r="AK3674" i="1" s="1"/>
  <c r="AJ1282" i="1"/>
  <c r="AK1282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1726" i="1"/>
  <c r="AK1726" i="1" s="1"/>
  <c r="AK2197" i="1"/>
  <c r="AK222" i="1"/>
  <c r="AJ1290" i="1"/>
  <c r="AK1290" i="1" s="1"/>
  <c r="AJ2298" i="1"/>
  <c r="AK2298" i="1" s="1"/>
  <c r="AJ2297" i="1"/>
  <c r="AK2297" i="1" s="1"/>
  <c r="AJ1291" i="1"/>
  <c r="AK1291" i="1" s="1"/>
  <c r="AJ2296" i="1"/>
  <c r="AK2296" i="1" s="1"/>
  <c r="AJ2295" i="1"/>
  <c r="AK2295" i="1" s="1"/>
  <c r="AJ1289" i="1"/>
  <c r="AK1289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495" i="1"/>
  <c r="AK2908" i="1"/>
  <c r="AK2932" i="1"/>
  <c r="AK560" i="1"/>
  <c r="AJ1286" i="1"/>
  <c r="AK1286" i="1" s="1"/>
  <c r="AJ1284" i="1"/>
  <c r="AK1284" i="1" s="1"/>
  <c r="AJ2277" i="1"/>
  <c r="AK2277" i="1" s="1"/>
  <c r="AJ1475" i="1"/>
  <c r="AK1475" i="1" s="1"/>
  <c r="AJ2278" i="1"/>
  <c r="AK2278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444" i="1"/>
  <c r="AK1444" i="1" s="1"/>
  <c r="AJ1277" i="1"/>
  <c r="AK1277" i="1" s="1"/>
  <c r="AJ3571" i="1"/>
  <c r="AK3571" i="1" s="1"/>
  <c r="AJ1283" i="1"/>
  <c r="AK1283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483" i="1"/>
  <c r="AK483" i="1" s="1"/>
  <c r="AJ1466" i="1"/>
  <c r="AK1466" i="1" s="1"/>
  <c r="AJ3570" i="1"/>
  <c r="AK3570" i="1" s="1"/>
  <c r="AJ2475" i="1"/>
  <c r="AK2475" i="1" s="1"/>
  <c r="AJ1191" i="1"/>
  <c r="AK1191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443" i="1"/>
  <c r="AK1443" i="1" s="1"/>
  <c r="AJ2612" i="1"/>
  <c r="AK2612" i="1" s="1"/>
  <c r="AJ1468" i="1"/>
  <c r="AK146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482" i="1"/>
  <c r="AK482" i="1" s="1"/>
  <c r="AJ478" i="1"/>
  <c r="AK478" i="1" s="1"/>
  <c r="AJ1474" i="1"/>
  <c r="AK1474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844" i="1"/>
  <c r="AK2844" i="1" s="1"/>
  <c r="AJ2261" i="1"/>
  <c r="AK2261" i="1" s="1"/>
  <c r="AJ2529" i="1"/>
  <c r="AK2529" i="1" s="1"/>
  <c r="AJ2279" i="1"/>
  <c r="AK2279" i="1" s="1"/>
  <c r="AJ1287" i="1"/>
  <c r="AK1287" i="1" s="1"/>
  <c r="AJ2480" i="1"/>
  <c r="AK2480" i="1" s="1"/>
  <c r="AJ2845" i="1"/>
  <c r="AK2845" i="1" s="1"/>
  <c r="AJ2280" i="1"/>
  <c r="AK2280" i="1" s="1"/>
  <c r="AJ2262" i="1"/>
  <c r="AK2262" i="1" s="1"/>
  <c r="AJ2850" i="1"/>
  <c r="AK2850" i="1" s="1"/>
  <c r="AJ3605" i="1"/>
  <c r="AK3605" i="1" s="1"/>
  <c r="AJ2748" i="1"/>
  <c r="AK2748" i="1" s="1"/>
  <c r="AJ2611" i="1"/>
  <c r="AK2611" i="1" s="1"/>
  <c r="AJ2841" i="1"/>
  <c r="AK2841" i="1" s="1"/>
  <c r="AJ2680" i="1"/>
  <c r="AK2680" i="1" s="1"/>
  <c r="AJ2682" i="1"/>
  <c r="AK2682" i="1" s="1"/>
  <c r="AJ3001" i="1"/>
  <c r="AK3001" i="1" s="1"/>
  <c r="AJ2681" i="1"/>
  <c r="AK2681" i="1" s="1"/>
  <c r="AJ134" i="1"/>
  <c r="AK134" i="1" s="1"/>
  <c r="AJ2618" i="1"/>
  <c r="AK2618" i="1" s="1"/>
  <c r="AJ2281" i="1"/>
  <c r="AK2281" i="1" s="1"/>
  <c r="AJ2843" i="1"/>
  <c r="AK2843" i="1" s="1"/>
  <c r="AJ3578" i="1"/>
  <c r="AK3578" i="1" s="1"/>
  <c r="AJ2898" i="1"/>
  <c r="AK2898" i="1" s="1"/>
  <c r="AJ2750" i="1"/>
  <c r="AK2750" i="1" s="1"/>
  <c r="AJ2617" i="1"/>
  <c r="AK2617" i="1" s="1"/>
  <c r="AJ2479" i="1"/>
  <c r="AK2479" i="1" s="1"/>
  <c r="AJ2263" i="1"/>
  <c r="AK2263" i="1" s="1"/>
  <c r="AJ2260" i="1"/>
  <c r="AK2260" i="1" s="1"/>
  <c r="AJ1288" i="1"/>
  <c r="AK1288" i="1" s="1"/>
  <c r="AJ2276" i="1"/>
  <c r="AK2276" i="1" s="1"/>
  <c r="AJ2273" i="1"/>
  <c r="AK2273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2418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2250" i="1"/>
  <c r="AK2250" i="1" s="1"/>
  <c r="AJ1880" i="1"/>
  <c r="AK1880" i="1" s="1"/>
  <c r="AJ159" i="1"/>
  <c r="AK159" i="1" s="1"/>
  <c r="AJ2581" i="1"/>
  <c r="AK2581" i="1" s="1"/>
  <c r="AJ2362" i="1"/>
  <c r="AK2362" i="1" s="1"/>
  <c r="AJ2337" i="1"/>
  <c r="AK2337" i="1" s="1"/>
  <c r="AJ376" i="1"/>
  <c r="AK376" i="1" s="1"/>
  <c r="AJ173" i="1"/>
  <c r="AK173" i="1" s="1"/>
  <c r="AJ855" i="1"/>
  <c r="AK855" i="1" s="1"/>
  <c r="AJ2419" i="1"/>
  <c r="AK2419" i="1" s="1"/>
  <c r="AJ1884" i="1"/>
  <c r="AK1884" i="1" s="1"/>
  <c r="AJ2248" i="1"/>
  <c r="AK2248" i="1" s="1"/>
  <c r="AJ568" i="1"/>
  <c r="AK568" i="1" s="1"/>
  <c r="AJ180" i="1"/>
  <c r="AK180" i="1" s="1"/>
  <c r="AJ3495" i="1"/>
  <c r="AK3495" i="1" s="1"/>
  <c r="AJ178" i="1"/>
  <c r="AK178" i="1" s="1"/>
  <c r="AJ857" i="1"/>
  <c r="AK857" i="1" s="1"/>
  <c r="AJ828" i="1"/>
  <c r="AK828" i="1" s="1"/>
  <c r="AJ1881" i="1"/>
  <c r="AK1881" i="1" s="1"/>
  <c r="AJ2678" i="1"/>
  <c r="AK2678" i="1" s="1"/>
  <c r="AJ651" i="1"/>
  <c r="AK651" i="1" s="1"/>
  <c r="AJ1405" i="1"/>
  <c r="AK1405" i="1" s="1"/>
  <c r="AJ2648" i="1"/>
  <c r="AK2648" i="1" s="1"/>
  <c r="AJ1937" i="1"/>
  <c r="AK1937" i="1" s="1"/>
  <c r="AJ1404" i="1"/>
  <c r="AK1404" i="1" s="1"/>
  <c r="AJ3564" i="1"/>
  <c r="AK3564" i="1" s="1"/>
  <c r="AJ3302" i="1"/>
  <c r="AK3302" i="1" s="1"/>
  <c r="AJ205" i="1"/>
  <c r="AK205" i="1" s="1"/>
  <c r="AJ1406" i="1"/>
  <c r="AK1406" i="1" s="1"/>
  <c r="AJ206" i="1"/>
  <c r="AK206" i="1" s="1"/>
  <c r="AJ3565" i="1"/>
  <c r="AK3565" i="1" s="1"/>
  <c r="AJ2338" i="1"/>
  <c r="AK2338" i="1" s="1"/>
  <c r="AJ2189" i="1"/>
  <c r="AK2189" i="1" s="1"/>
  <c r="AJ373" i="1"/>
  <c r="AK373" i="1" s="1"/>
  <c r="AJ3163" i="1"/>
  <c r="AK3163" i="1" s="1"/>
  <c r="AJ1883" i="1"/>
  <c r="AK1883" i="1" s="1"/>
  <c r="AJ1860" i="1"/>
  <c r="AK1860" i="1" s="1"/>
  <c r="AJ826" i="1"/>
  <c r="AK826" i="1" s="1"/>
  <c r="AJ856" i="1"/>
  <c r="AK856" i="1" s="1"/>
  <c r="AJ3563" i="1"/>
  <c r="AK3563" i="1" s="1"/>
  <c r="AJ277" i="1"/>
  <c r="AK277" i="1" s="1"/>
  <c r="AJ2339" i="1"/>
  <c r="AK2339" i="1" s="1"/>
  <c r="AJ2101" i="1"/>
  <c r="AK2101" i="1" s="1"/>
  <c r="AJ1062" i="1"/>
  <c r="AK1062" i="1" s="1"/>
  <c r="AJ2246" i="1"/>
  <c r="AK2246" i="1" s="1"/>
  <c r="AJ1882" i="1"/>
  <c r="AK1882" i="1" s="1"/>
  <c r="AJ2247" i="1"/>
  <c r="AK2247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886" i="1"/>
  <c r="AK1886" i="1" s="1"/>
  <c r="AJ1746" i="1"/>
  <c r="AK1746" i="1" s="1"/>
  <c r="AJ402" i="1"/>
  <c r="AK402" i="1" s="1"/>
  <c r="AJ1741" i="1"/>
  <c r="AK1741" i="1" s="1"/>
  <c r="AJ2790" i="1"/>
  <c r="AK2790" i="1" s="1"/>
  <c r="AJ1388" i="1"/>
  <c r="AK1388" i="1" s="1"/>
  <c r="AJ1738" i="1"/>
  <c r="AK1738" i="1" s="1"/>
  <c r="AJ1387" i="1"/>
  <c r="AK1387" i="1" s="1"/>
  <c r="AJ1736" i="1"/>
  <c r="AK1736" i="1" s="1"/>
  <c r="AJ2751" i="1"/>
  <c r="AK2751" i="1" s="1"/>
  <c r="AJ2292" i="1"/>
  <c r="AK2292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K2929" i="1"/>
  <c r="AJ689" i="1"/>
  <c r="AK689" i="1" s="1"/>
  <c r="AJ270" i="1"/>
  <c r="AK270" i="1" s="1"/>
  <c r="AJ183" i="1"/>
  <c r="AK183" i="1" s="1"/>
  <c r="AJ690" i="1"/>
  <c r="AK690" i="1" s="1"/>
  <c r="AJ135" i="1"/>
  <c r="AK135" i="1" s="1"/>
  <c r="AJ184" i="1"/>
  <c r="AK184" i="1" s="1"/>
  <c r="AJ602" i="1"/>
  <c r="AK602" i="1" s="1"/>
  <c r="AJ688" i="1"/>
  <c r="AK688" i="1" s="1"/>
  <c r="AJ1363" i="1"/>
  <c r="AK1363" i="1" s="1"/>
  <c r="AJ1322" i="1"/>
  <c r="AK1322" i="1" s="1"/>
  <c r="AJ510" i="1"/>
  <c r="AK510" i="1" s="1"/>
  <c r="AJ509" i="1"/>
  <c r="AK509" i="1" s="1"/>
  <c r="AJ1305" i="1"/>
  <c r="AK1305" i="1" s="1"/>
  <c r="AJ1390" i="1"/>
  <c r="AK1390" i="1" s="1"/>
  <c r="AJ601" i="1"/>
  <c r="AK601" i="1" s="1"/>
  <c r="AJ1397" i="1"/>
  <c r="AK1397" i="1" s="1"/>
  <c r="AJ1392" i="1"/>
  <c r="AK1392" i="1" s="1"/>
  <c r="AJ1362" i="1"/>
  <c r="AK1362" i="1" s="1"/>
  <c r="AJ185" i="1"/>
  <c r="AK185" i="1" s="1"/>
  <c r="AJ496" i="1"/>
  <c r="AK496" i="1" s="1"/>
  <c r="AJ1318" i="1"/>
  <c r="AK1318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739" i="1"/>
  <c r="AK2739" i="1" s="1"/>
  <c r="AJ2615" i="1"/>
  <c r="AK2615" i="1" s="1"/>
  <c r="AJ316" i="1"/>
  <c r="AK316" i="1" s="1"/>
  <c r="AJ3206" i="1"/>
  <c r="AK3206" i="1" s="1"/>
  <c r="AJ2720" i="1"/>
  <c r="AK2720" i="1" s="1"/>
  <c r="AJ3545" i="1"/>
  <c r="AK3545" i="1" s="1"/>
  <c r="AJ716" i="1"/>
  <c r="AK716" i="1" s="1"/>
  <c r="AJ2211" i="1"/>
  <c r="AK2211" i="1" s="1"/>
  <c r="AJ2149" i="1"/>
  <c r="AK2149" i="1" s="1"/>
  <c r="AJ158" i="1"/>
  <c r="AK158" i="1" s="1"/>
  <c r="AJ2208" i="1"/>
  <c r="AK2208" i="1" s="1"/>
  <c r="AJ1603" i="1"/>
  <c r="AK1603" i="1" s="1"/>
  <c r="AJ802" i="1"/>
  <c r="AK802" i="1" s="1"/>
  <c r="AJ691" i="1"/>
  <c r="AK691" i="1" s="1"/>
  <c r="AJ1189" i="1"/>
  <c r="AK1189" i="1" s="1"/>
  <c r="AJ1854" i="1"/>
  <c r="AK1854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51" i="1"/>
  <c r="AK2251" i="1" s="1"/>
  <c r="AJ1612" i="1"/>
  <c r="AK1612" i="1" s="1"/>
  <c r="AJ2619" i="1"/>
  <c r="AK2619" i="1" s="1"/>
  <c r="AJ2610" i="1"/>
  <c r="AK2610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683" i="1"/>
  <c r="AK2683" i="1" s="1"/>
  <c r="AJ3195" i="1"/>
  <c r="AK3195" i="1" s="1"/>
  <c r="AJ3194" i="1"/>
  <c r="AK3194" i="1" s="1"/>
  <c r="AJ3583" i="1"/>
  <c r="AK3583" i="1" s="1"/>
  <c r="AJ2741" i="1"/>
  <c r="AK2741" i="1" s="1"/>
  <c r="AJ1295" i="1"/>
  <c r="AK1295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477" i="1"/>
  <c r="AK477" i="1" s="1"/>
  <c r="AJ1724" i="1"/>
  <c r="AK1724" i="1" s="1"/>
  <c r="AJ3343" i="1"/>
  <c r="AK3343" i="1" s="1"/>
  <c r="AJ3568" i="1"/>
  <c r="AK3568" i="1" s="1"/>
  <c r="AJ271" i="1"/>
  <c r="AK271" i="1" s="1"/>
  <c r="AJ3573" i="1"/>
  <c r="AK3573" i="1" s="1"/>
  <c r="AJ1613" i="1"/>
  <c r="AJ1725" i="1"/>
  <c r="AK1725" i="1" s="1"/>
  <c r="AJ3575" i="1"/>
  <c r="AK3575" i="1" s="1"/>
  <c r="AJ2299" i="1"/>
  <c r="AK2299" i="1" s="1"/>
  <c r="AJ2300" i="1"/>
  <c r="AK2300" i="1" s="1"/>
  <c r="AJ2303" i="1"/>
  <c r="AK2303" i="1" s="1"/>
  <c r="AJ1601" i="1"/>
  <c r="AK1601" i="1" s="1"/>
  <c r="AJ2148" i="1"/>
  <c r="AK2148" i="1" s="1"/>
  <c r="AJ1885" i="1"/>
  <c r="AK1885" i="1" s="1"/>
  <c r="AJ1602" i="1"/>
  <c r="AK1602" i="1" s="1"/>
  <c r="AJ2302" i="1"/>
  <c r="AK2302" i="1" s="1"/>
  <c r="AJ1511" i="1"/>
  <c r="AK1511" i="1" s="1"/>
  <c r="AJ2294" i="1"/>
  <c r="AK2294" i="1" s="1"/>
  <c r="AJ2293" i="1"/>
  <c r="AK2293" i="1" s="1"/>
  <c r="AJ3574" i="1"/>
  <c r="AK3574" i="1" s="1"/>
  <c r="AJ2404" i="1"/>
  <c r="AK2404" i="1" s="1"/>
  <c r="AJ1856" i="1"/>
  <c r="AK1856" i="1" s="1"/>
  <c r="AJ217" i="1"/>
  <c r="AK217" i="1" s="1"/>
  <c r="AJ1476" i="1"/>
  <c r="AK1476" i="1" s="1"/>
  <c r="AJ3566" i="1"/>
  <c r="AK3566" i="1" s="1"/>
  <c r="AJ1133" i="1"/>
  <c r="AK1133" i="1" s="1"/>
  <c r="AJ1858" i="1"/>
  <c r="AK1858" i="1" s="1"/>
  <c r="AJ1304" i="1"/>
  <c r="AK1304" i="1" s="1"/>
  <c r="AJ1578" i="1"/>
  <c r="AK1578" i="1" s="1"/>
  <c r="AJ2111" i="1"/>
  <c r="AK2111" i="1" s="1"/>
  <c r="AJ1120" i="1"/>
  <c r="AK1120" i="1" s="1"/>
  <c r="AJ3567" i="1"/>
  <c r="AK3567" i="1" s="1"/>
  <c r="AJ2462" i="1"/>
  <c r="AK2462" i="1" s="1"/>
  <c r="AJ1143" i="1"/>
  <c r="AK1143" i="1" s="1"/>
  <c r="AJ1857" i="1"/>
  <c r="AK1857" i="1" s="1"/>
  <c r="AJ223" i="1"/>
  <c r="AK223" i="1" s="1"/>
  <c r="AJ1276" i="1"/>
  <c r="AK1276" i="1" s="1"/>
  <c r="AJ1144" i="1"/>
  <c r="AK1144" i="1" s="1"/>
  <c r="AJ2301" i="1"/>
  <c r="AK2301" i="1" s="1"/>
  <c r="AJ3569" i="1"/>
  <c r="AK3569" i="1" s="1"/>
  <c r="AJ2110" i="1"/>
  <c r="AK2110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1855" i="1"/>
  <c r="AK1855" i="1" s="1"/>
  <c r="AJ2740" i="1"/>
  <c r="AK2740" i="1" s="1"/>
  <c r="AJ3277" i="1"/>
  <c r="AK3277" i="1" s="1"/>
  <c r="AJ2749" i="1"/>
  <c r="AK2749" i="1" s="1"/>
  <c r="AJ1936" i="1"/>
  <c r="AK1936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478" i="1"/>
  <c r="AK2478" i="1" s="1"/>
  <c r="AJ3584" i="1"/>
  <c r="AK3584" i="1" s="1"/>
  <c r="AJ2477" i="1"/>
  <c r="AK2477" i="1" s="1"/>
  <c r="AJ1935" i="1"/>
  <c r="AK1935" i="1" s="1"/>
  <c r="AJ1727" i="1"/>
  <c r="AK1727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1613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<sst xmlns="http://schemas.openxmlformats.org/spreadsheetml/2006/main" count="44515" uniqueCount="3574">
  <si>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</si>
  <si>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</si>
  <si>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</si>
  <si>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</si>
  <si>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</si>
  <si>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</si>
  <si>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</si>
  <si>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</si>
  <si>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</si>
  <si>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</si>
  <si>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</si>
  <si>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</si>
  <si>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</si>
  <si>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</si>
  <si>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</si>
  <si>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</si>
  <si>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</si>
  <si>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</si>
  <si>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</si>
  <si>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</si>
  <si>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</si>
  <si>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</si>
  <si>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</si>
  <si>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</si>
  <si>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</si>
  <si>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</si>
  <si>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</si>
  <si>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</si>
  <si>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</si>
  <si>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</si>
  <si>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</si>
  <si>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</si>
  <si>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</si>
  <si>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</si>
  <si>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</si>
  <si>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</si>
  <si>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</si>
  <si>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</si>
  <si>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</si>
  <si>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</si>
  <si>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</si>
  <si>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</si>
  <si>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</si>
  <si>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</si>
  <si>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</si>
  <si>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</si>
  <si>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</si>
  <si>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</si>
  <si>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</si>
  <si>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</si>
  <si>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</si>
  <si>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</si>
  <si>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</si>
  <si>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</si>
  <si>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</si>
  <si>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</si>
  <si>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</si>
  <si>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</si>
  <si>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</si>
  <si>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</si>
  <si>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</si>
  <si>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</si>
  <si>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</si>
  <si>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</si>
  <si>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</si>
  <si>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</si>
  <si>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</si>
  <si>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</si>
  <si>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</si>
  <si>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</si>
  <si>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</si>
  <si>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</si>
  <si>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</si>
  <si>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</si>
  <si>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</si>
  <si>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</si>
  <si>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</si>
  <si>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</si>
  <si>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</si>
  <si>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</si>
  <si>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</si>
  <si>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</si>
  <si>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</si>
  <si>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</si>
  <si>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</si>
  <si>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</si>
  <si>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</si>
  <si>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</si>
  <si>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</si>
  <si>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</si>
  <si>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</si>
  <si>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</si>
  <si>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</si>
  <si>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</si>
  <si>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</si>
  <si>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</si>
  <si>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</si>
  <si>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</si>
  <si>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</si>
  <si>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</si>
  <si>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</si>
  <si>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</si>
  <si>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</si>
  <si>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</si>
  <si>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</si>
  <si>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</si>
  <si>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</si>
  <si>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</si>
  <si>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</si>
  <si>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</si>
  <si>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</si>
  <si>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</si>
  <si>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</si>
  <si>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</si>
  <si>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</si>
  <si>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</si>
  <si>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</si>
  <si>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</si>
  <si>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</si>
  <si>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</si>
  <si>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</si>
  <si>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</si>
  <si>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</si>
  <si>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</si>
  <si>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</si>
  <si>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</si>
  <si>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</si>
  <si>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</si>
  <si>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</si>
  <si>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</si>
  <si>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</si>
  <si>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</si>
  <si>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</si>
  <si>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</si>
  <si>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</si>
  <si>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</si>
  <si>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</si>
  <si>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</si>
  <si>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</si>
  <si>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</si>
  <si>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</si>
  <si>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</si>
  <si>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</si>
  <si>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</si>
  <si>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</si>
  <si>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</si>
  <si>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</si>
  <si>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</si>
  <si>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</si>
  <si>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</si>
  <si>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</si>
  <si>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</si>
  <si>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</si>
  <si>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</si>
  <si>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</si>
  <si>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</si>
  <si>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</si>
  <si>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</si>
  <si>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</si>
  <si>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</si>
  <si>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</si>
  <si>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</si>
  <si>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</si>
  <si>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</si>
  <si>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</si>
  <si>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</si>
  <si>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</si>
  <si>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</si>
  <si>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</si>
  <si>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</si>
  <si>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</si>
  <si>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</si>
  <si>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</si>
  <si>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</si>
  <si>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</si>
  <si>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</si>
  <si>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</si>
  <si>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</si>
  <si>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</si>
  <si>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</si>
  <si>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</si>
  <si>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</si>
  <si>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</si>
  <si>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</si>
  <si>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</si>
  <si>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</si>
  <si>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</si>
  <si>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</si>
  <si>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</si>
  <si>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</si>
  <si>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</si>
  <si>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</si>
  <si>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</si>
  <si>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</si>
  <si>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</si>
  <si>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</si>
  <si>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</si>
  <si>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</si>
  <si>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</si>
  <si>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</si>
  <si>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</si>
  <si>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</si>
  <si>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</si>
  <si>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</si>
  <si>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</si>
  <si>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</si>
  <si>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</si>
  <si>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</si>
  <si>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</si>
  <si>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</si>
  <si>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</si>
  <si>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</si>
  <si>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</si>
  <si>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</si>
  <si>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</si>
  <si>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</si>
  <si>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</si>
  <si>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</si>
  <si>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</si>
  <si>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</si>
  <si>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</si>
  <si>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</si>
  <si>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</si>
  <si>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</si>
  <si>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</si>
  <si>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</si>
  <si>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</si>
  <si>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</si>
  <si>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</si>
  <si>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</si>
  <si>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</si>
  <si>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</si>
  <si>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</si>
  <si>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</si>
  <si>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</si>
  <si>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</si>
  <si>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</si>
  <si>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</si>
  <si>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</si>
  <si>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</si>
  <si>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</si>
  <si>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</si>
  <si>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</si>
  <si>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</si>
  <si>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</si>
  <si>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</si>
  <si>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</si>
  <si>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</si>
  <si>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</si>
  <si>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</si>
  <si>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</si>
  <si>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</si>
  <si>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</si>
  <si>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</si>
  <si>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</si>
  <si>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</si>
  <si>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</si>
  <si>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</si>
  <si>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</si>
  <si>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</si>
  <si>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</si>
  <si>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</si>
  <si>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</si>
  <si>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</si>
  <si>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</si>
  <si>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</si>
  <si>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</si>
  <si>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</si>
  <si>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</si>
  <si>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</si>
  <si>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</si>
  <si>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</si>
  <si>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</si>
  <si>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</si>
  <si>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</si>
  <si>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</si>
  <si>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</si>
  <si>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</si>
  <si>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</si>
  <si>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</si>
  <si>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</si>
  <si>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</si>
  <si>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</si>
  <si>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</si>
  <si>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</si>
  <si>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</si>
  <si>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</si>
  <si>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</si>
  <si>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</si>
  <si>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</si>
  <si>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</si>
  <si>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</si>
  <si>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</si>
  <si>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</si>
  <si>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</si>
  <si>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</si>
  <si>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</si>
  <si>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</si>
  <si>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</si>
  <si>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</si>
  <si>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</si>
  <si>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</si>
  <si>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</si>
  <si>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</si>
  <si>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</si>
  <si>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</si>
  <si>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</si>
  <si>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</si>
  <si>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</si>
  <si>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</si>
  <si>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</si>
  <si>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</si>
  <si>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</si>
  <si>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</si>
  <si>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</si>
  <si>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</si>
  <si>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</si>
  <si>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</si>
  <si>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</si>
  <si>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</si>
  <si>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</si>
  <si>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</si>
  <si>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</si>
  <si>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</si>
  <si>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</si>
  <si>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</si>
  <si>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</si>
  <si>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</si>
  <si>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</si>
  <si>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</si>
  <si>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</si>
  <si>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</si>
  <si>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</si>
  <si>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</si>
  <si>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</si>
  <si>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</si>
  <si>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</si>
  <si>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</si>
  <si>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</si>
  <si>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</si>
  <si>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</si>
  <si>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</si>
  <si>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</si>
  <si>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</si>
  <si>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</si>
  <si>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</si>
  <si>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</si>
  <si>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</si>
  <si>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</si>
  <si>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</si>
  <si>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</si>
  <si>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</si>
  <si>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</si>
  <si>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</si>
  <si>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</si>
  <si>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</si>
  <si>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</si>
  <si>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</si>
  <si>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</si>
  <si>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</si>
  <si>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</si>
  <si>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</si>
  <si>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</si>
  <si>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</si>
  <si>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</si>
  <si>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</si>
  <si>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</si>
  <si>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</si>
  <si>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</si>
  <si>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</si>
  <si>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</si>
  <si>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</si>
  <si>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</si>
  <si>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</si>
  <si>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</si>
  <si>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</si>
  <si>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</si>
  <si>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</si>
  <si>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</si>
  <si>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</si>
  <si>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</si>
  <si>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</si>
  <si>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</si>
  <si>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</si>
  <si>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</si>
  <si>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</si>
  <si>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</si>
  <si>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</si>
  <si>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</si>
  <si>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</si>
  <si>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</si>
  <si>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</si>
  <si>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</si>
  <si>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</si>
  <si>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</si>
  <si>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</si>
  <si>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</si>
  <si>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</si>
  <si>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</si>
  <si>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</si>
  <si>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</si>
  <si>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</si>
  <si>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</si>
  <si>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</si>
  <si>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</si>
  <si>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</si>
  <si>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</si>
  <si>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</si>
  <si>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</si>
  <si>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</si>
  <si>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</si>
  <si>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</si>
  <si>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</si>
  <si>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</si>
  <si>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</si>
  <si>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</si>
  <si>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</si>
  <si>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</si>
  <si>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</si>
  <si>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</si>
  <si>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</si>
  <si>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</si>
  <si>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</si>
  <si>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</si>
  <si>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</si>
  <si>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</si>
  <si>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</si>
  <si>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</si>
  <si>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</si>
  <si>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</si>
  <si>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</si>
  <si>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</si>
  <si>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</si>
  <si>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</si>
  <si>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</si>
  <si>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</si>
  <si>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</si>
  <si>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</si>
  <si>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</si>
  <si>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</si>
  <si>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</si>
  <si>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</si>
  <si>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</si>
  <si>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</si>
  <si>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</si>
  <si>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</si>
  <si>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</si>
  <si>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</si>
  <si>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</si>
  <si>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</si>
  <si>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</si>
  <si>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</si>
  <si>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</si>
  <si>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</si>
  <si>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</si>
  <si>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</si>
  <si>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</si>
  <si>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</si>
  <si>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</si>
  <si>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</si>
  <si>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</si>
  <si>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</si>
  <si>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</si>
  <si>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</si>
  <si>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</si>
  <si>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</si>
  <si>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</si>
  <si>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</si>
  <si>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</si>
  <si>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</si>
  <si>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</si>
  <si>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</si>
  <si>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</si>
  <si>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</si>
  <si>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</si>
  <si>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</si>
  <si>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</si>
  <si>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</si>
  <si>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</si>
  <si>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</si>
  <si>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</si>
  <si>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</si>
  <si>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</si>
  <si>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</si>
  <si>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</si>
  <si>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</si>
  <si>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</si>
  <si>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</si>
  <si>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</si>
  <si>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</si>
  <si>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</si>
  <si>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</si>
  <si>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</si>
  <si>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</si>
  <si>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</si>
  <si>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</si>
  <si>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</si>
  <si>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</si>
  <si>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</si>
  <si>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</si>
  <si>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</si>
  <si>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</si>
  <si>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</si>
  <si>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</si>
  <si>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</si>
  <si>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</si>
  <si>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</si>
  <si>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</si>
  <si>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</si>
  <si>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</si>
  <si>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</si>
  <si>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</si>
  <si>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</si>
  <si>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</si>
  <si>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</si>
  <si>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</si>
  <si>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</si>
  <si>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</si>
  <si>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</si>
  <si>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</si>
  <si>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</si>
  <si>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</si>
  <si>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</si>
  <si>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</si>
  <si>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</si>
  <si>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</si>
  <si>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</si>
  <si>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</si>
  <si>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</si>
  <si>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</si>
  <si>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</si>
  <si>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</si>
  <si>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</si>
  <si>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</si>
  <si>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</si>
  <si>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</si>
  <si>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</si>
  <si>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</si>
  <si>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</si>
  <si>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</si>
  <si>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</si>
  <si>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</si>
  <si>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</si>
  <si>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</si>
  <si>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</si>
  <si>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</si>
  <si>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</si>
  <si>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</si>
  <si>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</si>
  <si>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</si>
  <si>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</si>
  <si>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</si>
  <si>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</si>
  <si>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</si>
  <si>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</si>
  <si>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</si>
  <si>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</si>
  <si>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</si>
  <si>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</si>
  <si>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</si>
  <si>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</si>
  <si>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</si>
  <si>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</si>
  <si>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</si>
  <si>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</si>
  <si>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</si>
  <si>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</si>
  <si>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</si>
  <si>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</si>
  <si>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</si>
  <si>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</si>
  <si>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</si>
  <si>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</si>
  <si>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</si>
  <si>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</si>
  <si>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</si>
  <si>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</si>
  <si>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</si>
  <si>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</si>
  <si>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</si>
  <si>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</si>
  <si>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</si>
  <si>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</si>
  <si>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</si>
  <si>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</si>
  <si>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</si>
  <si>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</si>
  <si>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</si>
  <si>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</si>
  <si>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</si>
  <si>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</si>
  <si>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</si>
  <si>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</si>
  <si>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</si>
  <si>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</si>
  <si>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</si>
  <si>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</si>
  <si>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</si>
  <si>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</si>
  <si>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</si>
  <si>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</si>
  <si>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</si>
  <si>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</si>
  <si>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</si>
  <si>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</si>
  <si>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</si>
  <si>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</si>
  <si>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</si>
  <si>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</si>
  <si>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</si>
  <si>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</si>
  <si>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</si>
  <si>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</si>
  <si>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</si>
  <si>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</si>
  <si>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</si>
  <si>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</si>
  <si>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</si>
  <si>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</si>
  <si>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</si>
  <si>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</si>
  <si>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</si>
  <si>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</si>
  <si>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</si>
  <si>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</si>
  <si>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</si>
  <si>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</si>
  <si>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</si>
  <si>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</si>
  <si>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</si>
  <si>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</si>
  <si>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</si>
  <si>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</si>
  <si>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</si>
  <si>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</si>
  <si>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</si>
  <si>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</si>
  <si>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</si>
  <si>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</si>
  <si>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</si>
  <si>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</si>
  <si>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</si>
  <si>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</si>
  <si>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</si>
  <si>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</si>
  <si>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</si>
  <si>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</si>
  <si>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</si>
  <si>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</si>
  <si>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</si>
  <si>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</si>
  <si>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</si>
  <si>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</si>
  <si>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</si>
  <si>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</si>
  <si>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</si>
  <si>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</si>
  <si>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</si>
  <si>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</si>
  <si>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</si>
  <si>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</si>
  <si>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</si>
  <si>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</si>
  <si>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</si>
  <si>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</si>
  <si>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</si>
  <si>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</si>
  <si>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</si>
  <si>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</si>
  <si>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</si>
  <si>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</si>
  <si>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</si>
  <si>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</si>
  <si>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</si>
  <si>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</si>
  <si>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</si>
  <si>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</si>
  <si>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</si>
  <si>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</si>
  <si>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</si>
  <si>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</si>
  <si>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</si>
  <si>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</si>
  <si>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</si>
  <si>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</si>
  <si>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</si>
  <si>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</si>
  <si>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</si>
  <si>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</si>
  <si>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</si>
  <si>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</si>
  <si>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</si>
  <si>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</si>
  <si>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</si>
  <si>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</si>
  <si>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</si>
  <si>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</si>
  <si>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</si>
  <si>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</si>
  <si>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</si>
  <si>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</si>
  <si>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</si>
  <si>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</si>
  <si>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</si>
  <si>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</si>
  <si>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</si>
  <si>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</si>
  <si>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</si>
  <si>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</si>
  <si>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</si>
  <si>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</si>
  <si>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</si>
  <si>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</si>
  <si>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</si>
  <si>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</si>
  <si>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</si>
  <si>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</si>
  <si>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</si>
  <si>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</si>
  <si>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</si>
  <si>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</si>
  <si>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</si>
  <si>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</si>
  <si>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</si>
  <si>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</si>
  <si>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</si>
  <si>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</si>
  <si>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</si>
  <si>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</si>
  <si>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</si>
  <si>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</si>
  <si>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</si>
  <si>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</si>
  <si>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</si>
  <si>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</si>
  <si>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</si>
  <si>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</si>
  <si>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</si>
  <si>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</si>
  <si>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</si>
  <si>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</si>
  <si>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</si>
  <si>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</si>
  <si>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</si>
  <si>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</si>
  <si>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</si>
  <si>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</si>
  <si>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</si>
  <si>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</si>
  <si>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</si>
  <si>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</si>
  <si>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</si>
  <si>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</si>
  <si>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</si>
  <si>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</si>
  <si>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</si>
  <si>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</si>
  <si>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</si>
  <si>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</si>
  <si>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</si>
  <si>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</si>
  <si>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</si>
  <si>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</si>
  <si>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</si>
  <si>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</si>
  <si>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</si>
  <si>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</si>
  <si>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</si>
  <si>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</si>
  <si>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</si>
  <si>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</si>
  <si>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</si>
  <si>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</si>
  <si>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</si>
  <si>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</si>
  <si>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</si>
  <si>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</si>
  <si>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</si>
  <si>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</si>
  <si>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</si>
  <si>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</si>
  <si>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</si>
  <si>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</si>
  <si>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</si>
  <si>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</si>
  <si>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</si>
  <si>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</si>
  <si>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</si>
  <si>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</si>
  <si>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</si>
  <si>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</si>
  <si>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</si>
  <si>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</si>
  <si>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</si>
  <si>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</si>
  <si>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</si>
  <si>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</si>
  <si>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</si>
  <si>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</si>
  <si>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</si>
  <si>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</si>
  <si>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</si>
  <si>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</si>
  <si>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</si>
  <si>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</si>
  <si>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</si>
  <si>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</si>
  <si>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</si>
  <si>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</si>
  <si>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</si>
  <si>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</si>
  <si>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</si>
  <si>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</si>
  <si>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</si>
  <si>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</si>
  <si>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</si>
  <si>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</si>
  <si>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</si>
  <si>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</si>
  <si>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</si>
  <si>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</si>
  <si>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</si>
  <si>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</si>
  <si>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</si>
  <si>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</si>
  <si>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</si>
  <si>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</si>
  <si>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</si>
  <si>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</si>
  <si>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</si>
  <si>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</si>
  <si>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</si>
  <si>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</si>
  <si>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</si>
  <si>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</si>
  <si>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</si>
  <si>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</si>
  <si>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</si>
  <si>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</si>
  <si>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</si>
  <si>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</si>
  <si>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</si>
  <si>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</si>
  <si>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</si>
  <si>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</si>
  <si>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</si>
  <si>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</si>
  <si>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</si>
  <si>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</si>
  <si>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</si>
  <si>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</si>
  <si>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</si>
  <si>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</si>
  <si>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</si>
  <si>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</si>
  <si>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</si>
  <si>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</si>
  <si>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</si>
  <si>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</si>
  <si>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</si>
  <si>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</si>
  <si>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</si>
  <si>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</si>
  <si>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</si>
  <si>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</si>
  <si>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</si>
  <si>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</si>
  <si>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</si>
  <si>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</si>
  <si>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</si>
  <si>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</si>
  <si>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</si>
  <si>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</si>
  <si>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</si>
  <si>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</si>
  <si>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</si>
  <si>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</si>
  <si>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</si>
  <si>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</si>
  <si>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</si>
  <si>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</si>
  <si>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</si>
  <si>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</si>
  <si>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</si>
  <si>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</si>
  <si>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</si>
  <si>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</si>
  <si>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</si>
  <si>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</si>
  <si>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</si>
  <si>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</si>
  <si>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</si>
  <si>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</si>
  <si>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</si>
  <si>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</si>
  <si>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</si>
  <si>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</si>
  <si>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</si>
  <si>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</si>
  <si>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</si>
  <si>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</si>
  <si>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</si>
  <si>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</si>
  <si>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</si>
  <si>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</si>
  <si>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</si>
  <si>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</si>
  <si>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</si>
  <si>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</si>
  <si>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</si>
  <si>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</si>
  <si>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</si>
  <si>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</si>
  <si>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</si>
  <si>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</si>
  <si>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</si>
  <si>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</si>
  <si>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</si>
  <si>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</si>
  <si>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</si>
  <si>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</si>
  <si>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</si>
  <si>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</si>
  <si>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</si>
  <si>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</si>
  <si>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</si>
  <si>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</si>
  <si>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</si>
  <si>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</si>
  <si>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</si>
  <si>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</si>
  <si>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</si>
  <si>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</si>
  <si>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</si>
  <si>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</si>
  <si>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</si>
  <si>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</si>
  <si>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</si>
  <si>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</si>
  <si>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</si>
  <si>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</si>
  <si>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</si>
  <si>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</si>
  <si>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</si>
  <si>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</si>
  <si>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</si>
  <si>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</si>
  <si>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</si>
  <si>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</si>
  <si>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</si>
  <si>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</si>
  <si>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</si>
  <si>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</si>
  <si>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</si>
  <si>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</si>
  <si>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</si>
  <si>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</si>
  <si>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</si>
  <si>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</si>
  <si>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</si>
  <si>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</si>
  <si>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</si>
  <si>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</si>
  <si>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</si>
  <si>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</si>
  <si>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</si>
  <si>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</si>
  <si>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</si>
  <si>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</si>
  <si>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</si>
  <si>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</si>
  <si>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</si>
  <si>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</si>
  <si>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</si>
  <si>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</si>
  <si>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</si>
  <si>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</si>
  <si>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</si>
  <si>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</si>
  <si>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</si>
  <si>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</si>
  <si>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</si>
  <si>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</si>
  <si>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</si>
  <si>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</si>
  <si>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</si>
  <si>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</si>
  <si>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</si>
  <si>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</si>
  <si>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</si>
  <si>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</si>
  <si>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</si>
  <si>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</si>
  <si>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</si>
  <si>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</si>
  <si>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</si>
  <si>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</si>
  <si>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</si>
  <si>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</si>
  <si>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</si>
  <si>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</si>
  <si>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</si>
  <si>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</si>
  <si>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</si>
  <si>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</si>
  <si>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</si>
  <si>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</si>
  <si>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</si>
  <si>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</si>
  <si>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</si>
  <si>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</si>
  <si>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</si>
  <si>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</si>
  <si>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</si>
  <si>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</si>
  <si>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</si>
  <si>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</si>
  <si>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</si>
  <si>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</si>
  <si>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</si>
  <si>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</si>
  <si>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</si>
  <si>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</si>
  <si>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</si>
  <si>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</si>
  <si>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</si>
  <si>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</si>
  <si>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</si>
  <si>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</si>
  <si>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</si>
  <si>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</si>
  <si>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</si>
  <si>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</si>
  <si>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</si>
  <si>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</si>
  <si>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</si>
  <si>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</si>
  <si>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</si>
  <si>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</si>
  <si>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</si>
  <si>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</si>
  <si>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</si>
  <si>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</si>
  <si>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</si>
  <si>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</si>
  <si>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</si>
  <si>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</si>
  <si>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</si>
  <si>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</si>
  <si>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</si>
  <si>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</si>
  <si>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</si>
  <si>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</si>
  <si>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</si>
  <si>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</si>
  <si>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</si>
  <si>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</si>
  <si>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</si>
  <si>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</si>
  <si>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</si>
  <si>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</si>
  <si>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</si>
  <si>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</si>
  <si>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</si>
  <si>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</si>
  <si>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</si>
  <si>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</si>
  <si>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</si>
  <si>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</si>
  <si>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</si>
  <si>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</si>
  <si>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</si>
  <si>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</si>
  <si>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</si>
  <si>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</si>
  <si>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</si>
  <si>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</si>
  <si>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</si>
  <si>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</si>
  <si>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</si>
  <si>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</si>
  <si>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</si>
  <si>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</si>
  <si>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</si>
  <si>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</si>
  <si>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</si>
  <si>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</si>
  <si>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</si>
  <si>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</si>
  <si>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</si>
  <si>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</si>
  <si>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</si>
  <si>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</si>
  <si>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</si>
  <si>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</si>
  <si>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</si>
  <si>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</si>
  <si>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</si>
  <si>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</si>
  <si>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</si>
  <si>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</si>
  <si>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</si>
  <si>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</si>
  <si>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</si>
  <si>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</si>
  <si>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</si>
  <si>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</si>
  <si>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</si>
  <si>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</si>
  <si>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</si>
  <si>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</si>
  <si>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</si>
  <si>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</si>
  <si>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</si>
  <si>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</si>
  <si>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</si>
  <si>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</si>
  <si>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</si>
  <si>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</si>
  <si>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</si>
  <si>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</si>
  <si>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</si>
  <si>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</si>
  <si>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</si>
  <si>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</si>
  <si>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</si>
  <si>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</si>
  <si>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</si>
  <si>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</si>
  <si>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</si>
  <si>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</si>
  <si>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</si>
  <si>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</si>
  <si>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</si>
  <si>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</si>
  <si>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</si>
  <si>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</si>
  <si>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</si>
  <si>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</si>
  <si>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</si>
  <si>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</si>
  <si>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</si>
  <si>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</si>
  <si>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</si>
  <si>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</si>
  <si>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</si>
  <si>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</si>
  <si>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</si>
  <si>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</si>
  <si>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</si>
  <si>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</si>
  <si>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</si>
  <si>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</si>
  <si>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</si>
  <si>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</si>
  <si>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</si>
  <si>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</si>
  <si>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</si>
  <si>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</si>
  <si>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</si>
  <si>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</si>
  <si>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</si>
  <si>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</si>
  <si>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</si>
  <si>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</si>
  <si>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</si>
  <si>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</si>
  <si>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</si>
  <si>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</si>
  <si>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</si>
  <si>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</si>
  <si>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</si>
  <si>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</si>
  <si>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</si>
  <si>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</si>
  <si>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</si>
  <si>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</si>
  <si>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</si>
  <si>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</si>
  <si>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</si>
  <si>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</si>
  <si>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</si>
  <si>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</si>
  <si>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</si>
  <si>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</si>
  <si>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</si>
  <si>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</si>
  <si>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</si>
  <si>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</si>
  <si>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</si>
  <si>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</si>
  <si>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</si>
  <si>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</si>
  <si>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</si>
  <si>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</si>
  <si>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</si>
  <si>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</si>
  <si>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</si>
  <si>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</si>
  <si>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</si>
  <si>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</si>
  <si>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</si>
  <si>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</si>
  <si>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</si>
  <si>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</si>
  <si>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</si>
  <si>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</si>
  <si>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</si>
  <si>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</si>
  <si>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</si>
  <si>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</si>
  <si>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</si>
  <si>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</si>
  <si>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</si>
  <si>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</si>
  <si>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</si>
  <si>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</si>
  <si>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</si>
  <si>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</si>
  <si>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</si>
  <si>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</si>
  <si>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</si>
  <si>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</si>
  <si>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</si>
  <si>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</si>
  <si>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</si>
  <si>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</si>
  <si>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</si>
  <si>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</si>
  <si>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</si>
  <si>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</si>
  <si>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</si>
  <si>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</si>
  <si>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</si>
  <si>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</si>
  <si>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</si>
  <si>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</si>
  <si>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</si>
  <si>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</si>
  <si>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</si>
  <si>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</si>
  <si>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</si>
  <si>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</si>
  <si>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</si>
  <si>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</si>
  <si>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</si>
  <si>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</si>
  <si>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</si>
  <si>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</si>
  <si>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</si>
  <si>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</si>
  <si>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</si>
  <si>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</si>
  <si>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</si>
  <si>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</si>
  <si>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</si>
  <si>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</si>
  <si>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</si>
  <si>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</si>
  <si>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</si>
  <si>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</si>
  <si>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</si>
  <si>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</si>
  <si>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</si>
  <si>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</si>
  <si>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</si>
  <si>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</si>
  <si>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</si>
  <si>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</si>
  <si>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</si>
  <si>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</si>
  <si>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</si>
  <si>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</si>
  <si>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</si>
  <si>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</si>
  <si>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</si>
  <si>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</si>
  <si>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</si>
  <si>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</si>
  <si>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</si>
  <si>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</si>
  <si>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</si>
  <si>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</si>
  <si>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</si>
  <si>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</si>
  <si>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</si>
  <si>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</si>
  <si>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</si>
  <si>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</si>
  <si>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</si>
  <si>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</si>
  <si>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</si>
  <si>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</si>
  <si>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</si>
  <si>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</si>
  <si>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</si>
  <si>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</si>
  <si>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</si>
  <si>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</si>
  <si>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</si>
  <si>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</si>
  <si>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</si>
  <si>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</si>
  <si>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</si>
  <si>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</si>
  <si>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</si>
  <si>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</si>
  <si>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</si>
  <si>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</si>
  <si>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</si>
  <si>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</si>
  <si>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</si>
  <si>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</si>
  <si>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</si>
  <si>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</si>
  <si>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</si>
  <si>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</si>
  <si>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</si>
  <si>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</si>
  <si>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</si>
  <si>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</si>
  <si>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</si>
  <si>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</si>
  <si>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</si>
  <si>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</si>
  <si>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</si>
  <si>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</si>
  <si>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</si>
  <si>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</si>
  <si>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</si>
  <si>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</si>
  <si>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</si>
  <si>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</si>
  <si>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</si>
  <si>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</si>
  <si>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</si>
  <si>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</si>
  <si>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</si>
  <si>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</si>
  <si>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</si>
  <si>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</si>
  <si>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</si>
  <si>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</si>
  <si>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</si>
  <si>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</si>
  <si>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</si>
  <si>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</si>
  <si>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</si>
  <si>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</si>
  <si>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</si>
  <si>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</si>
  <si>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</si>
  <si>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</si>
  <si>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</si>
  <si>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</si>
  <si>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</si>
  <si>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</si>
  <si>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</si>
  <si>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</si>
  <si>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</si>
  <si>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</si>
  <si>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</si>
  <si>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</si>
  <si>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</si>
  <si>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</si>
  <si>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</si>
  <si>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</si>
  <si>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</si>
  <si>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</si>
  <si>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</si>
  <si>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</si>
  <si>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</si>
  <si>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</si>
  <si>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</si>
  <si>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</si>
  <si>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</si>
  <si>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</si>
  <si>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</si>
  <si>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</si>
  <si>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</si>
  <si>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</si>
  <si>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</si>
  <si>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</si>
  <si>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</si>
  <si>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</si>
  <si>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</si>
  <si>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</si>
  <si>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</si>
  <si>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</si>
  <si>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</si>
  <si>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</si>
  <si>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</si>
  <si>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</si>
  <si>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</si>
  <si>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</si>
  <si>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</si>
  <si>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</si>
  <si>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</si>
  <si>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</si>
  <si>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</si>
  <si>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</si>
  <si>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</si>
  <si>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</si>
  <si>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</si>
  <si>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</si>
  <si>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</si>
  <si>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</si>
  <si>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</si>
  <si>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</si>
  <si>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</si>
  <si>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</si>
  <si>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</si>
  <si>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</si>
  <si>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</si>
  <si>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</si>
  <si>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</si>
  <si>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</si>
  <si>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</si>
  <si>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</si>
  <si>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</si>
  <si>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</si>
  <si>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</si>
  <si>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</si>
  <si>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</si>
  <si>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</si>
  <si>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</si>
  <si>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</si>
  <si>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</si>
  <si>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</si>
  <si>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</si>
  <si>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</si>
  <si>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</si>
  <si>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</si>
  <si>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</si>
  <si>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</si>
  <si>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</si>
  <si>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</si>
  <si>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</si>
  <si>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</si>
  <si>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</si>
  <si>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</si>
  <si>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</si>
  <si>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</si>
  <si>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</si>
  <si>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</si>
  <si>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</si>
  <si>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</si>
  <si>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</si>
  <si>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</si>
  <si>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</si>
  <si>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</si>
  <si>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</si>
  <si>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</si>
  <si>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</si>
  <si>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</si>
  <si>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</si>
  <si>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</si>
  <si>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</si>
  <si>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</si>
  <si>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</si>
  <si>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</si>
  <si>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</si>
  <si>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</si>
  <si>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</si>
  <si>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</si>
  <si>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</si>
  <si>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</si>
  <si>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</si>
  <si>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</si>
  <si>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</si>
  <si>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</si>
  <si>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</si>
  <si>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</si>
  <si>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</si>
  <si>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</si>
  <si>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</si>
  <si>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</si>
  <si>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</si>
  <si>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</si>
  <si>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</si>
  <si>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</si>
  <si>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</si>
  <si>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</si>
  <si>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</si>
  <si>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</si>
  <si>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</si>
  <si>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</si>
  <si>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</si>
  <si>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</si>
  <si>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</si>
  <si>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</si>
  <si>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</si>
  <si>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</si>
  <si>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</si>
  <si>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</si>
  <si>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</si>
  <si>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</si>
  <si>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</si>
  <si>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</si>
  <si>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</si>
  <si>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</si>
  <si>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</si>
  <si>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</si>
  <si>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</si>
  <si>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</si>
  <si>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</si>
  <si>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</si>
  <si>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</si>
  <si>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</si>
  <si>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</si>
  <si>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</si>
  <si>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</si>
  <si>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</si>
  <si>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</si>
  <si>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</si>
  <si>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</si>
  <si>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</si>
  <si>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</si>
  <si>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</si>
  <si>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</si>
  <si>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</si>
  <si>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</si>
  <si>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</si>
  <si>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</si>
  <si>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</si>
  <si>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</si>
  <si>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</si>
  <si>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</si>
  <si>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</si>
  <si>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</si>
  <si>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</si>
  <si>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</si>
  <si>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</si>
  <si>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</si>
  <si>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</si>
  <si>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</si>
  <si>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</si>
  <si>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</si>
  <si>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</si>
  <si>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</si>
  <si>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</si>
  <si>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</si>
  <si>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</si>
  <si>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</si>
  <si>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</si>
  <si>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</si>
  <si>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</si>
  <si>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</si>
  <si>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</si>
  <si>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</si>
  <si>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</si>
  <si>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</si>
  <si>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</si>
  <si>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</si>
  <si>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</si>
  <si>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</si>
  <si>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</si>
  <si>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</si>
  <si>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</si>
  <si>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</si>
  <si>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</si>
  <si>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</si>
  <si>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</si>
  <si>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</si>
  <si>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</si>
  <si>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</si>
  <si>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</si>
  <si>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</si>
  <si>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</si>
  <si>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</si>
  <si>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</si>
  <si>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</si>
  <si>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</si>
  <si>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</si>
  <si>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</si>
  <si>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</si>
  <si>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</si>
  <si>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</si>
  <si>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</si>
  <si>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</si>
  <si>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</si>
  <si>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</si>
  <si>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</si>
  <si>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</si>
  <si>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</si>
  <si>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</si>
  <si>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</si>
  <si>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</si>
  <si>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</si>
  <si>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</si>
  <si>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</si>
  <si>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</si>
  <si>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</si>
  <si>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</si>
  <si>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</si>
  <si>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</si>
  <si>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</si>
  <si>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</si>
  <si>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</si>
  <si>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</si>
  <si>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</si>
  <si>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</si>
  <si>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</si>
  <si>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</si>
  <si>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</si>
  <si>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</si>
  <si>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</si>
  <si>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</si>
  <si>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</si>
  <si>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</si>
  <si>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</si>
  <si>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</si>
  <si>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</si>
  <si>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</si>
  <si>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</si>
  <si>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</si>
  <si>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</si>
  <si>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</si>
  <si>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</si>
  <si>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</si>
  <si>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</si>
  <si>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</si>
  <si>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</si>
  <si>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</si>
  <si>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</si>
  <si>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</si>
  <si>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</si>
  <si>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</si>
  <si>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</si>
  <si>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</si>
  <si>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</si>
  <si>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</si>
  <si>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</si>
  <si>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</si>
  <si>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</si>
  <si>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</si>
  <si>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</si>
  <si>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</si>
  <si>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</si>
  <si>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</si>
  <si>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</si>
  <si>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</si>
  <si>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</si>
  <si>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</si>
  <si>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</si>
  <si>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</si>
  <si>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</si>
  <si>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</si>
  <si>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</si>
  <si>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</si>
  <si>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</si>
  <si>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</si>
  <si>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</si>
  <si>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</si>
  <si>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</si>
  <si>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</si>
  <si>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</si>
  <si>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</si>
  <si>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</si>
  <si>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</si>
  <si>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</si>
  <si>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</si>
  <si>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</si>
  <si>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</si>
  <si>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</si>
  <si>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</si>
  <si>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</si>
  <si>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</si>
  <si>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</si>
  <si>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</si>
  <si>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</si>
  <si>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</si>
  <si>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</si>
  <si>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</si>
  <si>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</si>
  <si>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</si>
  <si>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</si>
  <si>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</si>
  <si>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</si>
  <si>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</si>
  <si>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</si>
  <si>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</si>
  <si>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</si>
  <si>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</si>
  <si>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</si>
  <si>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</si>
  <si>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</si>
  <si>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</si>
  <si>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</si>
  <si>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</si>
  <si>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</si>
  <si>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</si>
  <si>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</si>
  <si>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</si>
  <si>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</si>
  <si>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</si>
  <si>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</si>
  <si>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</si>
  <si>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</si>
  <si>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</si>
  <si>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</si>
  <si>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</si>
  <si>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</si>
  <si>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</si>
  <si>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</si>
  <si>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</si>
  <si>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</si>
  <si>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</si>
  <si>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</si>
  <si>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</si>
  <si>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</si>
  <si>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</si>
  <si>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</si>
  <si>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</si>
  <si>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</si>
  <si>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</si>
  <si>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</si>
  <si>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</si>
  <si>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</si>
  <si>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</si>
  <si>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</si>
  <si>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</si>
  <si>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</si>
  <si>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</si>
  <si>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</si>
  <si>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</si>
  <si>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</si>
  <si>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</si>
  <si>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</si>
  <si>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</si>
  <si>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</si>
  <si>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</si>
  <si>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</si>
  <si>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</si>
  <si>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</si>
  <si>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</si>
  <si>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</si>
  <si>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</si>
  <si>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</si>
  <si>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</si>
  <si>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</si>
  <si>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</si>
  <si>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</si>
  <si>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</si>
  <si>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</si>
  <si>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</si>
  <si>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</si>
  <si>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</si>
  <si>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</si>
  <si>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</si>
  <si>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</si>
  <si>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</si>
  <si>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</si>
  <si>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</si>
  <si>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</si>
  <si>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</si>
  <si>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</si>
  <si>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</si>
  <si>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</si>
  <si>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</si>
  <si>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</si>
  <si>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</si>
  <si>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</si>
  <si>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</si>
  <si>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</si>
  <si>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</si>
  <si>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</si>
  <si>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</si>
  <si>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</si>
  <si>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</si>
  <si>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</si>
  <si>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</si>
  <si>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</si>
  <si>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</si>
  <si>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</si>
  <si>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</si>
  <si>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</si>
  <si>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</si>
  <si>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</si>
  <si>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</si>
  <si>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</si>
  <si>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</si>
  <si>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</si>
  <si>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</si>
  <si>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</si>
  <si>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</si>
  <si>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</si>
  <si>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</si>
  <si>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</si>
  <si>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</si>
  <si>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</si>
  <si>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</si>
  <si>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</si>
  <si>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</si>
  <si>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</si>
  <si>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</si>
  <si>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</si>
  <si>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</si>
  <si>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</si>
  <si>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</si>
  <si>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</si>
  <si>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</si>
  <si>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</si>
  <si>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</si>
  <si>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</si>
  <si>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</si>
  <si>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</si>
  <si>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</si>
  <si>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</si>
  <si>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</si>
  <si>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</si>
  <si>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</si>
  <si>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</si>
  <si>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</si>
  <si>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</si>
  <si>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</si>
  <si>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</si>
  <si>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</si>
  <si>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</si>
  <si>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</si>
  <si>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</si>
  <si>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</si>
  <si>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</si>
  <si>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</si>
  <si>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</si>
  <si>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</si>
  <si>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</si>
  <si>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</si>
  <si>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</si>
  <si>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</si>
  <si>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</si>
  <si>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</si>
  <si>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</si>
  <si>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</si>
  <si>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</si>
  <si>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</si>
  <si>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</si>
  <si>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</si>
  <si>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</si>
  <si>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</si>
  <si>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</si>
  <si>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</si>
  <si>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</si>
  <si>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</si>
  <si>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</si>
  <si>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</si>
  <si>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</si>
  <si>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</si>
  <si>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</si>
  <si>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</si>
  <si>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</si>
  <si>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</si>
  <si>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</si>
  <si>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</si>
  <si>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</si>
  <si>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</si>
  <si>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</si>
  <si>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</si>
  <si>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</si>
  <si>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</si>
  <si>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</si>
  <si>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</si>
  <si>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</si>
  <si>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</si>
  <si>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</si>
  <si>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</si>
  <si>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</si>
  <si>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</si>
  <si>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</si>
  <si>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</si>
  <si>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</si>
  <si>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</si>
  <si>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</si>
  <si>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</si>
  <si>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</si>
  <si>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</si>
  <si>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</si>
  <si>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</si>
  <si>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</si>
  <si>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</si>
  <si>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</si>
  <si>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</si>
  <si>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</si>
  <si>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</si>
  <si>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</si>
  <si>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</si>
  <si>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</si>
  <si>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</si>
  <si>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</si>
  <si>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</si>
  <si>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</si>
  <si>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</si>
  <si>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</si>
  <si>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</si>
  <si>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</si>
  <si>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</si>
  <si>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</si>
  <si>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</si>
  <si>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</si>
  <si>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</si>
  <si>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</si>
  <si>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</si>
  <si>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</si>
  <si>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</si>
  <si>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</si>
  <si>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</si>
  <si>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</si>
  <si>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</si>
  <si>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</si>
  <si>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</si>
  <si>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</si>
  <si>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</si>
  <si>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</si>
  <si>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</si>
  <si>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</si>
  <si>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</si>
  <si>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</si>
  <si>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</si>
  <si>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</si>
  <si>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</si>
  <si>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</si>
  <si>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</si>
  <si>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</si>
  <si>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</si>
  <si>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</si>
  <si>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</si>
  <si>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</si>
  <si>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</si>
  <si>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</si>
  <si>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</si>
  <si>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</si>
  <si>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</si>
  <si>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</si>
  <si>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</si>
  <si>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</si>
  <si>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</si>
  <si>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</si>
  <si>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</si>
  <si>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</si>
  <si>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</si>
  <si>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</si>
  <si>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</si>
  <si>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</si>
  <si>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</si>
  <si>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</si>
  <si>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</si>
  <si>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</si>
  <si>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</si>
  <si>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</si>
  <si>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</si>
  <si>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</si>
  <si>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</si>
  <si>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</si>
  <si>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</si>
  <si>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</si>
  <si>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</si>
  <si>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</si>
  <si>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</si>
  <si>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</si>
  <si>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</si>
  <si>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</si>
  <si>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</si>
  <si>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</si>
  <si>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</si>
  <si>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</si>
  <si>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</si>
  <si>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</si>
  <si>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</si>
  <si>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</si>
  <si>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</si>
  <si>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</si>
  <si>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</si>
  <si>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</si>
  <si>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</si>
  <si>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</si>
  <si>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</si>
  <si>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</si>
  <si>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</si>
  <si>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</si>
  <si>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</si>
  <si>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</si>
  <si>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</si>
  <si>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</si>
  <si>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</si>
  <si>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</si>
  <si>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</si>
  <si>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</si>
  <si>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</si>
  <si>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</si>
  <si>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</si>
  <si>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</si>
  <si>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</si>
  <si>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</si>
  <si>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</si>
  <si>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</si>
  <si>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</si>
  <si>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</si>
  <si>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</si>
  <si>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</si>
  <si>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</si>
  <si>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</si>
  <si>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</si>
  <si>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</si>
  <si>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</si>
  <si>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</si>
  <si>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</si>
  <si>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</si>
  <si>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</si>
  <si>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</si>
  <si>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</si>
  <si>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</si>
  <si>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</si>
  <si>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</si>
  <si>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</si>
  <si>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</si>
  <si>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</si>
  <si>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</si>
  <si>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</si>
  <si>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</si>
  <si>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</si>
  <si>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</si>
  <si>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</si>
  <si>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</si>
  <si>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</si>
  <si>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</si>
  <si>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</si>
  <si>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</si>
  <si>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</si>
  <si>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</si>
  <si>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</si>
  <si>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</si>
  <si>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</si>
  <si>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</si>
  <si>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</si>
  <si>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</si>
  <si>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</si>
  <si>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</si>
  <si>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</si>
  <si>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</si>
  <si>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</si>
  <si>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</si>
  <si>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</si>
  <si>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</si>
  <si>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</si>
  <si>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</si>
  <si>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</si>
  <si>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</si>
  <si>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</si>
  <si>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</si>
  <si>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</si>
  <si>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</si>
  <si>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</si>
  <si>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</si>
  <si>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</si>
  <si>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</si>
  <si>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</si>
  <si>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</si>
  <si>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</si>
  <si>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</si>
  <si>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</si>
  <si>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</si>
  <si>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</si>
  <si>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</si>
  <si>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</si>
  <si>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</si>
  <si>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</si>
  <si>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</si>
  <si>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</si>
  <si>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</si>
  <si>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</si>
  <si>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</si>
  <si>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</si>
  <si>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</si>
  <si>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</si>
  <si>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</si>
  <si>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</si>
  <si>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</si>
  <si>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</si>
  <si>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</si>
  <si>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</si>
  <si>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</si>
  <si>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</si>
  <si>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</si>
  <si>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</si>
  <si>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</si>
  <si>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</si>
  <si>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</si>
  <si>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</si>
  <si>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</si>
  <si>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</si>
  <si>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</si>
  <si>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</si>
  <si>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</si>
  <si>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</si>
  <si>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</si>
  <si>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</si>
  <si>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</si>
  <si>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</si>
  <si>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</si>
  <si>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</si>
  <si>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</si>
  <si>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</si>
  <si>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</si>
  <si>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</si>
  <si>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</si>
  <si>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</si>
  <si>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</si>
  <si>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</si>
  <si>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</si>
  <si>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</si>
  <si>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</si>
  <si>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</si>
  <si>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</si>
  <si>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</si>
  <si>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</si>
  <si>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</si>
  <si>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</si>
  <si>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</si>
  <si>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</si>
  <si>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</si>
  <si>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</si>
  <si>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</si>
  <si>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</si>
  <si>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</si>
  <si>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</si>
  <si>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</si>
  <si>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</si>
  <si>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</si>
  <si>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</si>
  <si>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</si>
  <si>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</si>
  <si>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</si>
  <si>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</si>
  <si>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</si>
  <si>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</si>
  <si>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</si>
  <si>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</si>
  <si>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</si>
  <si>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</si>
  <si>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</si>
  <si>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</si>
  <si>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</si>
  <si>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</si>
  <si>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</si>
  <si>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</si>
  <si>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</si>
  <si>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</si>
  <si>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</si>
  <si>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</si>
  <si>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</si>
  <si>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</si>
  <si>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</si>
  <si>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</si>
  <si>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</si>
  <si>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</si>
  <si>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</si>
  <si>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</si>
  <si>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</si>
  <si>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</si>
  <si>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</si>
  <si>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</si>
  <si>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</si>
  <si>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</si>
  <si>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</si>
  <si>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</si>
  <si>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</si>
  <si>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</si>
  <si>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</si>
  <si>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</si>
  <si>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</si>
  <si>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</si>
  <si>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</si>
  <si>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</si>
  <si>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</si>
  <si>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</si>
  <si>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</si>
  <si>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</si>
  <si>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</si>
  <si>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</si>
  <si>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</si>
  <si>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</si>
  <si>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</si>
  <si>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</si>
  <si>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</si>
  <si>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</si>
  <si>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</si>
  <si>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</si>
  <si>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</si>
  <si>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</si>
  <si>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</si>
  <si>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</si>
  <si>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</si>
  <si>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</si>
  <si>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</si>
  <si>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</si>
  <si>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</si>
  <si>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</si>
  <si>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</si>
  <si>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</si>
  <si>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</si>
  <si>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</si>
  <si>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</si>
  <si>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</si>
  <si>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</si>
  <si>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</si>
  <si>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</si>
  <si>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</si>
  <si>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</si>
  <si>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</si>
  <si>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</si>
  <si>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</si>
  <si>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</si>
  <si>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</si>
  <si>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</si>
  <si>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</si>
  <si>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</si>
  <si>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</si>
  <si>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</si>
  <si>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</si>
  <si>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</si>
  <si>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</si>
  <si>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</si>
  <si>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</si>
  <si>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</si>
  <si>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</si>
  <si>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</si>
  <si>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</si>
  <si>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</si>
  <si>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</si>
  <si>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</si>
  <si>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</si>
  <si>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</si>
  <si>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</si>
  <si>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</si>
  <si>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</si>
  <si>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</si>
  <si>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</si>
  <si>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</si>
  <si>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</si>
  <si>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</si>
  <si>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</si>
  <si>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</si>
  <si>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</si>
  <si>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</si>
  <si>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</si>
  <si>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</si>
  <si>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</si>
  <si>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</si>
  <si>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</si>
  <si>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</si>
  <si>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</si>
  <si>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</si>
  <si>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</si>
  <si>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</si>
  <si>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</si>
  <si>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</si>
  <si>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</si>
  <si>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</si>
  <si>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</si>
  <si>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</si>
  <si>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</si>
  <si>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</si>
  <si>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</si>
  <si>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</si>
  <si>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</si>
  <si>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</si>
  <si>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</si>
  <si>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</si>
  <si>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</si>
  <si>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</si>
  <si>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</si>
  <si>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</si>
  <si>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</si>
  <si>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</si>
  <si>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</si>
  <si>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</si>
  <si>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</si>
  <si>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</si>
  <si>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</si>
  <si>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</si>
  <si>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</si>
  <si>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</si>
  <si>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</si>
  <si>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</si>
  <si>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</si>
  <si>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</si>
  <si>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</si>
  <si>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</si>
  <si>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</si>
  <si>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</si>
  <si>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</si>
  <si>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</si>
  <si>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</si>
  <si>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</si>
  <si>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</si>
  <si>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</si>
  <si>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</si>
  <si>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</si>
  <si>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</si>
  <si>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</si>
  <si>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</si>
  <si>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</si>
  <si>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</si>
  <si>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</si>
  <si>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</si>
  <si>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</si>
  <si>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</si>
  <si>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</si>
  <si>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</si>
  <si>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</si>
  <si>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</si>
  <si>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</si>
  <si>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</si>
  <si>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</si>
  <si>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</si>
  <si>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</si>
  <si>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</si>
  <si>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</si>
  <si>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</si>
  <si>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</si>
  <si>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</si>
  <si>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</si>
  <si>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</si>
  <si>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</si>
  <si>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</si>
  <si>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</si>
  <si>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</si>
  <si>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</si>
  <si>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</si>
  <si>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</si>
  <si>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</si>
  <si>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</si>
  <si>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</si>
  <si>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</si>
  <si>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</si>
  <si>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</si>
  <si>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</si>
  <si>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</si>
  <si>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</si>
  <si>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</si>
  <si>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</si>
  <si>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</si>
  <si>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</si>
  <si>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</si>
  <si>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</si>
  <si>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</si>
  <si>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</si>
  <si>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</si>
  <si>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</si>
  <si>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</si>
  <si>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</si>
  <si>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</si>
  <si>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</si>
  <si>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</si>
  <si>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</si>
  <si>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</si>
  <si>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</si>
  <si>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</si>
  <si>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</si>
  <si>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</si>
  <si>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</si>
  <si>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</si>
  <si>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</si>
  <si>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</si>
  <si>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</si>
  <si>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</si>
  <si>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</si>
  <si>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</si>
  <si>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</si>
  <si>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</si>
  <si>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</si>
  <si>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</si>
  <si>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</si>
  <si>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</si>
  <si>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</si>
  <si>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</si>
  <si>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</si>
  <si>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</si>
  <si>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</si>
  <si>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</si>
  <si>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</si>
  <si>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</si>
  <si>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</si>
  <si>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</si>
  <si>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</si>
  <si>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</si>
  <si>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</si>
  <si>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</si>
  <si>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</si>
  <si>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</si>
  <si>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</si>
  <si>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</si>
  <si>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</si>
  <si>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</si>
  <si>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</si>
  <si>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</si>
  <si>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</si>
  <si>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</si>
  <si>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</si>
  <si>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</si>
  <si>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</si>
  <si>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</si>
  <si>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</si>
  <si>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</si>
  <si>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</si>
  <si>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</si>
  <si>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</si>
  <si>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</si>
  <si>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</si>
  <si>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</si>
  <si>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</si>
  <si>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</si>
  <si>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</si>
  <si>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</si>
  <si>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</si>
  <si>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</si>
  <si>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</si>
  <si>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</si>
  <si>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</si>
  <si>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</si>
  <si>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</si>
  <si>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</si>
  <si>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</si>
  <si>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</si>
  <si>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</si>
  <si>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</si>
  <si>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</si>
  <si>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</si>
  <si>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</si>
  <si>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</si>
  <si>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</si>
  <si>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</si>
  <si>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</si>
  <si>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</si>
  <si>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</si>
  <si>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</si>
  <si>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</si>
  <si>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</si>
  <si>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</si>
  <si>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</si>
  <si>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</si>
  <si>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</si>
  <si>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</si>
  <si>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</si>
  <si>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</si>
  <si>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</si>
  <si>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</si>
  <si>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</si>
  <si>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</si>
  <si>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</si>
  <si>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</si>
  <si>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</si>
  <si>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</si>
  <si>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</si>
  <si>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</si>
  <si>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</si>
  <si>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</si>
  <si>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</si>
  <si>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</si>
  <si>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</si>
  <si>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</si>
  <si>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</si>
  <si>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</si>
  <si>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</si>
  <si>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</si>
  <si>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</si>
  <si>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</si>
  <si>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</si>
  <si>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</si>
  <si>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</si>
  <si>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</si>
  <si>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</si>
  <si>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</si>
  <si>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</si>
  <si>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</si>
  <si>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</si>
  <si>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</si>
  <si>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</si>
  <si>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</si>
  <si>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</si>
  <si>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</si>
  <si>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</si>
  <si>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</si>
  <si>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</si>
  <si>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</si>
  <si>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</si>
  <si>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</si>
  <si>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</si>
  <si>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</si>
  <si>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</si>
  <si>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</si>
  <si>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</si>
  <si>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</si>
  <si>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</si>
  <si>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</si>
  <si>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</si>
  <si>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</si>
  <si>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</si>
  <si>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</si>
  <si>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</si>
  <si>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</si>
  <si>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</si>
  <si>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</si>
  <si>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</si>
  <si>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</si>
  <si>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</si>
  <si>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</si>
  <si>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</si>
  <si>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</si>
  <si>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</si>
  <si>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</si>
  <si>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</si>
  <si>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</si>
  <si>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</si>
  <si>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</si>
  <si>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</si>
  <si>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</si>
  <si>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</si>
  <si>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</si>
  <si>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</si>
  <si>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</si>
  <si>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</si>
  <si>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</si>
  <si>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</si>
  <si>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</si>
  <si>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</si>
  <si>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</si>
  <si>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</si>
  <si>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</si>
  <si>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</si>
  <si>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</si>
  <si>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</si>
  <si>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</si>
  <si>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</si>
  <si>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</si>
  <si>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</si>
  <si>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</si>
  <si>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</si>
  <si>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</si>
  <si>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</si>
  <si>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</si>
  <si>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</si>
  <si>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</si>
  <si>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</si>
  <si>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</si>
  <si>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</si>
  <si>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</si>
  <si>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</si>
  <si>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</si>
  <si>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</si>
  <si>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</si>
  <si>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</si>
  <si>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</si>
  <si>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</si>
  <si>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</si>
  <si>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</si>
  <si>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</si>
  <si>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</si>
  <si>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</si>
  <si>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</si>
  <si>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</si>
  <si>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</si>
  <si>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</si>
  <si>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</si>
  <si>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</si>
  <si>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</si>
  <si>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</si>
  <si>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</si>
  <si>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</si>
  <si>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</si>
  <si>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</si>
  <si>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</si>
  <si>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</si>
  <si>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</si>
  <si>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</si>
  <si>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</si>
  <si>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</si>
  <si>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</si>
  <si>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</si>
  <si>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</si>
  <si>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</si>
  <si>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</si>
  <si>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</si>
  <si>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</si>
  <si>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</si>
  <si>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</si>
  <si>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</si>
  <si>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</si>
  <si>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</si>
  <si>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</si>
  <si>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</si>
  <si>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</si>
  <si>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</si>
  <si>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</si>
  <si>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</si>
  <si>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</si>
  <si>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</si>
  <si>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</si>
  <si>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</si>
  <si>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</si>
  <si>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</si>
  <si>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</si>
  <si>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</si>
  <si>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</si>
  <si>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</si>
  <si>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</si>
  <si>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</si>
  <si>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</si>
  <si>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</si>
  <si>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</si>
  <si>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</si>
  <si>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</si>
  <si>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</si>
  <si>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</si>
  <si>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</si>
  <si>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</si>
  <si>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</si>
  <si>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</si>
  <si>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</si>
  <si>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</si>
  <si>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</si>
  <si>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</si>
  <si>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</si>
  <si>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</si>
  <si>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</si>
  <si>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</si>
  <si>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</si>
  <si>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</si>
  <si>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</si>
  <si>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</si>
  <si>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</si>
  <si>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</si>
  <si>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</si>
  <si>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</si>
  <si>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</si>
  <si>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</si>
  <si>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</si>
  <si>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</si>
  <si>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</si>
  <si>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</si>
  <si>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</si>
  <si>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</si>
  <si>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</si>
  <si>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</si>
  <si>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</si>
  <si>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</si>
  <si>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</si>
  <si>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</si>
  <si>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</si>
  <si>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</si>
  <si>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</si>
  <si>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</si>
  <si>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</si>
  <si>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</si>
  <si>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</si>
  <si>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</si>
  <si>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</si>
  <si>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</si>
  <si>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</si>
  <si>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</si>
  <si>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</si>
  <si>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</si>
  <si>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</si>
  <si>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</si>
  <si>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</si>
  <si>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</si>
  <si>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</si>
  <si>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</si>
  <si>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</si>
  <si>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</si>
  <si>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</si>
  <si>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</si>
  <si>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</si>
  <si>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</si>
  <si>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</si>
  <si>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</si>
  <si>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</si>
  <si>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</si>
  <si>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</si>
  <si>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</si>
  <si>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</si>
  <si>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</si>
  <si>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</si>
  <si>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</si>
  <si>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</si>
  <si>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</si>
  <si>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</si>
  <si>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</si>
  <si>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</si>
  <si>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</si>
  <si>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</si>
  <si>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</si>
  <si>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</si>
  <si>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</si>
  <si>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</si>
  <si>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</si>
  <si>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</si>
  <si>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</si>
  <si>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</si>
  <si>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</si>
  <si>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</si>
  <si>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</si>
  <si>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</si>
  <si>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</si>
  <si>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</si>
  <si>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</si>
  <si>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</si>
  <si>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</si>
  <si>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</si>
  <si>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</si>
  <si>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</si>
  <si>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</si>
  <si>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</si>
  <si>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</si>
  <si>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</si>
  <si>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</si>
  <si>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</si>
  <si>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</si>
  <si>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</si>
  <si>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</si>
  <si>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</si>
  <si>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</si>
  <si>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</si>
  <si>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</si>
  <si>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</si>
  <si>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</si>
  <si>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</si>
  <si>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</si>
  <si>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</si>
  <si>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</si>
  <si>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</si>
  <si>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</si>
  <si>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</si>
  <si>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</si>
  <si>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</si>
  <si>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</si>
  <si>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</si>
  <si>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</si>
  <si>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</si>
  <si>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</si>
  <si>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</si>
  <si>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</si>
  <si>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</si>
  <si>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</si>
  <si>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</si>
  <si>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</si>
  <si>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</si>
  <si>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</si>
  <si>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</si>
  <si>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</si>
  <si>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</si>
  <si>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</si>
  <si>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</si>
  <si>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</si>
  <si>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</si>
  <si>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</si>
  <si>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</si>
  <si>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</si>
  <si>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</si>
  <si>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</si>
  <si>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</si>
  <si>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</si>
  <si>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</si>
  <si>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</si>
  <si>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</si>
  <si>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</si>
  <si>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</si>
  <si>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</si>
  <si>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</si>
  <si>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</si>
  <si>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</si>
  <si>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</si>
  <si>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</si>
  <si>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</si>
  <si>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</si>
  <si>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</si>
  <si>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</si>
  <si>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</si>
  <si>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</si>
  <si>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</si>
  <si>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</si>
  <si>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</si>
  <si>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</si>
  <si>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</si>
  <si>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</si>
  <si>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</si>
  <si>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</si>
  <si>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</si>
  <si>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</si>
  <si>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</si>
  <si>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</si>
  <si>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</si>
  <si>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</si>
  <si>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</si>
  <si>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</si>
  <si>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</si>
  <si>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</si>
  <si>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</si>
  <si>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</si>
  <si>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</si>
  <si>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</si>
  <si>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</si>
  <si>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</si>
  <si>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</si>
  <si>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</si>
  <si>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</si>
  <si>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</si>
  <si>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</si>
  <si>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</si>
  <si>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</si>
  <si>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</si>
  <si>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</si>
  <si>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</si>
  <si>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</si>
  <si>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</si>
  <si>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</si>
  <si>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</si>
  <si>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</si>
  <si>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</si>
  <si>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</si>
  <si>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</si>
  <si>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</si>
  <si>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</si>
  <si>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</si>
  <si>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</si>
  <si>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</si>
  <si>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</si>
  <si>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</si>
  <si>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</si>
  <si>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</si>
  <si>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</si>
  <si>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</si>
  <si>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</si>
  <si>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</si>
  <si>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</si>
  <si>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</si>
  <si>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</si>
  <si>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</si>
  <si>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</si>
  <si>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</si>
  <si>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</si>
  <si>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</si>
  <si>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</si>
  <si>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</si>
  <si>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</si>
  <si>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</si>
  <si>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</si>
  <si>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</si>
  <si>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</si>
  <si>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</si>
  <si>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</si>
  <si>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</si>
  <si>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</si>
  <si>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</si>
  <si>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</si>
  <si>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</si>
  <si>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</si>
  <si>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</si>
  <si>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</si>
  <si>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</si>
  <si>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</si>
  <si>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</si>
  <si>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</si>
  <si>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</si>
  <si>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</si>
  <si>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</si>
  <si>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</si>
  <si>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</si>
  <si>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</si>
  <si>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</si>
  <si>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</si>
  <si>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</si>
  <si>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</si>
  <si>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</si>
  <si>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</si>
  <si>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</si>
  <si>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</si>
  <si>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</si>
  <si>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</si>
  <si>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</si>
  <si>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</si>
  <si>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</si>
  <si>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</si>
  <si>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</si>
  <si>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</si>
  <si>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</si>
  <si>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</si>
  <si>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</si>
  <si>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</si>
  <si>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</si>
  <si>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</si>
  <si>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</si>
  <si>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</si>
  <si>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</si>
  <si>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</si>
  <si>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</si>
  <si>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</si>
  <si>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</si>
  <si>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</si>
  <si>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</si>
  <si>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</si>
  <si>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</si>
  <si>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</si>
  <si>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</si>
  <si>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</si>
  <si>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</si>
  <si>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</si>
  <si>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</si>
  <si>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</si>
  <si>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</si>
  <si>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</si>
  <si>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</si>
  <si>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</si>
  <si>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</si>
  <si>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</si>
  <si>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</si>
  <si>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</si>
  <si>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</si>
  <si>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</si>
  <si>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</si>
  <si>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</si>
  <si>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</si>
  <si>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</si>
  <si>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</si>
  <si>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</si>
  <si>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</si>
  <si>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</si>
  <si>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</si>
  <si>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</si>
  <si>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</si>
  <si>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</si>
  <si>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</si>
  <si>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</si>
  <si>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</si>
  <si>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</si>
  <si>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</si>
  <si>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</si>
  <si>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</si>
  <si>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</si>
  <si>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</si>
  <si>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</si>
  <si>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</si>
  <si>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</si>
  <si>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</si>
  <si>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</si>
  <si>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</si>
  <si>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</si>
  <si>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</si>
  <si>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</si>
  <si>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</si>
  <si>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</si>
  <si>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</si>
  <si>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</si>
  <si>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</si>
  <si>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</si>
  <si>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</si>
  <si>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</si>
  <si>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</si>
  <si>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</si>
  <si>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</si>
  <si>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</si>
  <si>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</si>
  <si>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</si>
  <si>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</si>
  <si>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</si>
  <si>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</si>
  <si>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</si>
  <si>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</si>
  <si>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</si>
  <si>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</si>
  <si>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</si>
  <si>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</si>
  <si>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</si>
  <si>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</si>
  <si>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</si>
  <si>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</si>
  <si>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</si>
  <si>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</si>
  <si>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</si>
  <si>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</si>
  <si>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</si>
  <si>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</si>
  <si>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</si>
  <si>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</si>
  <si>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</si>
  <si>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</si>
  <si>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</si>
  <si>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</si>
  <si>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</si>
  <si>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</si>
  <si>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</si>
  <si>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</si>
  <si>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</si>
  <si>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</si>
  <si>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</si>
  <si>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</si>
  <si>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</si>
  <si>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</si>
  <si>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</si>
  <si>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</si>
  <si>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</si>
  <si>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</si>
  <si>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</si>
  <si>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</si>
  <si>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</si>
  <si>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</si>
  <si>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</si>
  <si>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</si>
  <si>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</si>
  <si>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</si>
  <si>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</si>
  <si>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</si>
  <si>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</si>
  <si>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</si>
  <si>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</si>
  <si>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</si>
  <si>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</si>
  <si>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</si>
  <si>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</si>
  <si>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</si>
  <si>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</si>
  <si>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</si>
  <si>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</si>
  <si>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</si>
  <si>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</si>
  <si>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</si>
  <si>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</si>
  <si>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</si>
  <si>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</si>
  <si>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</si>
  <si>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</si>
  <si>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</si>
  <si>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</si>
  <si>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</si>
  <si>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</si>
  <si>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</si>
  <si>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</si>
  <si>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</si>
  <si>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</si>
  <si>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</si>
  <si>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</si>
  <si>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</si>
  <si>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</si>
  <si>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</si>
  <si>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</si>
  <si>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</si>
  <si>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</si>
  <si>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</si>
  <si>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</si>
  <si>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</si>
  <si>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</si>
  <si>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</si>
  <si>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</si>
  <si>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</si>
  <si>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</si>
  <si>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</si>
  <si>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</si>
  <si>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</si>
  <si>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</si>
  <si>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</si>
  <si>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</si>
  <si>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</si>
  <si>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</si>
  <si>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</si>
  <si>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</si>
  <si>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</si>
  <si>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</si>
  <si>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</si>
  <si>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</si>
  <si>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</si>
  <si>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</si>
  <si>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</si>
  <si>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</si>
  <si>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</si>
  <si>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</si>
  <si>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</si>
  <si>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</si>
  <si>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</si>
  <si>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</si>
  <si>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</si>
  <si>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</si>
  <si>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</si>
  <si>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</si>
  <si>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</si>
  <si>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</si>
  <si>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</si>
  <si>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</si>
  <si>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</si>
  <si>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</si>
  <si>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</si>
  <si>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</si>
  <si>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</si>
  <si>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</si>
  <si>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</si>
  <si>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</si>
  <si>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</si>
  <si>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</si>
  <si>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</si>
  <si>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</si>
  <si>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</si>
  <si>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</si>
  <si>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</si>
  <si>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</si>
  <si>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</si>
  <si>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</si>
  <si>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</si>
  <si>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</si>
  <si>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</si>
  <si>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</si>
  <si>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</si>
  <si>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</si>
  <si>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</si>
  <si>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</si>
  <si>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</si>
  <si>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</si>
  <si>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</si>
  <si>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</si>
  <si>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</si>
  <si>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</si>
  <si>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</si>
  <si>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</si>
  <si>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</si>
  <si>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</si>
  <si>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</si>
  <si>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</si>
  <si>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</si>
  <si>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</si>
  <si>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</si>
  <si>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</si>
  <si>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</si>
  <si>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</si>
  <si>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</si>
  <si>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</si>
  <si>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</si>
  <si>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</si>
  <si>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</si>
  <si>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</si>
  <si>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</si>
  <si>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</si>
  <si>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</si>
  <si>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</si>
  <si>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</si>
  <si>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</si>
  <si>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</si>
  <si>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</si>
  <si>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</si>
  <si>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</si>
  <si>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</si>
  <si>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</si>
  <si>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</si>
  <si>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</si>
  <si>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</si>
  <si>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</si>
  <si>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</si>
  <si>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</si>
  <si>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</si>
  <si>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</si>
  <si>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</si>
  <si>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</si>
  <si>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</si>
  <si>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</si>
  <si>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</si>
  <si>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</si>
  <si>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</si>
  <si>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</si>
  <si>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</si>
  <si>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</si>
  <si>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</si>
  <si>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</si>
  <si>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</si>
  <si>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</si>
  <si>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</si>
  <si>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</si>
  <si>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</si>
  <si>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</si>
  <si>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</si>
  <si>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</si>
  <si>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</si>
  <si>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</si>
  <si>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</si>
  <si>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</si>
  <si>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</si>
  <si>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</si>
  <si>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</si>
  <si>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</si>
  <si>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</si>
  <si>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</si>
  <si>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</si>
  <si>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</si>
  <si>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</si>
  <si>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</si>
  <si>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</si>
  <si>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</si>
  <si>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</si>
  <si>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</si>
  <si>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</si>
  <si>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</si>
  <si>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</si>
  <si>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</si>
  <si>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</si>
  <si>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</si>
  <si>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</si>
  <si>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</si>
  <si>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</si>
  <si>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</si>
  <si>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</si>
  <si>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</si>
  <si>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</si>
  <si>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</si>
  <si>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</si>
  <si>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</si>
  <si>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</si>
  <si>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</si>
  <si>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</si>
  <si>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</si>
  <si>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</si>
  <si>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</si>
  <si>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</si>
  <si>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</si>
  <si>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</si>
  <si>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</si>
  <si>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</si>
  <si>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</si>
  <si>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</si>
  <si>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</si>
  <si>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</si>
  <si>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</si>
  <si>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</si>
  <si>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</si>
  <si>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</si>
  <si>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</si>
  <si>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</si>
  <si>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</si>
  <si>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</si>
  <si>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</si>
  <si>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</si>
  <si>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</si>
  <si>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</si>
  <si>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</si>
  <si>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</si>
  <si>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</si>
  <si>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</si>
  <si>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</si>
  <si>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</si>
  <si>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</si>
  <si>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</si>
  <si>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</si>
  <si>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</si>
  <si>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</si>
  <si>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</si>
  <si>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</si>
  <si>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</si>
  <si>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</si>
  <si>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</si>
  <si>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</si>
  <si>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</si>
  <si>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</si>
  <si>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</si>
  <si>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</si>
  <si>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</si>
  <si>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</si>
  <si>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</si>
  <si>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</si>
  <si>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</si>
  <si>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</si>
  <si>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</si>
  <si>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</si>
  <si>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</si>
  <si>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</si>
  <si>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</si>
  <si>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</si>
  <si>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</si>
  <si>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</si>
  <si>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</si>
  <si>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</si>
  <si>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</si>
  <si>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</si>
  <si>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</si>
  <si>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</si>
  <si>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</si>
  <si>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</si>
  <si>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</si>
  <si>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</si>
  <si>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</si>
  <si>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</si>
  <si>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</si>
  <si>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</si>
  <si>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</si>
  <si>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</si>
  <si>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</si>
  <si>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</si>
  <si>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</si>
  <si>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</si>
  <si>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</si>
  <si>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</si>
  <si>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</si>
  <si>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</si>
  <si>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</si>
  <si>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</si>
  <si>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</si>
  <si>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</si>
  <si>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</si>
  <si>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</si>
  <si>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</si>
  <si>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</si>
  <si>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</si>
  <si>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</si>
  <si>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</si>
  <si>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</si>
  <si>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</si>
  <si>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</si>
  <si>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</si>
  <si>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</si>
  <si>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</si>
  <si>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</si>
  <si>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</si>
  <si>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</si>
  <si>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</si>
  <si>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</si>
  <si>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</si>
  <si>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</si>
  <si>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</si>
  <si>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</si>
  <si>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</si>
  <si>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</si>
  <si>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</si>
  <si>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</si>
  <si>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</si>
  <si>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</si>
  <si>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</si>
  <si>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</si>
  <si>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</si>
  <si>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</si>
  <si>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</si>
  <si>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</si>
  <si>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</si>
  <si>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</si>
  <si>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</si>
  <si>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</si>
  <si>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</si>
  <si>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</si>
  <si>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</si>
  <si>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</si>
  <si>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</si>
  <si>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</si>
  <si>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</si>
  <si>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</si>
  <si>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</si>
  <si>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</si>
  <si>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</si>
  <si>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</si>
  <si>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</si>
  <si>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</si>
  <si>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</si>
  <si>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</si>
  <si>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</si>
  <si>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</si>
  <si>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</si>
  <si>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</si>
  <si>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</si>
  <si>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</si>
  <si>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</si>
  <si>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</si>
  <si>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</si>
  <si>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</si>
  <si>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</si>
  <si>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</si>
  <si>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</si>
  <si>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</si>
  <si>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</si>
  <si>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</si>
  <si>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</si>
  <si>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</si>
  <si>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</si>
  <si>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</si>
  <si>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</si>
  <si>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</si>
  <si>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</si>
  <si>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</si>
  <si>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</si>
  <si>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</si>
  <si>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</si>
  <si>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</si>
  <si>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</si>
  <si>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</si>
  <si>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</si>
  <si>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</si>
  <si>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</si>
  <si>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</si>
  <si>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</si>
  <si>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</si>
  <si>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</si>
  <si>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</si>
  <si>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</si>
  <si>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</si>
  <si>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</si>
  <si>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</si>
  <si>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</si>
  <si>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</si>
  <si>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</si>
  <si>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</si>
  <si>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</si>
  <si>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</si>
  <si>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</si>
  <si>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</si>
  <si>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</si>
  <si>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</si>
  <si>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</si>
  <si>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</si>
  <si>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</si>
  <si>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</si>
  <si>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</si>
  <si>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</si>
  <si>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</si>
  <si>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</si>
  <si>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</si>
  <si>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</si>
  <si>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</si>
  <si>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</si>
  <si>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</si>
  <si>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</si>
  <si>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</si>
  <si>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</si>
  <si>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</si>
  <si>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</si>
  <si>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</si>
  <si>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</si>
  <si>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</si>
  <si>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</si>
  <si>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</si>
  <si>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</si>
  <si>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</si>
  <si>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</si>
  <si>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</si>
  <si>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</si>
  <si>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</si>
  <si>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</si>
  <si>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</si>
  <si>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</si>
  <si>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</si>
  <si>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</si>
  <si>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</si>
  <si>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</si>
  <si>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</si>
  <si>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</si>
  <si>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</si>
  <si>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</si>
  <si>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</si>
  <si>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</si>
  <si>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</si>
  <si>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</si>
  <si>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</si>
  <si>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</si>
  <si>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</si>
  <si>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</si>
  <si>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</si>
  <si>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</si>
  <si>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</si>
  <si>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</si>
  <si>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</si>
  <si>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</si>
  <si>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</si>
  <si>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</si>
  <si>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</si>
  <si>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</si>
  <si>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</si>
  <si>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</si>
  <si>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</si>
  <si>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</si>
  <si>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</si>
  <si>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</si>
  <si>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</si>
  <si>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</si>
  <si>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</si>
  <si>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</si>
  <si>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</si>
  <si>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</si>
  <si>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</si>
  <si>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</si>
  <si>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</si>
  <si>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</si>
  <si>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</si>
  <si>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</si>
  <si>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</si>
  <si>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</si>
  <si>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</si>
  <si>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</si>
  <si>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</si>
  <si>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</si>
  <si>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</si>
  <si>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</si>
  <si>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</si>
  <si>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</si>
  <si>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</si>
  <si>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</si>
  <si>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</si>
  <si>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</si>
  <si>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</si>
  <si>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</si>
  <si>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</si>
  <si>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</si>
  <si>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</si>
  <si>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</si>
  <si>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</si>
  <si>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</si>
  <si>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</si>
  <si>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</si>
  <si>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</si>
  <si>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</si>
  <si>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</si>
  <si>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</si>
  <si>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</si>
  <si>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</si>
  <si>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</si>
  <si>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</si>
  <si>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</si>
  <si>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</si>
  <si>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</si>
  <si>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</si>
  <si>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</si>
  <si>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</si>
  <si>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</si>
  <si>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</si>
  <si>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</si>
  <si>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</si>
  <si>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</si>
  <si>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</si>
  <si>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</si>
  <si>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</si>
  <si>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</si>
  <si>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</si>
  <si>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</si>
  <si>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</si>
  <si>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</si>
  <si>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</si>
  <si>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</si>
  <si>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</si>
  <si>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</si>
  <si>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</si>
  <si>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</si>
  <si>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</si>
  <si>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</si>
  <si>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</si>
  <si>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</si>
  <si>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</si>
  <si>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</si>
  <si>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</si>
  <si>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</si>
  <si>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</si>
  <si>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</si>
  <si>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</si>
  <si>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</si>
  <si>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</si>
  <si>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</si>
  <si>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</si>
  <si>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</si>
  <si>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</si>
  <si>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</si>
  <si>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</si>
  <si>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</si>
  <si>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</si>
  <si>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</si>
  <si>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</si>
  <si>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</si>
  <si>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</si>
  <si>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</si>
  <si>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C49SZX20240165MZ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</si>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</sst>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0"/>
  </numFmts>
  <fonts count="60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新細明體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新細明體"/>
      <family val="2"/>
      <charset val="136"/>
      <scheme val="minor"/>
    </font>
    <font>
      <sz val="12"/>
      <name val="Arial"/>
      <family val="2"/>
    </font>
    <font>
      <sz val="12"/>
      <color rgb="FFFF0000"/>
      <name val="新細明體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新細明體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0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77" fontId="8" fillId="3" borderId="4" xfId="1" applyNumberFormat="1" applyFont="1" applyFill="1" applyBorder="1" applyAlignment="1" applyProtection="1">
      <alignment vertical="center" wrapText="1"/>
      <protection locked="0"/>
    </xf>
    <xf numFmtId="17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9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7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43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7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7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7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/>
      <protection locked="0"/>
    </xf>
    <xf numFmtId="17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42" fontId="33" fillId="0" borderId="1" xfId="0" applyNumberFormat="1" applyFont="1" applyBorder="1" applyAlignment="1">
      <alignment horizontal="center" vertical="center"/>
    </xf>
    <xf numFmtId="42" fontId="27" fillId="0" borderId="17" xfId="0" applyNumberFormat="1" applyFont="1" applyBorder="1" applyAlignment="1">
      <alignment horizontal="center" vertical="center"/>
    </xf>
    <xf numFmtId="42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7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81" fontId="0" fillId="0" borderId="0" xfId="0" applyNumberFormat="1" applyAlignment="1" applyProtection="1">
      <alignment horizontal="center" vertical="center"/>
      <protection locked="0"/>
    </xf>
    <xf numFmtId="17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7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7" fillId="0" borderId="26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7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8" fillId="0" borderId="0" xfId="1" applyNumberFormat="1" applyFont="1" applyFill="1" applyBorder="1" applyAlignment="1" applyProtection="1">
      <alignment horizontal="center" vertical="center"/>
      <protection locked="0"/>
    </xf>
    <xf numFmtId="17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7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7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78" fontId="27" fillId="8" borderId="11" xfId="0" applyNumberFormat="1" applyFont="1" applyFill="1" applyBorder="1" applyAlignment="1" applyProtection="1">
      <alignment horizontal="center" vertical="center"/>
      <protection locked="0"/>
    </xf>
    <xf numFmtId="178" fontId="2" fillId="0" borderId="9" xfId="0" applyNumberFormat="1" applyFont="1" applyBorder="1" applyAlignment="1" applyProtection="1">
      <alignment horizontal="center"/>
      <protection locked="0"/>
    </xf>
    <xf numFmtId="178" fontId="2" fillId="0" borderId="21" xfId="0" applyNumberFormat="1" applyFont="1" applyBorder="1" applyAlignment="1" applyProtection="1">
      <alignment horizontal="center"/>
      <protection locked="0"/>
    </xf>
    <xf numFmtId="17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7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77" fontId="58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43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7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7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7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7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7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0" fontId="0" fillId="5" borderId="1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7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105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2" activePane="bottomLeft" state="frozen"/>
      <selection activeCell="L1" sqref="L1"/>
      <selection pane="bottomLeft" activeCell="F22" sqref="F22"/>
    </sheetView>
  </sheetViews>
  <sheetFormatPr baseColWidth="10" defaultColWidth="11.1640625" defaultRowHeight="16"/>
  <cols>
    <col min="1" max="1" width="11.1640625" bestFit="1" customWidth="1"/>
    <col min="2" max="2" width="14.6640625" bestFit="1" customWidth="1"/>
    <col min="3" max="3" width="14" bestFit="1" customWidth="1"/>
    <col min="4" max="4" width="11.1640625" bestFit="1" customWidth="1"/>
    <col min="6" max="7" width="11.1640625" bestFit="1" customWidth="1"/>
    <col min="8" max="8" width="5.6640625" customWidth="1"/>
    <col min="10" max="10" width="26.6640625" style="189" customWidth="1"/>
    <col min="11" max="11" width="20" customWidth="1"/>
    <col min="12" max="12" width="24.1640625" customWidth="1"/>
    <col min="13" max="13" width="15.16406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0" width="11.1640625" customWidth="1"/>
    <col min="21" max="21" width="12.33203125" bestFit="1" customWidth="1"/>
    <col min="22" max="22" width="12" bestFit="1" customWidth="1"/>
    <col min="23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163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4.1640625" style="206" customWidth="1"/>
    <col min="45" max="45" width="11.1640625" style="15"/>
  </cols>
  <sheetData>
    <row r="1" spans="1:46" s="12" customFormat="1" ht="53.75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477651199.57437885</v>
      </c>
      <c r="AJ14" s="19">
        <f t="shared" si="8"/>
        <v>56918800.518691957</v>
      </c>
      <c r="AK14" s="20">
        <f t="shared" si="9"/>
        <v>0.11916394341605475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477651199.57437885</v>
      </c>
      <c r="AJ15" s="19">
        <f t="shared" si="8"/>
        <v>56918800.518691957</v>
      </c>
      <c r="AK15" s="20">
        <f t="shared" si="9"/>
        <v>0.11916394341605475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477651199.57437885</v>
      </c>
      <c r="AJ29" s="19">
        <f t="shared" si="8"/>
        <v>56918800.518691957</v>
      </c>
      <c r="AK29" s="20">
        <f t="shared" si="9"/>
        <v>0.11916394341605475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477651199.57437885</v>
      </c>
      <c r="AJ52" s="19">
        <f t="shared" si="8"/>
        <v>56918800.518691957</v>
      </c>
      <c r="AK52" s="20">
        <f t="shared" si="9"/>
        <v>0.11916394341605475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477651199.57437885</v>
      </c>
      <c r="AJ53" s="19">
        <f t="shared" si="8"/>
        <v>56918800.518691957</v>
      </c>
      <c r="AK53" s="20">
        <f t="shared" si="9"/>
        <v>0.11916394341605475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477651199.57437885</v>
      </c>
      <c r="AJ54" s="19">
        <f t="shared" si="8"/>
        <v>56918800.518691957</v>
      </c>
      <c r="AK54" s="20">
        <f t="shared" si="9"/>
        <v>0.11916394341605475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477651199.57437885</v>
      </c>
      <c r="AJ55" s="19">
        <f t="shared" si="8"/>
        <v>56918800.518691957</v>
      </c>
      <c r="AK55" s="20">
        <f t="shared" si="9"/>
        <v>0.11916394341605475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477651199.57437885</v>
      </c>
      <c r="AJ61" s="19">
        <f t="shared" si="8"/>
        <v>56918800.518691957</v>
      </c>
      <c r="AK61" s="20">
        <f t="shared" si="9"/>
        <v>0.11916394341605475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477651199.57437885</v>
      </c>
      <c r="AJ62" s="19">
        <f t="shared" si="8"/>
        <v>56918800.518691957</v>
      </c>
      <c r="AK62" s="20">
        <f t="shared" si="9"/>
        <v>0.11916394341605475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477651199.57437885</v>
      </c>
      <c r="AJ63" s="19">
        <f t="shared" si="8"/>
        <v>56918800.518691957</v>
      </c>
      <c r="AK63" s="20">
        <f t="shared" si="9"/>
        <v>0.11916394341605475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477651199.57437885</v>
      </c>
      <c r="AJ64" s="19">
        <f t="shared" si="8"/>
        <v>56918800.518691957</v>
      </c>
      <c r="AK64" s="20">
        <f t="shared" si="9"/>
        <v>0.11916394341605475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477651199.57437885</v>
      </c>
      <c r="AJ65" s="19">
        <f t="shared" si="8"/>
        <v>56918800.518691957</v>
      </c>
      <c r="AK65" s="20">
        <f t="shared" si="9"/>
        <v>0.11916394341605475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477651199.57437885</v>
      </c>
      <c r="AJ71" s="19">
        <f t="shared" si="24"/>
        <v>56918800.518691957</v>
      </c>
      <c r="AK71" s="20">
        <f t="shared" si="25"/>
        <v>0.11916394341605475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477651199.57437885</v>
      </c>
      <c r="AJ72" s="19">
        <f t="shared" si="24"/>
        <v>56918800.518691957</v>
      </c>
      <c r="AK72" s="20">
        <f t="shared" si="25"/>
        <v>0.11916394341605475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477651199.57437885</v>
      </c>
      <c r="AJ75" s="19">
        <f t="shared" si="24"/>
        <v>56918800.518691957</v>
      </c>
      <c r="AK75" s="20">
        <f t="shared" si="25"/>
        <v>0.11916394341605475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16602721.68141593</v>
      </c>
      <c r="AJ80" s="19">
        <f t="shared" si="24"/>
        <v>1923201.4867699118</v>
      </c>
      <c r="AK80" s="20">
        <f t="shared" si="25"/>
        <v>0.11583651907642503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477651199.57437885</v>
      </c>
      <c r="AJ93" s="19">
        <f t="shared" si="24"/>
        <v>56918800.518691957</v>
      </c>
      <c r="AK93" s="20">
        <f t="shared" si="25"/>
        <v>0.11916394341605475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477651199.57437885</v>
      </c>
      <c r="AJ94" s="19">
        <f t="shared" si="24"/>
        <v>56918800.518691957</v>
      </c>
      <c r="AK94" s="20">
        <f t="shared" si="25"/>
        <v>0.11916394341605475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477651199.57437885</v>
      </c>
      <c r="AJ106" s="19">
        <f t="shared" si="24"/>
        <v>56918800.518691957</v>
      </c>
      <c r="AK106" s="20">
        <f t="shared" si="25"/>
        <v>0.11916394341605475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9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8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477651199.57437885</v>
      </c>
      <c r="AJ132" s="19">
        <f t="shared" si="41"/>
        <v>56918800.518691957</v>
      </c>
      <c r="AK132" s="20">
        <f t="shared" si="42"/>
        <v>0.11916394341605475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24/25</v>
      </c>
      <c r="B134" s="23">
        <v>2024</v>
      </c>
      <c r="C134" s="152">
        <v>4</v>
      </c>
      <c r="D134" s="202" t="str">
        <f t="shared" ref="D134:D197" si="50">IF(B134="","",IF(AND(C134&gt;=10,C134&lt;=12),"Q3",IF(AND(C134&gt;=1,C134&lt;=3),"Q4",IF(AND(C134&gt;=7,C134&lt;=9),"Q2",IF(AND(C134&gt;=4,C134&lt;=6),"Q1")))))</f>
        <v>Q1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5</v>
      </c>
      <c r="H134" s="29"/>
      <c r="I134" s="202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3439</v>
      </c>
      <c r="K134" s="29" t="s">
        <v>2344</v>
      </c>
      <c r="L134" s="17" t="s">
        <v>3069</v>
      </c>
      <c r="M134" s="22" t="s">
        <v>2055</v>
      </c>
      <c r="N134" s="22">
        <v>1</v>
      </c>
      <c r="O134" s="22"/>
      <c r="P134" s="33" t="str">
        <f t="shared" si="35"/>
        <v>MAIN UNIT</v>
      </c>
      <c r="Q134" s="22" t="s">
        <v>69</v>
      </c>
      <c r="R134" s="22" t="s">
        <v>2056</v>
      </c>
      <c r="S134" s="22" t="s">
        <v>51</v>
      </c>
      <c r="T134" s="22" t="s">
        <v>102</v>
      </c>
      <c r="U134" s="22" t="s">
        <v>71</v>
      </c>
      <c r="V134" s="22" t="s">
        <v>103</v>
      </c>
      <c r="W134" s="22" t="s">
        <v>65</v>
      </c>
      <c r="X134" s="104">
        <v>66000</v>
      </c>
      <c r="Y134" s="195" t="str">
        <f>IF(W134="","",IF(W134="RMB","1.13", "1"))</f>
        <v>1.13</v>
      </c>
      <c r="Z134" s="196">
        <f t="shared" ref="Z134:Z197" si="52">IF(X134="","",X134*MAX(O134,N134))</f>
        <v>66000</v>
      </c>
      <c r="AA134" s="22">
        <v>1.083</v>
      </c>
      <c r="AB134" s="197">
        <f t="shared" ref="AB134:AB197" si="53">IF(AND(R134&lt;&gt;"C66",R134&lt;&gt;""),Z134/Y134*AA134,"")</f>
        <v>63254.867256637175</v>
      </c>
      <c r="AC134" s="198">
        <f t="shared" ref="AC134:AC197" si="54">IF(R134&lt;&gt;"",AB134*AD134,"")</f>
        <v>7590.5840707964608</v>
      </c>
      <c r="AD134" s="169">
        <v>0.12</v>
      </c>
      <c r="AE134" s="199">
        <f t="shared" ref="AE134:AE197" si="55">IF(Q134="","",IF(Q134="Yes",1,0))</f>
        <v>1</v>
      </c>
      <c r="AF134" s="199">
        <f>IF(AND(COUNTIFS($J$18:J134,J134)=1,AE134=1),1,"")</f>
        <v>1</v>
      </c>
      <c r="AG134" s="199">
        <f>IF(C134="","",IF(AND(COUNTIFS($J$18:J134,J134)=1,C134&lt;&gt;""),1,""))</f>
        <v>1</v>
      </c>
      <c r="AH134" s="199">
        <f>IF(G134="","",IF(AND(COUNTIFS($J$18:J134,J134)=1,G134&lt;&gt;""),1,""))</f>
        <v>1</v>
      </c>
      <c r="AI134" s="200">
        <f t="shared" si="40"/>
        <v>11472879.764601771</v>
      </c>
      <c r="AJ134" s="200">
        <f t="shared" si="41"/>
        <v>2038344.1716106194</v>
      </c>
      <c r="AK134" s="201">
        <f t="shared" ref="AK134:AK197" si="56">IF(AJ134&gt;0,AJ134/AI134,"")</f>
        <v>0.17766630640544948</v>
      </c>
      <c r="AL134" s="24"/>
      <c r="AM134" s="24"/>
      <c r="AN134" s="24"/>
      <c r="AO134" s="24"/>
      <c r="AP134" s="105" t="str">
        <f t="shared" ref="AP134:AP197" si="57">IF(F134="","",F134&amp;G134)</f>
        <v>20245</v>
      </c>
      <c r="AQ134" s="28" t="str">
        <f t="shared" ref="AQ134:AQ197" si="58">IF(W134="","",F134&amp;G134&amp;W134)</f>
        <v>20245RMB</v>
      </c>
      <c r="AR134" s="206" t="str">
        <f t="shared" ref="AR134:AR197" si="59">IFERROR(IF(AND(M134="YAMAHA", R134="C28"), "YAMAHA_Non_Mounter", IF(AND(M134="YAMAHA", R134="C49"), "YAMAHA_Mounter", M134)),"")</f>
        <v>SOLDERSTAR</v>
      </c>
      <c r="AS134" s="22">
        <f t="shared" ref="AS134:AS197" si="60">IFERROR(IF(OR(G134="TBA", G134=""), "", DATEDIF(DATE(B134, C134, 1), DATE(F134, G134, 1), "M")),"")</f>
        <v>1</v>
      </c>
      <c r="AT134" s="24" t="str">
        <f t="shared" ref="AT134:AT197" si="61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5</v>
      </c>
      <c r="H135" s="29"/>
      <c r="I135" s="33" t="str">
        <f t="shared" si="51"/>
        <v>Q1</v>
      </c>
      <c r="J135" s="188" t="s">
        <v>3373</v>
      </c>
      <c r="K135" s="29" t="s">
        <v>2562</v>
      </c>
      <c r="L135" s="17" t="s">
        <v>68</v>
      </c>
      <c r="M135" s="22" t="s">
        <v>61</v>
      </c>
      <c r="N135" s="22">
        <v>1</v>
      </c>
      <c r="O135" s="22"/>
      <c r="P135" s="33" t="str">
        <f t="shared" si="35"/>
        <v>MAIN UNIT</v>
      </c>
      <c r="Q135" s="13" t="s">
        <v>62</v>
      </c>
      <c r="R135" s="22" t="s">
        <v>63</v>
      </c>
      <c r="S135" s="22" t="s">
        <v>51</v>
      </c>
      <c r="T135" s="22" t="s">
        <v>326</v>
      </c>
      <c r="U135" s="22" t="s">
        <v>71</v>
      </c>
      <c r="V135" s="22" t="s">
        <v>1011</v>
      </c>
      <c r="W135" s="22" t="s">
        <v>65</v>
      </c>
      <c r="X135" s="30">
        <v>434999</v>
      </c>
      <c r="Y135" s="31" t="str">
        <f>IF(W135="","",IF(W135="RMB","1.13", "1"))</f>
        <v>1.13</v>
      </c>
      <c r="Z135" s="18">
        <f t="shared" si="52"/>
        <v>434999</v>
      </c>
      <c r="AA135" s="22">
        <v>1.083</v>
      </c>
      <c r="AB135" s="21">
        <f t="shared" si="53"/>
        <v>416906.12123893807</v>
      </c>
      <c r="AC135" s="25">
        <f t="shared" si="54"/>
        <v>50028.734548672568</v>
      </c>
      <c r="AD135" s="169">
        <v>0.12</v>
      </c>
      <c r="AE135" s="26">
        <f t="shared" si="55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11472879.764601771</v>
      </c>
      <c r="AJ135" s="27">
        <f t="shared" si="41"/>
        <v>2038344.1716106194</v>
      </c>
      <c r="AK135" s="28">
        <f t="shared" si="56"/>
        <v>0.17766630640544948</v>
      </c>
      <c r="AL135" s="24"/>
      <c r="AM135" s="24"/>
      <c r="AN135" s="24"/>
      <c r="AO135" s="24"/>
      <c r="AP135" s="28" t="str">
        <f t="shared" si="57"/>
        <v>20245</v>
      </c>
      <c r="AQ135" s="28" t="str">
        <f t="shared" si="58"/>
        <v>20245RMB</v>
      </c>
      <c r="AR135" s="206" t="str">
        <f t="shared" si="59"/>
        <v>YAMAHA_Mounter</v>
      </c>
      <c r="AS135" s="22">
        <f t="shared" si="60"/>
        <v>2</v>
      </c>
      <c r="AT135" s="24" t="str">
        <f t="shared" si="61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35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2"/>
        <v>1450000</v>
      </c>
      <c r="AA136" s="13">
        <v>1.1299999999999999</v>
      </c>
      <c r="AB136" s="21">
        <f t="shared" si="53"/>
        <v>1450000</v>
      </c>
      <c r="AC136" s="130">
        <f t="shared" si="54"/>
        <v>184005.00000000003</v>
      </c>
      <c r="AD136" s="169">
        <v>0.12690000000000001</v>
      </c>
      <c r="AE136" s="154">
        <f t="shared" si="55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6"/>
        <v>0.12581216063459488</v>
      </c>
      <c r="AL136" s="17"/>
      <c r="AM136" s="17"/>
      <c r="AN136" s="17"/>
      <c r="AO136" s="17"/>
      <c r="AP136" s="28" t="str">
        <f t="shared" si="57"/>
        <v>20209</v>
      </c>
      <c r="AQ136" s="28" t="str">
        <f t="shared" si="58"/>
        <v>20209RMB</v>
      </c>
      <c r="AR136" s="206" t="str">
        <f t="shared" si="59"/>
        <v>YAMAHA_Mounter</v>
      </c>
      <c r="AS136" s="22">
        <f t="shared" si="60"/>
        <v>1</v>
      </c>
      <c r="AT136" s="24" t="str">
        <f t="shared" si="61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35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2">IF(W137="RMB","1.13", "1")</f>
        <v>1.13</v>
      </c>
      <c r="Z137" s="18">
        <f t="shared" si="52"/>
        <v>1290000</v>
      </c>
      <c r="AA137" s="13">
        <v>1.175</v>
      </c>
      <c r="AB137" s="21">
        <f t="shared" si="53"/>
        <v>1341371.6814159292</v>
      </c>
      <c r="AC137" s="130">
        <f t="shared" si="54"/>
        <v>160964.6017699115</v>
      </c>
      <c r="AD137" s="169">
        <v>0.12</v>
      </c>
      <c r="AE137" s="154">
        <f t="shared" si="55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477651199.57437885</v>
      </c>
      <c r="AJ137" s="19">
        <f t="shared" si="41"/>
        <v>56918800.518691957</v>
      </c>
      <c r="AK137" s="20">
        <f t="shared" si="56"/>
        <v>0.11916394341605475</v>
      </c>
      <c r="AL137" s="17"/>
      <c r="AM137" s="17"/>
      <c r="AN137" s="17"/>
      <c r="AO137" s="17"/>
      <c r="AP137" s="28" t="str">
        <f t="shared" si="57"/>
        <v>CancelCancel</v>
      </c>
      <c r="AQ137" s="28" t="str">
        <f t="shared" si="58"/>
        <v>CancelCancelRMB</v>
      </c>
      <c r="AR137" s="206" t="str">
        <f t="shared" si="59"/>
        <v>YAMAHA_Mounter</v>
      </c>
      <c r="AS137" s="22" t="str">
        <f t="shared" si="60"/>
        <v/>
      </c>
      <c r="AT137" s="24" t="str">
        <f t="shared" si="61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35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2"/>
        <v>1</v>
      </c>
      <c r="Z138" s="18">
        <f t="shared" si="52"/>
        <v>20800000</v>
      </c>
      <c r="AA138" s="13">
        <v>6.25E-2</v>
      </c>
      <c r="AB138" s="21">
        <f t="shared" si="53"/>
        <v>1300000</v>
      </c>
      <c r="AC138" s="130">
        <f t="shared" si="54"/>
        <v>156000</v>
      </c>
      <c r="AD138" s="169">
        <v>0.12</v>
      </c>
      <c r="AE138" s="154">
        <f t="shared" si="55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477651199.57437885</v>
      </c>
      <c r="AJ138" s="19">
        <f t="shared" si="41"/>
        <v>56918800.518691957</v>
      </c>
      <c r="AK138" s="20">
        <f t="shared" si="56"/>
        <v>0.11916394341605475</v>
      </c>
      <c r="AL138" s="17"/>
      <c r="AM138" s="17"/>
      <c r="AN138" s="17"/>
      <c r="AO138" s="17"/>
      <c r="AP138" s="28" t="str">
        <f t="shared" si="57"/>
        <v>CancelCancel</v>
      </c>
      <c r="AQ138" s="28" t="str">
        <f t="shared" si="58"/>
        <v>CancelCancelJPY</v>
      </c>
      <c r="AR138" s="206" t="str">
        <f t="shared" si="59"/>
        <v>YAMAHA_Mounter</v>
      </c>
      <c r="AS138" s="22" t="str">
        <f t="shared" si="60"/>
        <v/>
      </c>
      <c r="AT138" s="24" t="str">
        <f t="shared" si="61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35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2"/>
        <v>1</v>
      </c>
      <c r="Z139" s="18">
        <f t="shared" si="52"/>
        <v>20800000</v>
      </c>
      <c r="AA139" s="13">
        <v>6.25E-2</v>
      </c>
      <c r="AB139" s="21">
        <f t="shared" si="53"/>
        <v>1300000</v>
      </c>
      <c r="AC139" s="130">
        <f t="shared" si="54"/>
        <v>156000</v>
      </c>
      <c r="AD139" s="169">
        <v>0.12</v>
      </c>
      <c r="AE139" s="154">
        <f t="shared" si="55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477651199.57437885</v>
      </c>
      <c r="AJ139" s="19">
        <f t="shared" si="41"/>
        <v>56918800.518691957</v>
      </c>
      <c r="AK139" s="20">
        <f t="shared" si="56"/>
        <v>0.11916394341605475</v>
      </c>
      <c r="AL139" s="17"/>
      <c r="AM139" s="17"/>
      <c r="AN139" s="17"/>
      <c r="AO139" s="17"/>
      <c r="AP139" s="28" t="str">
        <f t="shared" si="57"/>
        <v>CancelCancel</v>
      </c>
      <c r="AQ139" s="28" t="str">
        <f t="shared" si="58"/>
        <v>CancelCancelJPY</v>
      </c>
      <c r="AR139" s="206" t="str">
        <f t="shared" si="59"/>
        <v>YAMAHA_Mounter</v>
      </c>
      <c r="AS139" s="22" t="str">
        <f t="shared" si="60"/>
        <v/>
      </c>
      <c r="AT139" s="24" t="str">
        <f t="shared" si="61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35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2"/>
        <v>1</v>
      </c>
      <c r="Z140" s="18">
        <f t="shared" si="52"/>
        <v>20800000</v>
      </c>
      <c r="AA140" s="13">
        <v>6.25E-2</v>
      </c>
      <c r="AB140" s="21">
        <f t="shared" si="53"/>
        <v>1300000</v>
      </c>
      <c r="AC140" s="130">
        <f t="shared" si="54"/>
        <v>156000</v>
      </c>
      <c r="AD140" s="169">
        <v>0.12</v>
      </c>
      <c r="AE140" s="154">
        <f t="shared" si="55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477651199.57437885</v>
      </c>
      <c r="AJ140" s="19">
        <f t="shared" si="41"/>
        <v>56918800.518691957</v>
      </c>
      <c r="AK140" s="20">
        <f t="shared" si="56"/>
        <v>0.11916394341605475</v>
      </c>
      <c r="AL140" s="17"/>
      <c r="AM140" s="17"/>
      <c r="AN140" s="17"/>
      <c r="AO140" s="17"/>
      <c r="AP140" s="28" t="str">
        <f t="shared" si="57"/>
        <v>CancelCancel</v>
      </c>
      <c r="AQ140" s="28" t="str">
        <f t="shared" si="58"/>
        <v>CancelCancelJPY</v>
      </c>
      <c r="AR140" s="206" t="str">
        <f t="shared" si="59"/>
        <v>YAMAHA_Mounter</v>
      </c>
      <c r="AS140" s="22" t="str">
        <f t="shared" si="60"/>
        <v/>
      </c>
      <c r="AT140" s="24" t="str">
        <f t="shared" si="61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35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2"/>
        <v>1</v>
      </c>
      <c r="Z141" s="18">
        <f t="shared" si="52"/>
        <v>20800000</v>
      </c>
      <c r="AA141" s="13">
        <v>6.25E-2</v>
      </c>
      <c r="AB141" s="21">
        <f t="shared" si="53"/>
        <v>1300000</v>
      </c>
      <c r="AC141" s="130">
        <f t="shared" si="54"/>
        <v>156000</v>
      </c>
      <c r="AD141" s="169">
        <v>0.12</v>
      </c>
      <c r="AE141" s="154">
        <f t="shared" si="55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477651199.57437885</v>
      </c>
      <c r="AJ141" s="19">
        <f t="shared" si="41"/>
        <v>56918800.518691957</v>
      </c>
      <c r="AK141" s="20">
        <f t="shared" si="56"/>
        <v>0.11916394341605475</v>
      </c>
      <c r="AL141" s="17"/>
      <c r="AM141" s="17"/>
      <c r="AN141" s="17"/>
      <c r="AO141" s="17"/>
      <c r="AP141" s="28" t="str">
        <f t="shared" si="57"/>
        <v>CancelCancel</v>
      </c>
      <c r="AQ141" s="28" t="str">
        <f t="shared" si="58"/>
        <v>CancelCancelJPY</v>
      </c>
      <c r="AR141" s="206" t="str">
        <f t="shared" si="59"/>
        <v>YAMAHA_Mounter</v>
      </c>
      <c r="AS141" s="22" t="str">
        <f t="shared" si="60"/>
        <v/>
      </c>
      <c r="AT141" s="24" t="str">
        <f t="shared" si="61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35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2"/>
        <v>1.13</v>
      </c>
      <c r="Z142" s="18">
        <f t="shared" si="52"/>
        <v>1500000</v>
      </c>
      <c r="AA142" s="13">
        <v>1.1100000000000001</v>
      </c>
      <c r="AB142" s="21">
        <f t="shared" si="53"/>
        <v>1473451.3274336287</v>
      </c>
      <c r="AC142" s="130">
        <f t="shared" si="54"/>
        <v>176814.15929203545</v>
      </c>
      <c r="AD142" s="169">
        <v>0.12</v>
      </c>
      <c r="AE142" s="154">
        <f t="shared" si="55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477651199.57437885</v>
      </c>
      <c r="AJ142" s="19">
        <f t="shared" si="41"/>
        <v>56918800.518691957</v>
      </c>
      <c r="AK142" s="20">
        <f t="shared" si="56"/>
        <v>0.11916394341605475</v>
      </c>
      <c r="AL142" s="17"/>
      <c r="AM142" s="17"/>
      <c r="AN142" s="17"/>
      <c r="AO142" s="17"/>
      <c r="AP142" s="28" t="str">
        <f t="shared" si="57"/>
        <v>CancelCancel</v>
      </c>
      <c r="AQ142" s="28" t="str">
        <f t="shared" si="58"/>
        <v>CancelCancelRMB</v>
      </c>
      <c r="AR142" s="206" t="str">
        <f t="shared" si="59"/>
        <v>YAMAHA_Mounter</v>
      </c>
      <c r="AS142" s="22" t="str">
        <f t="shared" si="60"/>
        <v/>
      </c>
      <c r="AT142" s="24" t="str">
        <f t="shared" si="61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35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2"/>
        <v>1.13</v>
      </c>
      <c r="Z143" s="18">
        <f t="shared" si="52"/>
        <v>1500000</v>
      </c>
      <c r="AA143" s="13">
        <v>1.1100000000000001</v>
      </c>
      <c r="AB143" s="21">
        <f t="shared" si="53"/>
        <v>1473451.3274336287</v>
      </c>
      <c r="AC143" s="130">
        <f t="shared" si="54"/>
        <v>176814.15929203545</v>
      </c>
      <c r="AD143" s="169">
        <v>0.12</v>
      </c>
      <c r="AE143" s="154">
        <f t="shared" si="55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477651199.57437885</v>
      </c>
      <c r="AJ143" s="19">
        <f t="shared" si="41"/>
        <v>56918800.518691957</v>
      </c>
      <c r="AK143" s="20">
        <f t="shared" si="56"/>
        <v>0.11916394341605475</v>
      </c>
      <c r="AL143" s="17"/>
      <c r="AM143" s="17"/>
      <c r="AN143" s="17"/>
      <c r="AO143" s="17"/>
      <c r="AP143" s="28" t="str">
        <f t="shared" si="57"/>
        <v>CancelCancel</v>
      </c>
      <c r="AQ143" s="28" t="str">
        <f t="shared" si="58"/>
        <v>CancelCancelRMB</v>
      </c>
      <c r="AR143" s="206" t="str">
        <f t="shared" si="59"/>
        <v>YAMAHA_Mounter</v>
      </c>
      <c r="AS143" s="22" t="str">
        <f t="shared" si="60"/>
        <v/>
      </c>
      <c r="AT143" s="24" t="str">
        <f t="shared" si="61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35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2"/>
        <v>1.13</v>
      </c>
      <c r="Z144" s="18">
        <f t="shared" si="52"/>
        <v>800000</v>
      </c>
      <c r="AA144" s="13">
        <v>1.07</v>
      </c>
      <c r="AB144" s="21">
        <f t="shared" si="53"/>
        <v>757522.12389380543</v>
      </c>
      <c r="AC144" s="130">
        <f t="shared" si="54"/>
        <v>125521.41592920355</v>
      </c>
      <c r="AD144" s="169">
        <v>0.16569999999999999</v>
      </c>
      <c r="AE144" s="154">
        <f t="shared" si="55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6"/>
        <v>0.12272431622253084</v>
      </c>
      <c r="AL144" s="17"/>
      <c r="AM144" s="17"/>
      <c r="AN144" s="17"/>
      <c r="AO144" s="17"/>
      <c r="AP144" s="28" t="str">
        <f t="shared" si="57"/>
        <v>202311</v>
      </c>
      <c r="AQ144" s="28" t="str">
        <f t="shared" si="58"/>
        <v>202311RMB</v>
      </c>
      <c r="AR144" s="206" t="str">
        <f t="shared" si="59"/>
        <v>YAMAHA_Mounter</v>
      </c>
      <c r="AS144" s="22">
        <f t="shared" si="60"/>
        <v>4</v>
      </c>
      <c r="AT144" s="24" t="str">
        <f t="shared" si="61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35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2"/>
        <v>1.13</v>
      </c>
      <c r="Z145" s="18">
        <f t="shared" si="52"/>
        <v>480000</v>
      </c>
      <c r="AA145" s="13">
        <v>1.07</v>
      </c>
      <c r="AB145" s="21">
        <f t="shared" si="53"/>
        <v>454513.27433628321</v>
      </c>
      <c r="AC145" s="130">
        <f t="shared" si="54"/>
        <v>75312.849557522117</v>
      </c>
      <c r="AD145" s="169">
        <v>0.16569999999999999</v>
      </c>
      <c r="AE145" s="154">
        <f t="shared" si="55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6"/>
        <v>0.12272431622253084</v>
      </c>
      <c r="AL145" s="17"/>
      <c r="AM145" s="17"/>
      <c r="AN145" s="17"/>
      <c r="AO145" s="17"/>
      <c r="AP145" s="28" t="str">
        <f t="shared" si="57"/>
        <v>202311</v>
      </c>
      <c r="AQ145" s="28" t="str">
        <f t="shared" si="58"/>
        <v>202311RMB</v>
      </c>
      <c r="AR145" s="206" t="str">
        <f t="shared" si="59"/>
        <v>YAMAHA_Mounter</v>
      </c>
      <c r="AS145" s="22">
        <f t="shared" si="60"/>
        <v>4</v>
      </c>
      <c r="AT145" s="24" t="str">
        <f t="shared" si="61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35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2"/>
        <v>1570000</v>
      </c>
      <c r="AA146" s="13">
        <v>1.1399999999999999</v>
      </c>
      <c r="AB146" s="21">
        <f t="shared" si="53"/>
        <v>1789799.9999999998</v>
      </c>
      <c r="AC146" s="130">
        <f t="shared" si="54"/>
        <v>214775.99999999997</v>
      </c>
      <c r="AD146" s="169">
        <v>0.12</v>
      </c>
      <c r="AE146" s="154">
        <f t="shared" si="55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477651199.57437885</v>
      </c>
      <c r="AJ146" s="19">
        <f t="shared" si="41"/>
        <v>56918800.518691957</v>
      </c>
      <c r="AK146" s="20">
        <f t="shared" si="56"/>
        <v>0.11916394341605475</v>
      </c>
      <c r="AL146" s="17"/>
      <c r="AM146" s="17"/>
      <c r="AN146" s="17"/>
      <c r="AO146" s="17"/>
      <c r="AP146" s="28" t="str">
        <f t="shared" si="57"/>
        <v>CancelCancel</v>
      </c>
      <c r="AQ146" s="28" t="str">
        <f t="shared" si="58"/>
        <v>CancelCancelRMB</v>
      </c>
      <c r="AR146" s="206" t="str">
        <f t="shared" si="59"/>
        <v>YAMAHA_Mounter</v>
      </c>
      <c r="AS146" s="22" t="str">
        <f t="shared" si="60"/>
        <v/>
      </c>
      <c r="AT146" s="24" t="str">
        <f t="shared" si="61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35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2"/>
        <v>7400000</v>
      </c>
      <c r="AA147" s="13">
        <v>6.54E-2</v>
      </c>
      <c r="AB147" s="21">
        <f t="shared" si="53"/>
        <v>483960</v>
      </c>
      <c r="AC147" s="130">
        <f t="shared" si="54"/>
        <v>49121.94</v>
      </c>
      <c r="AD147" s="169">
        <v>0.10150000000000001</v>
      </c>
      <c r="AE147" s="154">
        <f t="shared" si="55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6"/>
        <v>0.1278167874546958</v>
      </c>
      <c r="AL147" s="17"/>
      <c r="AM147" s="17"/>
      <c r="AN147" s="17"/>
      <c r="AO147" s="17"/>
      <c r="AP147" s="28" t="str">
        <f t="shared" si="57"/>
        <v>20224</v>
      </c>
      <c r="AQ147" s="28" t="str">
        <f t="shared" si="58"/>
        <v>20224JPY</v>
      </c>
      <c r="AR147" s="206" t="str">
        <f t="shared" si="59"/>
        <v>YAMAHA_Mounter</v>
      </c>
      <c r="AS147" s="22">
        <f t="shared" si="60"/>
        <v>10</v>
      </c>
      <c r="AT147" s="24" t="str">
        <f t="shared" si="61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35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2"/>
        <v>9200000</v>
      </c>
      <c r="AA148" s="13">
        <v>5.96E-2</v>
      </c>
      <c r="AB148" s="21">
        <f t="shared" si="53"/>
        <v>548320</v>
      </c>
      <c r="AC148" s="130">
        <f t="shared" si="54"/>
        <v>50884.095999999998</v>
      </c>
      <c r="AD148" s="169">
        <v>9.2799999999999994E-2</v>
      </c>
      <c r="AE148" s="154">
        <f t="shared" si="55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6"/>
        <v>0.14353007902118958</v>
      </c>
      <c r="AL148" s="17"/>
      <c r="AM148" s="17"/>
      <c r="AN148" s="17"/>
      <c r="AO148" s="17"/>
      <c r="AP148" s="28" t="str">
        <f t="shared" si="57"/>
        <v>20228</v>
      </c>
      <c r="AQ148" s="28" t="str">
        <f t="shared" si="58"/>
        <v>20228JPY</v>
      </c>
      <c r="AR148" s="206" t="str">
        <f t="shared" si="59"/>
        <v>YAMAHA_Mounter</v>
      </c>
      <c r="AS148" s="22">
        <f t="shared" si="60"/>
        <v>14</v>
      </c>
      <c r="AT148" s="24" t="str">
        <f t="shared" si="61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35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2"/>
        <v>560000</v>
      </c>
      <c r="AA149" s="13">
        <v>1.1100000000000001</v>
      </c>
      <c r="AB149" s="21">
        <f t="shared" si="53"/>
        <v>550088.49557522137</v>
      </c>
      <c r="AC149" s="130">
        <f t="shared" si="54"/>
        <v>64525.380530973467</v>
      </c>
      <c r="AD149" s="169">
        <v>0.1173</v>
      </c>
      <c r="AE149" s="154">
        <f t="shared" si="55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6"/>
        <v>0.10493974908778378</v>
      </c>
      <c r="AL149" s="17"/>
      <c r="AM149" s="17"/>
      <c r="AN149" s="17"/>
      <c r="AO149" s="17"/>
      <c r="AP149" s="28" t="str">
        <f t="shared" si="57"/>
        <v>201911</v>
      </c>
      <c r="AQ149" s="28" t="str">
        <f t="shared" si="58"/>
        <v>201911RMB</v>
      </c>
      <c r="AR149" s="206" t="str">
        <f t="shared" si="59"/>
        <v>YAMAHA_Mounter</v>
      </c>
      <c r="AS149" s="22">
        <f t="shared" si="60"/>
        <v>0</v>
      </c>
      <c r="AT149" s="24" t="str">
        <f t="shared" si="61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35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2"/>
        <v>550000</v>
      </c>
      <c r="AA150" s="13">
        <v>1.095</v>
      </c>
      <c r="AB150" s="21">
        <f t="shared" si="53"/>
        <v>532964.60176991147</v>
      </c>
      <c r="AC150" s="130">
        <f t="shared" si="54"/>
        <v>42956.946902654869</v>
      </c>
      <c r="AD150" s="169">
        <v>8.0600000000000005E-2</v>
      </c>
      <c r="AE150" s="154">
        <f t="shared" si="55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6"/>
        <v>0.13676937682988152</v>
      </c>
      <c r="AL150" s="17"/>
      <c r="AM150" s="17"/>
      <c r="AN150" s="17"/>
      <c r="AO150" s="17"/>
      <c r="AP150" s="28" t="str">
        <f t="shared" si="57"/>
        <v>20204</v>
      </c>
      <c r="AQ150" s="28" t="str">
        <f t="shared" si="58"/>
        <v>20204RMB</v>
      </c>
      <c r="AR150" s="206" t="str">
        <f t="shared" si="59"/>
        <v>YAMAHA_Mounter</v>
      </c>
      <c r="AS150" s="22">
        <f t="shared" si="60"/>
        <v>1</v>
      </c>
      <c r="AT150" s="24" t="str">
        <f t="shared" si="61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35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2"/>
        <v>1070000</v>
      </c>
      <c r="AA151" s="13">
        <v>1.095</v>
      </c>
      <c r="AB151" s="21">
        <f t="shared" si="53"/>
        <v>1036858.4070796461</v>
      </c>
      <c r="AC151" s="130">
        <f t="shared" si="54"/>
        <v>90310.367256637168</v>
      </c>
      <c r="AD151" s="169">
        <v>8.7099999999999997E-2</v>
      </c>
      <c r="AE151" s="154">
        <f t="shared" si="55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6"/>
        <v>0.13676937682988152</v>
      </c>
      <c r="AL151" s="17"/>
      <c r="AM151" s="17"/>
      <c r="AN151" s="17"/>
      <c r="AO151" s="17"/>
      <c r="AP151" s="28" t="str">
        <f t="shared" si="57"/>
        <v>20204</v>
      </c>
      <c r="AQ151" s="28" t="str">
        <f t="shared" si="58"/>
        <v>20204RMB</v>
      </c>
      <c r="AR151" s="206" t="str">
        <f t="shared" si="59"/>
        <v>YAMAHA_Mounter</v>
      </c>
      <c r="AS151" s="22">
        <f t="shared" si="60"/>
        <v>0</v>
      </c>
      <c r="AT151" s="24" t="str">
        <f t="shared" si="61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35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2"/>
        <v>490000</v>
      </c>
      <c r="AA152" s="13">
        <v>1.163</v>
      </c>
      <c r="AB152" s="21">
        <f t="shared" si="53"/>
        <v>504309.73451327439</v>
      </c>
      <c r="AC152" s="130">
        <f t="shared" si="54"/>
        <v>49724.939823008855</v>
      </c>
      <c r="AD152" s="169">
        <v>9.8599999999999993E-2</v>
      </c>
      <c r="AE152" s="154">
        <f t="shared" si="55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6"/>
        <v>0.14353007902118958</v>
      </c>
      <c r="AL152" s="17"/>
      <c r="AM152" s="17"/>
      <c r="AN152" s="17"/>
      <c r="AO152" s="17"/>
      <c r="AP152" s="28" t="str">
        <f t="shared" si="57"/>
        <v>20228</v>
      </c>
      <c r="AQ152" s="28" t="str">
        <f t="shared" si="58"/>
        <v>20228RMB</v>
      </c>
      <c r="AR152" s="206" t="str">
        <f t="shared" si="59"/>
        <v>YAMAHA_Mounter</v>
      </c>
      <c r="AS152" s="22">
        <f t="shared" si="60"/>
        <v>0</v>
      </c>
      <c r="AT152" s="24" t="str">
        <f t="shared" si="61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35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2"/>
        <v>1515750</v>
      </c>
      <c r="AA153" s="13">
        <v>1.125</v>
      </c>
      <c r="AB153" s="21">
        <f t="shared" si="53"/>
        <v>1470016.1637931035</v>
      </c>
      <c r="AC153" s="130">
        <f t="shared" si="54"/>
        <v>235496.58943965519</v>
      </c>
      <c r="AD153" s="169">
        <v>0.16020000000000001</v>
      </c>
      <c r="AE153" s="154">
        <f t="shared" si="55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6"/>
        <v>0.13203962224416277</v>
      </c>
      <c r="AL153" s="17"/>
      <c r="AM153" s="17"/>
      <c r="AN153" s="17"/>
      <c r="AO153" s="17"/>
      <c r="AP153" s="28" t="str">
        <f t="shared" si="57"/>
        <v>201812</v>
      </c>
      <c r="AQ153" s="28" t="str">
        <f t="shared" si="58"/>
        <v>201812RMB</v>
      </c>
      <c r="AR153" s="206" t="str">
        <f t="shared" si="59"/>
        <v>YAMAHA_Mounter</v>
      </c>
      <c r="AS153" s="22">
        <f t="shared" si="60"/>
        <v>6</v>
      </c>
      <c r="AT153" s="24" t="str">
        <f t="shared" si="61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35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2"/>
        <v>834000</v>
      </c>
      <c r="AA154" s="13">
        <v>1.18</v>
      </c>
      <c r="AB154" s="21">
        <f t="shared" si="53"/>
        <v>848379.31034482759</v>
      </c>
      <c r="AC154" s="130">
        <f t="shared" si="54"/>
        <v>120469.86206896551</v>
      </c>
      <c r="AD154" s="169">
        <v>0.14199999999999999</v>
      </c>
      <c r="AE154" s="154">
        <f t="shared" si="55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6"/>
        <v>0.13314606898547499</v>
      </c>
      <c r="AL154" s="17"/>
      <c r="AM154" s="17"/>
      <c r="AN154" s="17"/>
      <c r="AO154" s="17"/>
      <c r="AP154" s="28" t="str">
        <f t="shared" si="57"/>
        <v>20187</v>
      </c>
      <c r="AQ154" s="28" t="str">
        <f t="shared" si="58"/>
        <v>20187RMB</v>
      </c>
      <c r="AR154" s="206" t="str">
        <f t="shared" si="59"/>
        <v>YAMAHA_Mounter</v>
      </c>
      <c r="AS154" s="22">
        <f t="shared" si="60"/>
        <v>3</v>
      </c>
      <c r="AT154" s="24" t="str">
        <f t="shared" si="61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35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2"/>
        <v>580000</v>
      </c>
      <c r="AA155" s="13">
        <v>1.23</v>
      </c>
      <c r="AB155" s="21">
        <f t="shared" si="53"/>
        <v>609743.58974358975</v>
      </c>
      <c r="AC155" s="130">
        <f t="shared" si="54"/>
        <v>82010.512820512828</v>
      </c>
      <c r="AD155" s="169">
        <v>0.13450000000000001</v>
      </c>
      <c r="AE155" s="154">
        <f t="shared" si="55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6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57"/>
        <v>20184</v>
      </c>
      <c r="AQ155" s="28" t="str">
        <f t="shared" si="58"/>
        <v>20184RMB</v>
      </c>
      <c r="AR155" s="206" t="str">
        <f t="shared" si="59"/>
        <v>YAMAHA_Mounter</v>
      </c>
      <c r="AS155" s="22">
        <f t="shared" si="60"/>
        <v>0</v>
      </c>
      <c r="AT155" s="24" t="str">
        <f t="shared" si="61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35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2"/>
        <v>985000</v>
      </c>
      <c r="AA156" s="13">
        <v>1.1950000000000001</v>
      </c>
      <c r="AB156" s="21">
        <f t="shared" si="53"/>
        <v>1041659.2920353984</v>
      </c>
      <c r="AC156" s="130">
        <f t="shared" si="54"/>
        <v>126665.76991150445</v>
      </c>
      <c r="AD156" s="169">
        <v>0.1216</v>
      </c>
      <c r="AE156" s="154">
        <f t="shared" si="55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6"/>
        <v>0.141215124388995</v>
      </c>
      <c r="AL156" s="17"/>
      <c r="AM156" s="17"/>
      <c r="AN156" s="17"/>
      <c r="AO156" s="17"/>
      <c r="AP156" s="28" t="str">
        <f t="shared" si="57"/>
        <v>20215</v>
      </c>
      <c r="AQ156" s="28" t="str">
        <f t="shared" si="58"/>
        <v>20215RMB</v>
      </c>
      <c r="AR156" s="206" t="str">
        <f t="shared" si="59"/>
        <v>YAMAHA_Mounter</v>
      </c>
      <c r="AS156" s="22">
        <f t="shared" si="60"/>
        <v>2</v>
      </c>
      <c r="AT156" s="24" t="str">
        <f t="shared" si="61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35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2"/>
        <v>940000</v>
      </c>
      <c r="AA157" s="13">
        <v>1.2</v>
      </c>
      <c r="AB157" s="21">
        <f t="shared" si="53"/>
        <v>998230.08849557536</v>
      </c>
      <c r="AC157" s="130">
        <f t="shared" si="54"/>
        <v>150832.56637168146</v>
      </c>
      <c r="AD157" s="169">
        <v>0.15110000000000001</v>
      </c>
      <c r="AE157" s="154">
        <f t="shared" si="55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6"/>
        <v>0.1494810557466355</v>
      </c>
      <c r="AL157" s="17"/>
      <c r="AM157" s="17"/>
      <c r="AN157" s="17"/>
      <c r="AO157" s="17"/>
      <c r="AP157" s="28" t="str">
        <f t="shared" si="57"/>
        <v>20217</v>
      </c>
      <c r="AQ157" s="28" t="str">
        <f t="shared" si="58"/>
        <v>20217RMB</v>
      </c>
      <c r="AR157" s="206" t="str">
        <f t="shared" si="59"/>
        <v>YAMAHA_Mounter</v>
      </c>
      <c r="AS157" s="22">
        <f t="shared" si="60"/>
        <v>3</v>
      </c>
      <c r="AT157" s="24" t="str">
        <f t="shared" si="61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35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2"/>
        <v>450000</v>
      </c>
      <c r="AA158" s="13">
        <v>1.0900000000000001</v>
      </c>
      <c r="AB158" s="21">
        <f t="shared" si="53"/>
        <v>434070.79646017705</v>
      </c>
      <c r="AC158" s="130">
        <f t="shared" si="54"/>
        <v>54779.73451327435</v>
      </c>
      <c r="AD158" s="169">
        <v>0.12620000000000001</v>
      </c>
      <c r="AE158" s="154">
        <f t="shared" si="55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6"/>
        <v>0.14268518919984163</v>
      </c>
      <c r="AL158" s="17"/>
      <c r="AM158" s="17"/>
      <c r="AN158" s="17"/>
      <c r="AO158" s="17"/>
      <c r="AP158" s="28" t="str">
        <f t="shared" si="57"/>
        <v>202212</v>
      </c>
      <c r="AQ158" s="28" t="str">
        <f t="shared" si="58"/>
        <v>202212RMB</v>
      </c>
      <c r="AR158" s="206" t="str">
        <f t="shared" si="59"/>
        <v>YAMAHA_Mounter</v>
      </c>
      <c r="AS158" s="22">
        <f t="shared" si="60"/>
        <v>0</v>
      </c>
      <c r="AT158" s="24" t="str">
        <f t="shared" si="61"/>
        <v>0-3 months</v>
      </c>
    </row>
    <row r="159" spans="1:46" s="12" customFormat="1" ht="18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3337</v>
      </c>
      <c r="K159" s="164" t="s">
        <v>3339</v>
      </c>
      <c r="L159" s="17" t="s">
        <v>93</v>
      </c>
      <c r="M159" s="22" t="s">
        <v>61</v>
      </c>
      <c r="N159" s="22">
        <v>1</v>
      </c>
      <c r="O159" s="22"/>
      <c r="P159" s="33" t="str">
        <f t="shared" si="35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72</v>
      </c>
      <c r="W159" s="22" t="s">
        <v>65</v>
      </c>
      <c r="X159" s="30">
        <v>615000</v>
      </c>
      <c r="Y159" s="31" t="str">
        <f>IF(W159="","",IF(W159="RMB","1.13", "1"))</f>
        <v>1.13</v>
      </c>
      <c r="Z159" s="18">
        <f t="shared" si="52"/>
        <v>615000</v>
      </c>
      <c r="AA159" s="22">
        <v>1.083</v>
      </c>
      <c r="AB159" s="21">
        <f t="shared" si="53"/>
        <v>589420.35398230096</v>
      </c>
      <c r="AC159" s="25">
        <f t="shared" si="54"/>
        <v>27408.046460176996</v>
      </c>
      <c r="AD159" s="169">
        <v>4.65E-2</v>
      </c>
      <c r="AE159" s="26">
        <f t="shared" si="55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6"/>
        <v>0.11855004919821259</v>
      </c>
      <c r="AL159" s="24"/>
      <c r="AM159" s="24"/>
      <c r="AN159" s="24"/>
      <c r="AO159" s="24"/>
      <c r="AP159" s="28" t="str">
        <f t="shared" si="57"/>
        <v>20244</v>
      </c>
      <c r="AQ159" s="28" t="str">
        <f t="shared" si="58"/>
        <v>20244RMB</v>
      </c>
      <c r="AR159" s="206" t="str">
        <f t="shared" si="59"/>
        <v>YAMAHA_Mounter</v>
      </c>
      <c r="AS159" s="22">
        <f t="shared" si="60"/>
        <v>1</v>
      </c>
      <c r="AT159" s="24" t="str">
        <f t="shared" si="61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35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2"/>
        <v>920000</v>
      </c>
      <c r="AA160" s="13">
        <v>1.135</v>
      </c>
      <c r="AB160" s="21">
        <f t="shared" si="53"/>
        <v>924070.79646017705</v>
      </c>
      <c r="AC160" s="130">
        <f t="shared" si="54"/>
        <v>110888.49557522124</v>
      </c>
      <c r="AD160" s="169">
        <v>0.12</v>
      </c>
      <c r="AE160" s="154">
        <f t="shared" si="55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477651199.57437885</v>
      </c>
      <c r="AJ160" s="19">
        <f t="shared" si="41"/>
        <v>56918800.518691957</v>
      </c>
      <c r="AK160" s="20">
        <f t="shared" si="56"/>
        <v>0.11916394341605475</v>
      </c>
      <c r="AL160" s="17"/>
      <c r="AM160" s="17"/>
      <c r="AN160" s="17"/>
      <c r="AO160" s="17"/>
      <c r="AP160" s="28" t="str">
        <f t="shared" si="57"/>
        <v>CancelCancel</v>
      </c>
      <c r="AQ160" s="28" t="str">
        <f t="shared" si="58"/>
        <v>CancelCancelRMB</v>
      </c>
      <c r="AR160" s="206" t="str">
        <f t="shared" si="59"/>
        <v>YAMAHA_Mounter</v>
      </c>
      <c r="AS160" s="22" t="str">
        <f t="shared" si="60"/>
        <v/>
      </c>
      <c r="AT160" s="24" t="str">
        <f t="shared" si="61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35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2"/>
        <v>642445</v>
      </c>
      <c r="AA161" s="13">
        <v>1.1950000000000001</v>
      </c>
      <c r="AB161" s="21">
        <f t="shared" si="53"/>
        <v>679399.8008849558</v>
      </c>
      <c r="AC161" s="130">
        <f t="shared" si="54"/>
        <v>79150.076803097356</v>
      </c>
      <c r="AD161" s="169">
        <v>0.11650000000000001</v>
      </c>
      <c r="AE161" s="154">
        <f t="shared" si="55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6"/>
        <v>0.141215124388995</v>
      </c>
      <c r="AL161" s="17"/>
      <c r="AM161" s="17"/>
      <c r="AN161" s="17"/>
      <c r="AO161" s="17"/>
      <c r="AP161" s="28" t="str">
        <f t="shared" si="57"/>
        <v>20215</v>
      </c>
      <c r="AQ161" s="28" t="str">
        <f t="shared" si="58"/>
        <v>20215RMB</v>
      </c>
      <c r="AR161" s="206" t="str">
        <f t="shared" si="59"/>
        <v>YAMAHA_Mounter</v>
      </c>
      <c r="AS161" s="22">
        <f t="shared" si="60"/>
        <v>2</v>
      </c>
      <c r="AT161" s="24" t="str">
        <f t="shared" si="61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35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2"/>
        <v>1066277</v>
      </c>
      <c r="AA162" s="13">
        <v>1.1950000000000001</v>
      </c>
      <c r="AB162" s="21">
        <f t="shared" si="53"/>
        <v>1127611.5176991152</v>
      </c>
      <c r="AC162" s="130">
        <f t="shared" si="54"/>
        <v>138583.45552522124</v>
      </c>
      <c r="AD162" s="169">
        <v>0.1229</v>
      </c>
      <c r="AE162" s="154">
        <f t="shared" si="55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6"/>
        <v>0.141215124388995</v>
      </c>
      <c r="AL162" s="17"/>
      <c r="AM162" s="17"/>
      <c r="AN162" s="17"/>
      <c r="AO162" s="17"/>
      <c r="AP162" s="28" t="str">
        <f t="shared" si="57"/>
        <v>20215</v>
      </c>
      <c r="AQ162" s="28" t="str">
        <f t="shared" si="58"/>
        <v>20215RMB</v>
      </c>
      <c r="AR162" s="206" t="str">
        <f t="shared" si="59"/>
        <v>YAMAHA_Mounter</v>
      </c>
      <c r="AS162" s="22">
        <f t="shared" si="60"/>
        <v>1</v>
      </c>
      <c r="AT162" s="24" t="str">
        <f t="shared" si="61"/>
        <v>0-3 months</v>
      </c>
    </row>
    <row r="163" spans="1:46" s="12" customFormat="1" ht="28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35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2"/>
        <v>11160</v>
      </c>
      <c r="AA163" s="13">
        <v>1.2150000000000001</v>
      </c>
      <c r="AB163" s="21">
        <f t="shared" si="53"/>
        <v>11999.469026548675</v>
      </c>
      <c r="AC163" s="130">
        <f t="shared" si="54"/>
        <v>2049.5093097345139</v>
      </c>
      <c r="AD163" s="169">
        <v>0.17080000000000001</v>
      </c>
      <c r="AE163" s="154">
        <f t="shared" si="55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6"/>
        <v>0.1517070412191521</v>
      </c>
      <c r="AL163" s="17"/>
      <c r="AM163" s="17"/>
      <c r="AN163" s="17"/>
      <c r="AO163" s="17"/>
      <c r="AP163" s="28" t="str">
        <f t="shared" si="57"/>
        <v>202112</v>
      </c>
      <c r="AQ163" s="28" t="str">
        <f t="shared" si="58"/>
        <v>202112RMB</v>
      </c>
      <c r="AR163" s="206" t="str">
        <f t="shared" si="59"/>
        <v>YAMAHA_Mounter</v>
      </c>
      <c r="AS163" s="22">
        <f t="shared" si="60"/>
        <v>0</v>
      </c>
      <c r="AT163" s="24" t="str">
        <f t="shared" si="61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35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2"/>
        <v>1020000</v>
      </c>
      <c r="AA164" s="13">
        <v>1.17</v>
      </c>
      <c r="AB164" s="21">
        <f t="shared" si="53"/>
        <v>1056106.1946902655</v>
      </c>
      <c r="AC164" s="130">
        <f t="shared" si="54"/>
        <v>142679.94690265486</v>
      </c>
      <c r="AD164" s="169">
        <v>0.1351</v>
      </c>
      <c r="AE164" s="154">
        <f t="shared" si="55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6"/>
        <v>0.14613378412599562</v>
      </c>
      <c r="AL164" s="17"/>
      <c r="AM164" s="17"/>
      <c r="AN164" s="17"/>
      <c r="AO164" s="17"/>
      <c r="AP164" s="28" t="str">
        <f t="shared" si="57"/>
        <v>20227</v>
      </c>
      <c r="AQ164" s="28" t="str">
        <f t="shared" si="58"/>
        <v>20227RMB</v>
      </c>
      <c r="AR164" s="206" t="str">
        <f t="shared" si="59"/>
        <v>YAMAHA_Mounter</v>
      </c>
      <c r="AS164" s="22">
        <f t="shared" si="60"/>
        <v>1</v>
      </c>
      <c r="AT164" s="24" t="str">
        <f t="shared" si="61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35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2"/>
        <v>2590000</v>
      </c>
      <c r="AA165" s="13">
        <v>1.1599999999999999</v>
      </c>
      <c r="AB165" s="21">
        <f t="shared" si="53"/>
        <v>2658761.0619469029</v>
      </c>
      <c r="AC165" s="130">
        <f t="shared" si="54"/>
        <v>214562.01769911504</v>
      </c>
      <c r="AD165" s="169">
        <v>8.0699999999999994E-2</v>
      </c>
      <c r="AE165" s="154">
        <f t="shared" si="55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6"/>
        <v>0.11939782416131177</v>
      </c>
      <c r="AL165" s="17"/>
      <c r="AM165" s="17"/>
      <c r="AN165" s="17"/>
      <c r="AO165" s="17"/>
      <c r="AP165" s="28" t="str">
        <f t="shared" si="57"/>
        <v>20194</v>
      </c>
      <c r="AQ165" s="28" t="str">
        <f t="shared" si="58"/>
        <v>20194RMB</v>
      </c>
      <c r="AR165" s="206" t="str">
        <f t="shared" si="59"/>
        <v>YAMAHA_Mounter</v>
      </c>
      <c r="AS165" s="22">
        <f t="shared" si="60"/>
        <v>1</v>
      </c>
      <c r="AT165" s="24" t="str">
        <f t="shared" si="61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35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2"/>
        <v>710000</v>
      </c>
      <c r="AA166" s="13">
        <v>1.135</v>
      </c>
      <c r="AB166" s="21">
        <f t="shared" si="53"/>
        <v>713141.59292035399</v>
      </c>
      <c r="AC166" s="130">
        <f t="shared" si="54"/>
        <v>82296.539823008847</v>
      </c>
      <c r="AD166" s="169">
        <v>0.1154</v>
      </c>
      <c r="AE166" s="154">
        <f t="shared" si="55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6"/>
        <v>0.12142827497242578</v>
      </c>
      <c r="AL166" s="17"/>
      <c r="AM166" s="17"/>
      <c r="AN166" s="17"/>
      <c r="AO166" s="17"/>
      <c r="AP166" s="28" t="str">
        <f t="shared" si="57"/>
        <v>202010</v>
      </c>
      <c r="AQ166" s="28" t="str">
        <f t="shared" si="58"/>
        <v>202010RMB</v>
      </c>
      <c r="AR166" s="206" t="str">
        <f t="shared" si="59"/>
        <v>YAMAHA_Mounter</v>
      </c>
      <c r="AS166" s="22">
        <f t="shared" si="60"/>
        <v>2</v>
      </c>
      <c r="AT166" s="24" t="str">
        <f t="shared" si="61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35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2"/>
        <v>710000</v>
      </c>
      <c r="AA167" s="13">
        <v>1.155</v>
      </c>
      <c r="AB167" s="21">
        <f t="shared" si="53"/>
        <v>725707.96460176993</v>
      </c>
      <c r="AC167" s="130">
        <f t="shared" si="54"/>
        <v>92527.765486725664</v>
      </c>
      <c r="AD167" s="169">
        <v>0.1275</v>
      </c>
      <c r="AE167" s="154">
        <f t="shared" si="55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6"/>
        <v>0.12496215328889679</v>
      </c>
      <c r="AL167" s="17"/>
      <c r="AM167" s="17"/>
      <c r="AN167" s="17"/>
      <c r="AO167" s="17"/>
      <c r="AP167" s="28" t="str">
        <f t="shared" si="57"/>
        <v>202011</v>
      </c>
      <c r="AQ167" s="28" t="str">
        <f t="shared" si="58"/>
        <v>202011RMB</v>
      </c>
      <c r="AR167" s="206" t="str">
        <f t="shared" si="59"/>
        <v>YAMAHA_Mounter</v>
      </c>
      <c r="AS167" s="22">
        <f t="shared" si="60"/>
        <v>3</v>
      </c>
      <c r="AT167" s="24" t="str">
        <f t="shared" si="61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35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2"/>
        <v>3637578</v>
      </c>
      <c r="AA168" s="13">
        <v>1.23</v>
      </c>
      <c r="AB168" s="21">
        <f t="shared" si="53"/>
        <v>3824120.461538462</v>
      </c>
      <c r="AC168" s="130">
        <f t="shared" si="54"/>
        <v>729642.18406153854</v>
      </c>
      <c r="AD168" s="169">
        <v>0.1908</v>
      </c>
      <c r="AE168" s="154">
        <f t="shared" si="55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6"/>
        <v>0.13214055370740244</v>
      </c>
      <c r="AL168" s="17"/>
      <c r="AM168" s="17"/>
      <c r="AN168" s="17"/>
      <c r="AO168" s="17"/>
      <c r="AP168" s="28" t="str">
        <f t="shared" si="57"/>
        <v>20184</v>
      </c>
      <c r="AQ168" s="28" t="str">
        <f t="shared" si="58"/>
        <v>20184RMB</v>
      </c>
      <c r="AR168" s="206" t="str">
        <f t="shared" si="59"/>
        <v>YAMAHA_Mounter</v>
      </c>
      <c r="AS168" s="22">
        <f t="shared" si="60"/>
        <v>5</v>
      </c>
      <c r="AT168" s="24" t="str">
        <f t="shared" si="61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35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2"/>
        <v>744000</v>
      </c>
      <c r="AA169" s="13">
        <v>1.095</v>
      </c>
      <c r="AB169" s="21">
        <f t="shared" si="53"/>
        <v>720955.75221238937</v>
      </c>
      <c r="AC169" s="130">
        <f t="shared" si="54"/>
        <v>103673.43716814159</v>
      </c>
      <c r="AD169" s="169">
        <v>0.14380000000000001</v>
      </c>
      <c r="AE169" s="154">
        <f t="shared" si="55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6"/>
        <v>0.13756645766163331</v>
      </c>
      <c r="AL169" s="17"/>
      <c r="AM169" s="17"/>
      <c r="AN169" s="17"/>
      <c r="AO169" s="17"/>
      <c r="AP169" s="28" t="str">
        <f t="shared" si="57"/>
        <v>20201</v>
      </c>
      <c r="AQ169" s="28" t="str">
        <f t="shared" si="58"/>
        <v>20201RMB</v>
      </c>
      <c r="AR169" s="206" t="str">
        <f t="shared" si="59"/>
        <v>YAMAHA_Mounter</v>
      </c>
      <c r="AS169" s="22">
        <f t="shared" si="60"/>
        <v>1</v>
      </c>
      <c r="AT169" s="24" t="str">
        <f t="shared" si="61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35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2"/>
        <v>744000</v>
      </c>
      <c r="AA170" s="13">
        <v>1.095</v>
      </c>
      <c r="AB170" s="21">
        <f t="shared" si="53"/>
        <v>720955.75221238937</v>
      </c>
      <c r="AC170" s="130">
        <f t="shared" si="54"/>
        <v>103673.43716814159</v>
      </c>
      <c r="AD170" s="169">
        <v>0.14380000000000001</v>
      </c>
      <c r="AE170" s="154">
        <f t="shared" si="55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6"/>
        <v>0.13756645766163331</v>
      </c>
      <c r="AL170" s="17"/>
      <c r="AM170" s="17"/>
      <c r="AN170" s="17"/>
      <c r="AO170" s="17"/>
      <c r="AP170" s="28" t="str">
        <f t="shared" si="57"/>
        <v>20201</v>
      </c>
      <c r="AQ170" s="28" t="str">
        <f t="shared" si="58"/>
        <v>20201RMB</v>
      </c>
      <c r="AR170" s="206" t="str">
        <f t="shared" si="59"/>
        <v>YAMAHA_Mounter</v>
      </c>
      <c r="AS170" s="22">
        <f t="shared" si="60"/>
        <v>1</v>
      </c>
      <c r="AT170" s="24" t="str">
        <f t="shared" si="61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35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2"/>
        <v>1083000</v>
      </c>
      <c r="AA171" s="13">
        <v>1.095</v>
      </c>
      <c r="AB171" s="21">
        <f t="shared" si="53"/>
        <v>1049455.7522123894</v>
      </c>
      <c r="AC171" s="130">
        <f t="shared" si="54"/>
        <v>160146.94778761064</v>
      </c>
      <c r="AD171" s="169">
        <v>0.15260000000000001</v>
      </c>
      <c r="AE171" s="154">
        <f t="shared" si="55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6"/>
        <v>0.13676937682988152</v>
      </c>
      <c r="AL171" s="17"/>
      <c r="AM171" s="17"/>
      <c r="AN171" s="17"/>
      <c r="AO171" s="17"/>
      <c r="AP171" s="28" t="str">
        <f t="shared" si="57"/>
        <v>20204</v>
      </c>
      <c r="AQ171" s="28" t="str">
        <f t="shared" si="58"/>
        <v>20204RMB</v>
      </c>
      <c r="AR171" s="206" t="str">
        <f t="shared" si="59"/>
        <v>YAMAHA_Mounter</v>
      </c>
      <c r="AS171" s="22">
        <f t="shared" si="60"/>
        <v>0</v>
      </c>
      <c r="AT171" s="24" t="str">
        <f t="shared" si="61"/>
        <v>0-3 months</v>
      </c>
    </row>
    <row r="172" spans="1:46" s="12" customFormat="1" ht="17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35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2"/>
        <v>1086000</v>
      </c>
      <c r="AA172" s="13">
        <v>1.125</v>
      </c>
      <c r="AB172" s="21">
        <f t="shared" si="53"/>
        <v>1053232.7586206896</v>
      </c>
      <c r="AC172" s="130">
        <f t="shared" si="54"/>
        <v>127335.84051724136</v>
      </c>
      <c r="AD172" s="169">
        <v>0.12089999999999999</v>
      </c>
      <c r="AE172" s="154">
        <f t="shared" si="55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6"/>
        <v>0.1428734525728621</v>
      </c>
      <c r="AL172" s="17"/>
      <c r="AM172" s="17"/>
      <c r="AN172" s="17"/>
      <c r="AO172" s="17"/>
      <c r="AP172" s="28" t="str">
        <f t="shared" si="57"/>
        <v>201811</v>
      </c>
      <c r="AQ172" s="28" t="str">
        <f t="shared" si="58"/>
        <v>201811RMB</v>
      </c>
      <c r="AR172" s="206" t="str">
        <f t="shared" si="59"/>
        <v>YAMAHA_Mounter</v>
      </c>
      <c r="AS172" s="22">
        <f t="shared" si="60"/>
        <v>5</v>
      </c>
      <c r="AT172" s="24" t="str">
        <f t="shared" si="61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35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2"/>
        <v>1075500</v>
      </c>
      <c r="AA173" s="13">
        <v>1.077</v>
      </c>
      <c r="AB173" s="21">
        <f t="shared" si="53"/>
        <v>1025056.1946902656</v>
      </c>
      <c r="AC173" s="130">
        <f t="shared" si="54"/>
        <v>158678.6989380531</v>
      </c>
      <c r="AD173" s="169">
        <v>0.15479999999999999</v>
      </c>
      <c r="AE173" s="154">
        <f t="shared" si="55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6"/>
        <v>0.12032530077218917</v>
      </c>
      <c r="AL173" s="17"/>
      <c r="AM173" s="17"/>
      <c r="AN173" s="17"/>
      <c r="AO173" s="17"/>
      <c r="AP173" s="28" t="str">
        <f t="shared" si="57"/>
        <v>20239</v>
      </c>
      <c r="AQ173" s="28" t="str">
        <f t="shared" si="58"/>
        <v>20239RMB</v>
      </c>
      <c r="AR173" s="206" t="str">
        <f t="shared" si="59"/>
        <v>YAMAHA_Mounter</v>
      </c>
      <c r="AS173" s="22">
        <f t="shared" si="60"/>
        <v>4</v>
      </c>
      <c r="AT173" s="24" t="str">
        <f t="shared" si="61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35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2"/>
        <v>1075500</v>
      </c>
      <c r="AA174" s="13">
        <v>1.077</v>
      </c>
      <c r="AB174" s="21">
        <f t="shared" si="53"/>
        <v>1025056.1946902656</v>
      </c>
      <c r="AC174" s="130">
        <f t="shared" si="54"/>
        <v>158678.6989380531</v>
      </c>
      <c r="AD174" s="169">
        <v>0.15479999999999999</v>
      </c>
      <c r="AE174" s="154">
        <f t="shared" si="55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6"/>
        <v>0.12032530077218917</v>
      </c>
      <c r="AL174" s="17"/>
      <c r="AM174" s="17"/>
      <c r="AN174" s="17"/>
      <c r="AO174" s="17"/>
      <c r="AP174" s="28" t="str">
        <f t="shared" si="57"/>
        <v>20239</v>
      </c>
      <c r="AQ174" s="28" t="str">
        <f t="shared" si="58"/>
        <v>20239RMB</v>
      </c>
      <c r="AR174" s="206" t="str">
        <f t="shared" si="59"/>
        <v>YAMAHA_Mounter</v>
      </c>
      <c r="AS174" s="22">
        <f t="shared" si="60"/>
        <v>4</v>
      </c>
      <c r="AT174" s="24" t="str">
        <f t="shared" si="61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35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2"/>
        <v>1075500</v>
      </c>
      <c r="AA175" s="13">
        <v>1.077</v>
      </c>
      <c r="AB175" s="21">
        <f t="shared" si="53"/>
        <v>1025056.1946902656</v>
      </c>
      <c r="AC175" s="130">
        <f t="shared" si="54"/>
        <v>158678.6989380531</v>
      </c>
      <c r="AD175" s="169">
        <v>0.15479999999999999</v>
      </c>
      <c r="AE175" s="154">
        <f t="shared" si="55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6"/>
        <v>0.12032530077218917</v>
      </c>
      <c r="AL175" s="17"/>
      <c r="AM175" s="17"/>
      <c r="AN175" s="17"/>
      <c r="AO175" s="17"/>
      <c r="AP175" s="28" t="str">
        <f t="shared" si="57"/>
        <v>20239</v>
      </c>
      <c r="AQ175" s="28" t="str">
        <f t="shared" si="58"/>
        <v>20239RMB</v>
      </c>
      <c r="AR175" s="206" t="str">
        <f t="shared" si="59"/>
        <v>YAMAHA_Mounter</v>
      </c>
      <c r="AS175" s="22">
        <f t="shared" si="60"/>
        <v>4</v>
      </c>
      <c r="AT175" s="24" t="str">
        <f t="shared" si="61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35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2"/>
        <v>1075500</v>
      </c>
      <c r="AA176" s="13">
        <v>1.077</v>
      </c>
      <c r="AB176" s="21">
        <f t="shared" si="53"/>
        <v>1025056.1946902656</v>
      </c>
      <c r="AC176" s="130">
        <f t="shared" si="54"/>
        <v>158678.6989380531</v>
      </c>
      <c r="AD176" s="169">
        <v>0.15479999999999999</v>
      </c>
      <c r="AE176" s="154">
        <f t="shared" si="55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6"/>
        <v>0.12032530077218917</v>
      </c>
      <c r="AL176" s="17"/>
      <c r="AM176" s="17"/>
      <c r="AN176" s="17"/>
      <c r="AO176" s="17"/>
      <c r="AP176" s="28" t="str">
        <f t="shared" si="57"/>
        <v>20239</v>
      </c>
      <c r="AQ176" s="28" t="str">
        <f t="shared" si="58"/>
        <v>20239RMB</v>
      </c>
      <c r="AR176" s="206" t="str">
        <f t="shared" si="59"/>
        <v>YAMAHA_Mounter</v>
      </c>
      <c r="AS176" s="22">
        <f t="shared" si="60"/>
        <v>4</v>
      </c>
      <c r="AT176" s="24" t="str">
        <f t="shared" si="61"/>
        <v>4-6 months</v>
      </c>
    </row>
    <row r="177" spans="1:46" s="12" customFormat="1" ht="28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35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2"/>
        <v>128000</v>
      </c>
      <c r="AA177" s="13">
        <v>1.077</v>
      </c>
      <c r="AB177" s="21">
        <f t="shared" si="53"/>
        <v>121996.46017699115</v>
      </c>
      <c r="AC177" s="130">
        <f t="shared" si="54"/>
        <v>18885.052035398228</v>
      </c>
      <c r="AD177" s="169">
        <v>0.15479999999999999</v>
      </c>
      <c r="AE177" s="154">
        <f t="shared" si="55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6"/>
        <v>0.12032530077218917</v>
      </c>
      <c r="AL177" s="17"/>
      <c r="AM177" s="17"/>
      <c r="AN177" s="17"/>
      <c r="AO177" s="17"/>
      <c r="AP177" s="28" t="str">
        <f t="shared" si="57"/>
        <v>20239</v>
      </c>
      <c r="AQ177" s="28" t="str">
        <f t="shared" si="58"/>
        <v>20239RMB</v>
      </c>
      <c r="AR177" s="206" t="str">
        <f t="shared" si="59"/>
        <v>LOCAL SUPPLIER</v>
      </c>
      <c r="AS177" s="22">
        <f t="shared" si="60"/>
        <v>4</v>
      </c>
      <c r="AT177" s="24" t="str">
        <f t="shared" si="61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4" si="63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35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3" si="64">IF(W178="","",IF(W178="RMB","1.13", "1"))</f>
        <v>1.13</v>
      </c>
      <c r="Z178" s="18">
        <f t="shared" si="52"/>
        <v>330000</v>
      </c>
      <c r="AA178" s="13">
        <v>1.077</v>
      </c>
      <c r="AB178" s="21">
        <f t="shared" si="53"/>
        <v>314522.12389380531</v>
      </c>
      <c r="AC178" s="130">
        <f t="shared" si="54"/>
        <v>46392.013274336285</v>
      </c>
      <c r="AD178" s="169">
        <v>0.14749999999999999</v>
      </c>
      <c r="AE178" s="154">
        <f t="shared" si="55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6"/>
        <v>0.12032530077218917</v>
      </c>
      <c r="AL178" s="17"/>
      <c r="AM178" s="17"/>
      <c r="AN178" s="17"/>
      <c r="AO178" s="17"/>
      <c r="AP178" s="28" t="str">
        <f t="shared" si="57"/>
        <v>20239</v>
      </c>
      <c r="AQ178" s="28" t="str">
        <f t="shared" si="58"/>
        <v>20239RMB</v>
      </c>
      <c r="AR178" s="206" t="str">
        <f t="shared" si="59"/>
        <v>YAMAHA_Non_Mounter</v>
      </c>
      <c r="AS178" s="22">
        <f t="shared" si="60"/>
        <v>4</v>
      </c>
      <c r="AT178" s="24" t="str">
        <f t="shared" si="61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3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35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4"/>
        <v>1.13</v>
      </c>
      <c r="Z179" s="18">
        <f t="shared" si="52"/>
        <v>490000</v>
      </c>
      <c r="AA179" s="13">
        <v>1.077</v>
      </c>
      <c r="AB179" s="21">
        <f t="shared" si="53"/>
        <v>467017.69911504426</v>
      </c>
      <c r="AC179" s="130">
        <f t="shared" si="54"/>
        <v>68885.110619469022</v>
      </c>
      <c r="AD179" s="169">
        <v>0.14749999999999999</v>
      </c>
      <c r="AE179" s="154">
        <f t="shared" si="55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6"/>
        <v>0.12032530077218917</v>
      </c>
      <c r="AL179" s="17"/>
      <c r="AM179" s="17"/>
      <c r="AN179" s="17"/>
      <c r="AO179" s="17"/>
      <c r="AP179" s="28" t="str">
        <f t="shared" si="57"/>
        <v>20239</v>
      </c>
      <c r="AQ179" s="28" t="str">
        <f t="shared" si="58"/>
        <v>20239RMB</v>
      </c>
      <c r="AR179" s="206" t="str">
        <f t="shared" si="59"/>
        <v>YAMAHA_Non_Mounter</v>
      </c>
      <c r="AS179" s="22">
        <f t="shared" si="60"/>
        <v>4</v>
      </c>
      <c r="AT179" s="24" t="str">
        <f t="shared" si="61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3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35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4"/>
        <v>1.13</v>
      </c>
      <c r="Z180" s="18">
        <f t="shared" si="52"/>
        <v>350000</v>
      </c>
      <c r="AA180" s="13">
        <v>1.077</v>
      </c>
      <c r="AB180" s="21">
        <f t="shared" si="53"/>
        <v>333584.07079646015</v>
      </c>
      <c r="AC180" s="130">
        <f t="shared" si="54"/>
        <v>49203.650442477869</v>
      </c>
      <c r="AD180" s="169">
        <v>0.14749999999999999</v>
      </c>
      <c r="AE180" s="154">
        <f t="shared" si="55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6"/>
        <v>0.12032530077218917</v>
      </c>
      <c r="AL180" s="17"/>
      <c r="AM180" s="17"/>
      <c r="AN180" s="17"/>
      <c r="AO180" s="17"/>
      <c r="AP180" s="28" t="str">
        <f t="shared" si="57"/>
        <v>20239</v>
      </c>
      <c r="AQ180" s="28" t="str">
        <f t="shared" si="58"/>
        <v>20239RMB</v>
      </c>
      <c r="AR180" s="206" t="str">
        <f t="shared" si="59"/>
        <v>HELLER</v>
      </c>
      <c r="AS180" s="22">
        <f t="shared" si="60"/>
        <v>4</v>
      </c>
      <c r="AT180" s="24" t="str">
        <f t="shared" si="61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3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35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4"/>
        <v>1.13</v>
      </c>
      <c r="Z181" s="18">
        <f t="shared" si="52"/>
        <v>380000</v>
      </c>
      <c r="AA181" s="13">
        <v>1.077</v>
      </c>
      <c r="AB181" s="21">
        <f t="shared" si="53"/>
        <v>362176.99115044245</v>
      </c>
      <c r="AC181" s="130">
        <f t="shared" si="54"/>
        <v>53421.106194690256</v>
      </c>
      <c r="AD181" s="169">
        <v>0.14749999999999999</v>
      </c>
      <c r="AE181" s="154">
        <f t="shared" si="55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6"/>
        <v>0.12032530077218917</v>
      </c>
      <c r="AL181" s="17"/>
      <c r="AM181" s="17"/>
      <c r="AN181" s="17"/>
      <c r="AO181" s="17"/>
      <c r="AP181" s="28" t="str">
        <f t="shared" si="57"/>
        <v>20239</v>
      </c>
      <c r="AQ181" s="28" t="str">
        <f t="shared" si="58"/>
        <v>20239RMB</v>
      </c>
      <c r="AR181" s="206" t="str">
        <f t="shared" si="59"/>
        <v>PEMTRON</v>
      </c>
      <c r="AS181" s="22">
        <f t="shared" si="60"/>
        <v>4</v>
      </c>
      <c r="AT181" s="24" t="str">
        <f t="shared" si="61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3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35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4"/>
        <v>1.13</v>
      </c>
      <c r="Z182" s="18">
        <f t="shared" si="52"/>
        <v>260000</v>
      </c>
      <c r="AA182" s="13">
        <v>1.077</v>
      </c>
      <c r="AB182" s="21">
        <f t="shared" si="53"/>
        <v>247805.30973451328</v>
      </c>
      <c r="AC182" s="130">
        <f t="shared" si="54"/>
        <v>23194.576991150443</v>
      </c>
      <c r="AD182" s="169">
        <v>9.3600000000000003E-2</v>
      </c>
      <c r="AE182" s="154">
        <f t="shared" si="55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6"/>
        <v>0.12032530077218917</v>
      </c>
      <c r="AL182" s="17"/>
      <c r="AM182" s="17"/>
      <c r="AN182" s="17"/>
      <c r="AO182" s="17"/>
      <c r="AP182" s="28" t="str">
        <f t="shared" si="57"/>
        <v>20239</v>
      </c>
      <c r="AQ182" s="28" t="str">
        <f t="shared" si="58"/>
        <v>20239RMB</v>
      </c>
      <c r="AR182" s="206" t="str">
        <f t="shared" si="59"/>
        <v>LOCAL SUPPLIER</v>
      </c>
      <c r="AS182" s="22">
        <f t="shared" si="60"/>
        <v>1</v>
      </c>
      <c r="AT182" s="24" t="str">
        <f t="shared" si="61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3"/>
        <v>FY 24/25</v>
      </c>
      <c r="F183" s="23">
        <v>2024</v>
      </c>
      <c r="G183" s="23">
        <v>5</v>
      </c>
      <c r="H183" s="29"/>
      <c r="I183" s="33" t="str">
        <f t="shared" si="51"/>
        <v>Q1</v>
      </c>
      <c r="J183" s="188" t="s">
        <v>3373</v>
      </c>
      <c r="K183" s="29" t="s">
        <v>2562</v>
      </c>
      <c r="L183" s="17" t="s">
        <v>68</v>
      </c>
      <c r="M183" s="22" t="s">
        <v>61</v>
      </c>
      <c r="N183" s="22">
        <v>1</v>
      </c>
      <c r="O183" s="22"/>
      <c r="P183" s="33" t="str">
        <f t="shared" si="35"/>
        <v>MAIN UNIT</v>
      </c>
      <c r="Q183" s="13" t="s">
        <v>62</v>
      </c>
      <c r="R183" s="22" t="s">
        <v>63</v>
      </c>
      <c r="S183" s="22" t="s">
        <v>51</v>
      </c>
      <c r="T183" s="22" t="s">
        <v>326</v>
      </c>
      <c r="U183" s="22" t="s">
        <v>71</v>
      </c>
      <c r="V183" s="22" t="s">
        <v>1011</v>
      </c>
      <c r="W183" s="22" t="s">
        <v>65</v>
      </c>
      <c r="X183" s="30">
        <v>434999</v>
      </c>
      <c r="Y183" s="31" t="str">
        <f t="shared" si="64"/>
        <v>1.13</v>
      </c>
      <c r="Z183" s="18">
        <f t="shared" si="52"/>
        <v>434999</v>
      </c>
      <c r="AA183" s="22">
        <v>1.083</v>
      </c>
      <c r="AB183" s="21">
        <f t="shared" si="53"/>
        <v>416906.12123893807</v>
      </c>
      <c r="AC183" s="25">
        <f t="shared" si="54"/>
        <v>50028.734548672568</v>
      </c>
      <c r="AD183" s="169">
        <v>0.12</v>
      </c>
      <c r="AE183" s="26">
        <f t="shared" si="55"/>
        <v>0</v>
      </c>
      <c r="AF183" s="26" t="str">
        <f>IF(AND(COUNTIFS($J$18:J183,J183)=1,AE183=1),1,"")</f>
        <v/>
      </c>
      <c r="AG183" s="26" t="str">
        <f>IF(C183="","",IF(AND(COUNTIFS($J$18:J183,J183)=1,C183&lt;&gt;""),1,""))</f>
        <v/>
      </c>
      <c r="AH183" s="26" t="str">
        <f>IF(G183="","",IF(AND(COUNTIFS($J$18:J183,J183)=1,G183&lt;&gt;""),1,""))</f>
        <v/>
      </c>
      <c r="AI183" s="27">
        <f t="shared" si="40"/>
        <v>11472879.764601771</v>
      </c>
      <c r="AJ183" s="27">
        <f t="shared" si="41"/>
        <v>2038344.1716106194</v>
      </c>
      <c r="AK183" s="28">
        <f t="shared" si="56"/>
        <v>0.17766630640544948</v>
      </c>
      <c r="AL183" s="24"/>
      <c r="AM183" s="24"/>
      <c r="AN183" s="24"/>
      <c r="AO183" s="24"/>
      <c r="AP183" s="28" t="str">
        <f t="shared" si="57"/>
        <v>20245</v>
      </c>
      <c r="AQ183" s="28" t="str">
        <f t="shared" si="58"/>
        <v>20245RMB</v>
      </c>
      <c r="AR183" s="206" t="str">
        <f t="shared" si="59"/>
        <v>YAMAHA_Mounter</v>
      </c>
      <c r="AS183" s="22">
        <f t="shared" si="60"/>
        <v>2</v>
      </c>
      <c r="AT183" s="24" t="str">
        <f t="shared" si="61"/>
        <v>0-3 months</v>
      </c>
    </row>
    <row r="184" spans="1:46" s="12" customFormat="1">
      <c r="A184" s="33" t="str">
        <f t="shared" si="49"/>
        <v>FY 23/24</v>
      </c>
      <c r="B184" s="152">
        <v>2023</v>
      </c>
      <c r="C184" s="152">
        <v>4</v>
      </c>
      <c r="D184" s="33" t="str">
        <f t="shared" si="50"/>
        <v>Q1</v>
      </c>
      <c r="E184" s="33" t="str">
        <f t="shared" si="63"/>
        <v>FY 24/25</v>
      </c>
      <c r="F184" s="152">
        <v>2024</v>
      </c>
      <c r="G184" s="152">
        <v>5</v>
      </c>
      <c r="H184" s="155"/>
      <c r="I184" s="33" t="str">
        <f t="shared" si="51"/>
        <v>Q1</v>
      </c>
      <c r="J184" s="186" t="s">
        <v>3151</v>
      </c>
      <c r="K184" s="155" t="s">
        <v>3152</v>
      </c>
      <c r="L184" s="17" t="s">
        <v>93</v>
      </c>
      <c r="M184" s="22" t="s">
        <v>61</v>
      </c>
      <c r="N184" s="13">
        <v>1</v>
      </c>
      <c r="O184" s="13"/>
      <c r="P184" s="33" t="str">
        <f t="shared" si="35"/>
        <v>MAIN UNIT</v>
      </c>
      <c r="Q184" s="13" t="s">
        <v>62</v>
      </c>
      <c r="R184" s="13" t="s">
        <v>63</v>
      </c>
      <c r="S184" s="13" t="s">
        <v>53</v>
      </c>
      <c r="T184" s="13" t="s">
        <v>142</v>
      </c>
      <c r="U184" s="13" t="s">
        <v>1078</v>
      </c>
      <c r="V184" s="13" t="s">
        <v>144</v>
      </c>
      <c r="W184" s="13" t="s">
        <v>65</v>
      </c>
      <c r="X184" s="135">
        <v>918000</v>
      </c>
      <c r="Y184" s="157" t="str">
        <f>IF(W184="RMB","1.13", "1")</f>
        <v>1.13</v>
      </c>
      <c r="Z184" s="18">
        <f t="shared" si="52"/>
        <v>918000</v>
      </c>
      <c r="AA184" s="22">
        <v>1.083</v>
      </c>
      <c r="AB184" s="21">
        <f t="shared" si="53"/>
        <v>879817.69911504432</v>
      </c>
      <c r="AC184" s="130">
        <f t="shared" si="54"/>
        <v>105578.12389380531</v>
      </c>
      <c r="AD184" s="169">
        <v>0.12</v>
      </c>
      <c r="AE184" s="154">
        <f t="shared" si="55"/>
        <v>0</v>
      </c>
      <c r="AF184" s="154" t="str">
        <f>IF(AND(COUNTIFS($J$18:J184,J184)=1,AE184=1),1,"")</f>
        <v/>
      </c>
      <c r="AG184" s="154">
        <f>IF(C184="","",IF(AND(COUNTIFS($J$18:J184,J184)=1,C184&lt;&gt;""),1,""))</f>
        <v>1</v>
      </c>
      <c r="AH184" s="154">
        <f>IF(G184="","",IF(AND(COUNTIFS($J$18:J184,J184)=1,G184&lt;&gt;""),1,""))</f>
        <v>1</v>
      </c>
      <c r="AI184" s="19">
        <f t="shared" si="40"/>
        <v>11472879.764601771</v>
      </c>
      <c r="AJ184" s="19">
        <f t="shared" si="41"/>
        <v>2038344.1716106194</v>
      </c>
      <c r="AK184" s="20">
        <f t="shared" si="56"/>
        <v>0.17766630640544948</v>
      </c>
      <c r="AL184" s="17"/>
      <c r="AM184" s="17"/>
      <c r="AN184" s="17"/>
      <c r="AO184" s="17"/>
      <c r="AP184" s="28" t="str">
        <f t="shared" si="57"/>
        <v>20245</v>
      </c>
      <c r="AQ184" s="28" t="str">
        <f t="shared" si="58"/>
        <v>20245RMB</v>
      </c>
      <c r="AR184" s="206" t="str">
        <f t="shared" si="59"/>
        <v>YAMAHA_Mounter</v>
      </c>
      <c r="AS184" s="22">
        <f t="shared" si="60"/>
        <v>13</v>
      </c>
      <c r="AT184" s="24" t="str">
        <f t="shared" si="61"/>
        <v>&gt; 6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1</v>
      </c>
      <c r="D185" s="33" t="str">
        <f t="shared" si="50"/>
        <v>Q4</v>
      </c>
      <c r="E185" s="33" t="s">
        <v>3173</v>
      </c>
      <c r="F185" s="152">
        <v>2024</v>
      </c>
      <c r="G185" s="152">
        <v>5</v>
      </c>
      <c r="H185" s="29"/>
      <c r="I185" s="33" t="str">
        <f t="shared" si="51"/>
        <v>Q1</v>
      </c>
      <c r="J185" s="190" t="s">
        <v>3380</v>
      </c>
      <c r="K185" s="29" t="s">
        <v>3381</v>
      </c>
      <c r="L185" s="17" t="s">
        <v>68</v>
      </c>
      <c r="M185" s="22" t="s">
        <v>61</v>
      </c>
      <c r="N185" s="22">
        <v>1</v>
      </c>
      <c r="O185" s="22"/>
      <c r="P185" s="33" t="str">
        <f t="shared" si="35"/>
        <v>MAIN UNIT</v>
      </c>
      <c r="Q185" s="13" t="s">
        <v>69</v>
      </c>
      <c r="R185" s="22" t="s">
        <v>63</v>
      </c>
      <c r="S185" s="22" t="s">
        <v>50</v>
      </c>
      <c r="T185" s="22" t="s">
        <v>397</v>
      </c>
      <c r="U185" s="22" t="s">
        <v>1769</v>
      </c>
      <c r="V185" s="22" t="s">
        <v>2012</v>
      </c>
      <c r="W185" s="22" t="s">
        <v>65</v>
      </c>
      <c r="X185" s="30">
        <v>650000</v>
      </c>
      <c r="Y185" s="31" t="str">
        <f>IF(W185="","",IF(W185="RMB","1.13", "1"))</f>
        <v>1.13</v>
      </c>
      <c r="Z185" s="18">
        <f t="shared" si="52"/>
        <v>650000</v>
      </c>
      <c r="AA185" s="22">
        <v>1.083</v>
      </c>
      <c r="AB185" s="21">
        <f t="shared" si="53"/>
        <v>622964.60176991147</v>
      </c>
      <c r="AC185" s="25">
        <f t="shared" si="54"/>
        <v>144590.08407079647</v>
      </c>
      <c r="AD185" s="192">
        <v>0.2321</v>
      </c>
      <c r="AE185" s="26">
        <f t="shared" si="55"/>
        <v>1</v>
      </c>
      <c r="AF185" s="26">
        <f>IF(AND(COUNTIFS($J$18:J185,J185)=1,AE185=1),1,"")</f>
        <v>1</v>
      </c>
      <c r="AG185" s="26">
        <f>IF(C185="","",IF(AND(COUNTIFS($J$18:J185,J185)=1,C185&lt;&gt;""),1,""))</f>
        <v>1</v>
      </c>
      <c r="AH185" s="26">
        <f>IF(G185="","",IF(AND(COUNTIFS($J$18:J185,J185)=1,G185&lt;&gt;""),1,""))</f>
        <v>1</v>
      </c>
      <c r="AI185" s="27">
        <f t="shared" si="40"/>
        <v>11472879.764601771</v>
      </c>
      <c r="AJ185" s="27">
        <f t="shared" si="41"/>
        <v>2038344.1716106194</v>
      </c>
      <c r="AK185" s="28">
        <f t="shared" si="56"/>
        <v>0.17766630640544948</v>
      </c>
      <c r="AL185" s="24"/>
      <c r="AM185" s="24"/>
      <c r="AN185" s="24"/>
      <c r="AO185" s="24"/>
      <c r="AP185" s="28" t="str">
        <f t="shared" si="57"/>
        <v>20245</v>
      </c>
      <c r="AQ185" s="28" t="str">
        <f t="shared" si="58"/>
        <v>20245RMB</v>
      </c>
      <c r="AR185" s="206" t="str">
        <f t="shared" si="59"/>
        <v>YAMAHA_Mounter</v>
      </c>
      <c r="AS185" s="22">
        <f t="shared" si="60"/>
        <v>4</v>
      </c>
      <c r="AT185" s="24" t="str">
        <f t="shared" si="61"/>
        <v>4-6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35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2"/>
        <v>875000</v>
      </c>
      <c r="AA186" s="13">
        <v>1.095</v>
      </c>
      <c r="AB186" s="21">
        <f t="shared" si="53"/>
        <v>847898.23008849565</v>
      </c>
      <c r="AC186" s="130">
        <f t="shared" si="54"/>
        <v>80041.592920353985</v>
      </c>
      <c r="AD186" s="169">
        <v>9.4399999999999998E-2</v>
      </c>
      <c r="AE186" s="154">
        <f t="shared" si="55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6"/>
        <v>0.12943785838163113</v>
      </c>
      <c r="AL186" s="17"/>
      <c r="AM186" s="17"/>
      <c r="AN186" s="17"/>
      <c r="AO186" s="17"/>
      <c r="AP186" s="28" t="str">
        <f t="shared" si="57"/>
        <v>20199</v>
      </c>
      <c r="AQ186" s="28" t="str">
        <f t="shared" si="58"/>
        <v>20199RMB</v>
      </c>
      <c r="AR186" s="206" t="str">
        <f t="shared" si="59"/>
        <v>YAMAHA_Mounter</v>
      </c>
      <c r="AS186" s="22">
        <f t="shared" si="60"/>
        <v>0</v>
      </c>
      <c r="AT186" s="24" t="str">
        <f t="shared" si="61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35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2"/>
        <v>615000</v>
      </c>
      <c r="AA187" s="13">
        <v>1.095</v>
      </c>
      <c r="AB187" s="21">
        <f t="shared" si="53"/>
        <v>595951.32743362838</v>
      </c>
      <c r="AC187" s="130">
        <f t="shared" si="54"/>
        <v>56257.805309734518</v>
      </c>
      <c r="AD187" s="169">
        <v>9.4399999999999998E-2</v>
      </c>
      <c r="AE187" s="154">
        <f t="shared" si="55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6"/>
        <v>0.12943785838163113</v>
      </c>
      <c r="AL187" s="17"/>
      <c r="AM187" s="17"/>
      <c r="AN187" s="17"/>
      <c r="AO187" s="17"/>
      <c r="AP187" s="28" t="str">
        <f t="shared" si="57"/>
        <v>20199</v>
      </c>
      <c r="AQ187" s="28" t="str">
        <f t="shared" si="58"/>
        <v>20199RMB</v>
      </c>
      <c r="AR187" s="206" t="str">
        <f t="shared" si="59"/>
        <v>YAMAHA_Mounter</v>
      </c>
      <c r="AS187" s="22">
        <f t="shared" si="60"/>
        <v>0</v>
      </c>
      <c r="AT187" s="24" t="str">
        <f t="shared" si="61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35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2"/>
        <v>592068.32999999996</v>
      </c>
      <c r="AA188" s="13">
        <v>1.2150000000000001</v>
      </c>
      <c r="AB188" s="21">
        <f t="shared" si="53"/>
        <v>636604.44331858412</v>
      </c>
      <c r="AC188" s="130">
        <f t="shared" si="54"/>
        <v>86068.92073667256</v>
      </c>
      <c r="AD188" s="169">
        <v>0.13519999999999999</v>
      </c>
      <c r="AE188" s="154">
        <f t="shared" si="55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6"/>
        <v>0.13679824337660537</v>
      </c>
      <c r="AL188" s="17"/>
      <c r="AM188" s="17"/>
      <c r="AN188" s="17"/>
      <c r="AO188" s="17"/>
      <c r="AP188" s="28" t="str">
        <f t="shared" si="57"/>
        <v>20216</v>
      </c>
      <c r="AQ188" s="28" t="str">
        <f t="shared" si="58"/>
        <v>20216RMB</v>
      </c>
      <c r="AR188" s="206" t="str">
        <f t="shared" si="59"/>
        <v>YAMAHA_Mounter</v>
      </c>
      <c r="AS188" s="22">
        <f t="shared" si="60"/>
        <v>2</v>
      </c>
      <c r="AT188" s="24" t="str">
        <f t="shared" si="61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35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2"/>
        <v>592068.32999999996</v>
      </c>
      <c r="AA189" s="13">
        <v>1.2150000000000001</v>
      </c>
      <c r="AB189" s="21">
        <f t="shared" si="53"/>
        <v>636604.44331858412</v>
      </c>
      <c r="AC189" s="130">
        <f t="shared" si="54"/>
        <v>86068.92073667256</v>
      </c>
      <c r="AD189" s="169">
        <v>0.13519999999999999</v>
      </c>
      <c r="AE189" s="154">
        <f t="shared" si="55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6"/>
        <v>0.13679824337660537</v>
      </c>
      <c r="AL189" s="17"/>
      <c r="AM189" s="17"/>
      <c r="AN189" s="17"/>
      <c r="AO189" s="17"/>
      <c r="AP189" s="28" t="str">
        <f t="shared" si="57"/>
        <v>20216</v>
      </c>
      <c r="AQ189" s="28" t="str">
        <f t="shared" si="58"/>
        <v>20216RMB</v>
      </c>
      <c r="AR189" s="206" t="str">
        <f t="shared" si="59"/>
        <v>YAMAHA_Mounter</v>
      </c>
      <c r="AS189" s="22">
        <f t="shared" si="60"/>
        <v>2</v>
      </c>
      <c r="AT189" s="24" t="str">
        <f t="shared" si="61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35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2"/>
        <v>592068.32999999996</v>
      </c>
      <c r="AA190" s="13">
        <v>1.2150000000000001</v>
      </c>
      <c r="AB190" s="21">
        <f t="shared" si="53"/>
        <v>636604.44331858412</v>
      </c>
      <c r="AC190" s="130">
        <f t="shared" si="54"/>
        <v>86068.92073667256</v>
      </c>
      <c r="AD190" s="169">
        <v>0.13519999999999999</v>
      </c>
      <c r="AE190" s="154">
        <f t="shared" si="55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6"/>
        <v>0.13679824337660537</v>
      </c>
      <c r="AL190" s="17"/>
      <c r="AM190" s="17"/>
      <c r="AN190" s="17"/>
      <c r="AO190" s="17"/>
      <c r="AP190" s="28" t="str">
        <f t="shared" si="57"/>
        <v>20216</v>
      </c>
      <c r="AQ190" s="28" t="str">
        <f t="shared" si="58"/>
        <v>20216RMB</v>
      </c>
      <c r="AR190" s="206" t="str">
        <f t="shared" si="59"/>
        <v>YAMAHA_Mounter</v>
      </c>
      <c r="AS190" s="22">
        <f t="shared" si="60"/>
        <v>2</v>
      </c>
      <c r="AT190" s="24" t="str">
        <f t="shared" si="61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35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2"/>
        <v>1188600</v>
      </c>
      <c r="AA191" s="13">
        <v>1.2150000000000001</v>
      </c>
      <c r="AB191" s="21">
        <f t="shared" si="53"/>
        <v>1278007.96460177</v>
      </c>
      <c r="AC191" s="130">
        <f t="shared" si="54"/>
        <v>275410.71637168142</v>
      </c>
      <c r="AD191" s="169">
        <v>0.2155</v>
      </c>
      <c r="AE191" s="154">
        <f t="shared" si="55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6"/>
        <v>0.13679824337660537</v>
      </c>
      <c r="AL191" s="17"/>
      <c r="AM191" s="17"/>
      <c r="AN191" s="17"/>
      <c r="AO191" s="17"/>
      <c r="AP191" s="28" t="str">
        <f t="shared" si="57"/>
        <v>20216</v>
      </c>
      <c r="AQ191" s="28" t="str">
        <f t="shared" si="58"/>
        <v>20216RMB</v>
      </c>
      <c r="AR191" s="206" t="str">
        <f t="shared" si="59"/>
        <v>PEMTRON</v>
      </c>
      <c r="AS191" s="22">
        <f t="shared" si="60"/>
        <v>3</v>
      </c>
      <c r="AT191" s="24" t="str">
        <f t="shared" si="61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35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2"/>
        <v>574200</v>
      </c>
      <c r="AA192" s="13">
        <v>1.2</v>
      </c>
      <c r="AB192" s="21">
        <f t="shared" si="53"/>
        <v>609769.91150442488</v>
      </c>
      <c r="AC192" s="130">
        <f t="shared" si="54"/>
        <v>112380.5946902655</v>
      </c>
      <c r="AD192" s="169">
        <v>0.18429999999999999</v>
      </c>
      <c r="AE192" s="154">
        <f t="shared" si="55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6"/>
        <v>0.14045056209911663</v>
      </c>
      <c r="AL192" s="17"/>
      <c r="AM192" s="17"/>
      <c r="AN192" s="17"/>
      <c r="AO192" s="17"/>
      <c r="AP192" s="28" t="str">
        <f t="shared" si="57"/>
        <v>20219</v>
      </c>
      <c r="AQ192" s="28" t="str">
        <f t="shared" si="58"/>
        <v>20219RMB</v>
      </c>
      <c r="AR192" s="206" t="str">
        <f t="shared" si="59"/>
        <v>PEMTRON</v>
      </c>
      <c r="AS192" s="22">
        <f t="shared" si="60"/>
        <v>2</v>
      </c>
      <c r="AT192" s="24" t="str">
        <f t="shared" si="61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35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2"/>
        <v>600970</v>
      </c>
      <c r="AA193" s="13">
        <v>1.125</v>
      </c>
      <c r="AB193" s="21">
        <f t="shared" si="53"/>
        <v>582837.28448275861</v>
      </c>
      <c r="AC193" s="130">
        <f t="shared" si="54"/>
        <v>69940.474137931029</v>
      </c>
      <c r="AD193" s="169">
        <v>0.12</v>
      </c>
      <c r="AE193" s="154">
        <f t="shared" si="55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6"/>
        <v>0.10337772614862238</v>
      </c>
      <c r="AL193" s="17"/>
      <c r="AM193" s="17"/>
      <c r="AN193" s="17"/>
      <c r="AO193" s="17"/>
      <c r="AP193" s="28" t="str">
        <f t="shared" si="57"/>
        <v>20191</v>
      </c>
      <c r="AQ193" s="28" t="str">
        <f t="shared" si="58"/>
        <v>20191RMB</v>
      </c>
      <c r="AR193" s="206" t="str">
        <f t="shared" si="59"/>
        <v>YAMAHA_Mounter</v>
      </c>
      <c r="AS193" s="22">
        <f t="shared" si="60"/>
        <v>4</v>
      </c>
      <c r="AT193" s="24" t="str">
        <f t="shared" si="61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ref="P194:P257" si="65">IF(M194="","",IF(AND(N194&gt;0,L194&lt;&gt;""),"MAIN UNIT",IF(AND(O194&gt;0,L194&lt;&gt;""),"SERVICE/ PARTS","C66 SERVICE/OTHERS")))</f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2"/>
        <v>600970</v>
      </c>
      <c r="AA194" s="13">
        <v>1.125</v>
      </c>
      <c r="AB194" s="21">
        <f t="shared" si="53"/>
        <v>582837.28448275861</v>
      </c>
      <c r="AC194" s="130">
        <f t="shared" si="54"/>
        <v>69940.474137931029</v>
      </c>
      <c r="AD194" s="169">
        <v>0.12</v>
      </c>
      <c r="AE194" s="154">
        <f t="shared" si="55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6"/>
        <v>0.10337772614862238</v>
      </c>
      <c r="AL194" s="17"/>
      <c r="AM194" s="17"/>
      <c r="AN194" s="17"/>
      <c r="AO194" s="17"/>
      <c r="AP194" s="28" t="str">
        <f t="shared" si="57"/>
        <v>20191</v>
      </c>
      <c r="AQ194" s="28" t="str">
        <f t="shared" si="58"/>
        <v>20191RMB</v>
      </c>
      <c r="AR194" s="206" t="str">
        <f t="shared" si="59"/>
        <v>YAMAHA_Mounter</v>
      </c>
      <c r="AS194" s="22">
        <f t="shared" si="60"/>
        <v>4</v>
      </c>
      <c r="AT194" s="24" t="str">
        <f t="shared" si="61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65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2"/>
        <v>636666.67000000004</v>
      </c>
      <c r="AA195" s="13">
        <v>1.1850000000000001</v>
      </c>
      <c r="AB195" s="21">
        <f t="shared" si="53"/>
        <v>667654.87075221248</v>
      </c>
      <c r="AC195" s="130">
        <f t="shared" si="54"/>
        <v>60623.062264300897</v>
      </c>
      <c r="AD195" s="169">
        <v>9.0800000000000006E-2</v>
      </c>
      <c r="AE195" s="154">
        <f t="shared" si="55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6"/>
        <v>0.12367325186825515</v>
      </c>
      <c r="AL195" s="17"/>
      <c r="AM195" s="17"/>
      <c r="AN195" s="17"/>
      <c r="AO195" s="17"/>
      <c r="AP195" s="28" t="str">
        <f t="shared" si="57"/>
        <v>20211</v>
      </c>
      <c r="AQ195" s="28" t="str">
        <f t="shared" si="58"/>
        <v>20211RMB</v>
      </c>
      <c r="AR195" s="206" t="str">
        <f t="shared" si="59"/>
        <v>YAMAHA_Mounter</v>
      </c>
      <c r="AS195" s="22">
        <f t="shared" si="60"/>
        <v>2</v>
      </c>
      <c r="AT195" s="24" t="str">
        <f t="shared" si="61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65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2"/>
        <v>636666.67000000004</v>
      </c>
      <c r="AA196" s="13">
        <v>1.1850000000000001</v>
      </c>
      <c r="AB196" s="21">
        <f t="shared" si="53"/>
        <v>667654.87075221248</v>
      </c>
      <c r="AC196" s="130">
        <f t="shared" si="54"/>
        <v>60623.062264300897</v>
      </c>
      <c r="AD196" s="169">
        <v>9.0800000000000006E-2</v>
      </c>
      <c r="AE196" s="154">
        <f t="shared" si="55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6"/>
        <v>0.12367325186825515</v>
      </c>
      <c r="AL196" s="17"/>
      <c r="AM196" s="17"/>
      <c r="AN196" s="17"/>
      <c r="AO196" s="17"/>
      <c r="AP196" s="28" t="str">
        <f t="shared" si="57"/>
        <v>20211</v>
      </c>
      <c r="AQ196" s="28" t="str">
        <f t="shared" si="58"/>
        <v>20211RMB</v>
      </c>
      <c r="AR196" s="206" t="str">
        <f t="shared" si="59"/>
        <v>YAMAHA_Mounter</v>
      </c>
      <c r="AS196" s="22">
        <f t="shared" si="60"/>
        <v>2</v>
      </c>
      <c r="AT196" s="24" t="str">
        <f t="shared" si="61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65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2"/>
        <v>1288000</v>
      </c>
      <c r="AA197" s="13">
        <v>1.163</v>
      </c>
      <c r="AB197" s="21">
        <f t="shared" si="53"/>
        <v>1325614.1592920357</v>
      </c>
      <c r="AC197" s="130">
        <f t="shared" si="54"/>
        <v>172594.96353982307</v>
      </c>
      <c r="AD197" s="169">
        <v>0.13020000000000001</v>
      </c>
      <c r="AE197" s="154">
        <f t="shared" si="55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6"/>
        <v>0.14353007902118958</v>
      </c>
      <c r="AL197" s="17"/>
      <c r="AM197" s="17"/>
      <c r="AN197" s="17"/>
      <c r="AO197" s="17"/>
      <c r="AP197" s="28" t="str">
        <f t="shared" si="57"/>
        <v>20228</v>
      </c>
      <c r="AQ197" s="28" t="str">
        <f t="shared" si="58"/>
        <v>20228RMB</v>
      </c>
      <c r="AR197" s="206" t="str">
        <f t="shared" si="59"/>
        <v>YAMAHA_Mounter</v>
      </c>
      <c r="AS197" s="22">
        <f t="shared" si="60"/>
        <v>3</v>
      </c>
      <c r="AT197" s="24" t="str">
        <f t="shared" si="61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si="65"/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1">IF(X198="","",X198*MAX(O198,N198))</f>
        <v>636666.66</v>
      </c>
      <c r="AA198" s="13">
        <v>1.1850000000000001</v>
      </c>
      <c r="AB198" s="21">
        <f t="shared" ref="AB198:AB261" si="72">IF(AND(R198&lt;&gt;"C66",R198&lt;&gt;""),Z198/Y198*AA198,"")</f>
        <v>667654.86026548687</v>
      </c>
      <c r="AC198" s="130">
        <f t="shared" ref="AC198:AC261" si="73">IF(R198&lt;&gt;"",AB198*AD198,"")</f>
        <v>143812.85690118588</v>
      </c>
      <c r="AD198" s="169">
        <v>0.21540000000000001</v>
      </c>
      <c r="AE198" s="154">
        <f t="shared" ref="AE198:AE261" si="74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5">IF(AJ198&gt;0,AJ198/AI198,"")</f>
        <v>0.12367325186825515</v>
      </c>
      <c r="AL198" s="17"/>
      <c r="AM198" s="17"/>
      <c r="AN198" s="17"/>
      <c r="AO198" s="17"/>
      <c r="AP198" s="28" t="str">
        <f t="shared" ref="AP198:AP261" si="76">IF(F198="","",F198&amp;G198)</f>
        <v>20211</v>
      </c>
      <c r="AQ198" s="28" t="str">
        <f t="shared" ref="AQ198:AQ261" si="77">IF(W198="","",F198&amp;G198&amp;W198)</f>
        <v>20211RMB</v>
      </c>
      <c r="AR198" s="206" t="str">
        <f t="shared" ref="AR198:AR261" si="78">IFERROR(IF(AND(M198="YAMAHA", R198="C28"), "YAMAHA_Non_Mounter", IF(AND(M198="YAMAHA", R198="C49"), "YAMAHA_Mounter", M198)),"")</f>
        <v>YAMAHA_Non_Mounter</v>
      </c>
      <c r="AS198" s="22">
        <f t="shared" ref="AS198:AS261" si="79">IFERROR(IF(OR(G198="TBA", G198=""), "", DATEDIF(DATE(B198, C198, 1), DATE(F198, G198, 1), "M")),"")</f>
        <v>2</v>
      </c>
      <c r="AT198" s="24" t="str">
        <f t="shared" ref="AT198:AT261" si="80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65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1">IF(W199="","",IF(W199="RMB","1.13", "1"))</f>
        <v>1.13</v>
      </c>
      <c r="Z199" s="18">
        <f t="shared" si="71"/>
        <v>455000</v>
      </c>
      <c r="AA199" s="13">
        <v>1.08</v>
      </c>
      <c r="AB199" s="21">
        <f t="shared" si="72"/>
        <v>434867.25663716818</v>
      </c>
      <c r="AC199" s="130">
        <f t="shared" si="73"/>
        <v>57924.318584070803</v>
      </c>
      <c r="AD199" s="169">
        <v>0.13320000000000001</v>
      </c>
      <c r="AE199" s="154">
        <f t="shared" si="74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5"/>
        <v>0.15166211427595458</v>
      </c>
      <c r="AL199" s="17"/>
      <c r="AM199" s="17"/>
      <c r="AN199" s="17"/>
      <c r="AO199" s="17"/>
      <c r="AP199" s="28" t="str">
        <f t="shared" si="76"/>
        <v>202211</v>
      </c>
      <c r="AQ199" s="28" t="str">
        <f t="shared" si="77"/>
        <v>202211RMB</v>
      </c>
      <c r="AR199" s="206" t="str">
        <f t="shared" si="78"/>
        <v>YAMAHA_Non_Mounter</v>
      </c>
      <c r="AS199" s="22">
        <f t="shared" si="79"/>
        <v>2</v>
      </c>
      <c r="AT199" s="24" t="str">
        <f t="shared" si="80"/>
        <v>0-3 months</v>
      </c>
    </row>
    <row r="200" spans="1:46" s="12" customFormat="1" ht="28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2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65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1"/>
        <v>1.13</v>
      </c>
      <c r="Z200" s="18">
        <f t="shared" si="71"/>
        <v>9834</v>
      </c>
      <c r="AA200" s="13">
        <v>1.07</v>
      </c>
      <c r="AB200" s="21">
        <f t="shared" si="72"/>
        <v>9311.840707964604</v>
      </c>
      <c r="AC200" s="130">
        <f t="shared" si="73"/>
        <v>874.38184247787626</v>
      </c>
      <c r="AD200" s="169">
        <v>9.3899999999999997E-2</v>
      </c>
      <c r="AE200" s="154">
        <f t="shared" si="74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5"/>
        <v>0.12272431622253084</v>
      </c>
      <c r="AL200" s="17"/>
      <c r="AM200" s="17"/>
      <c r="AN200" s="17"/>
      <c r="AO200" s="17"/>
      <c r="AP200" s="28" t="str">
        <f t="shared" si="76"/>
        <v>202311</v>
      </c>
      <c r="AQ200" s="28" t="str">
        <f t="shared" si="77"/>
        <v>202311RMB</v>
      </c>
      <c r="AR200" s="206" t="str">
        <f t="shared" si="78"/>
        <v>YAMAHA_Mounter</v>
      </c>
      <c r="AS200" s="22">
        <f t="shared" si="79"/>
        <v>0</v>
      </c>
      <c r="AT200" s="24" t="str">
        <f t="shared" si="80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2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65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1"/>
        <v>1.13</v>
      </c>
      <c r="Z201" s="18">
        <f t="shared" si="71"/>
        <v>330000</v>
      </c>
      <c r="AA201" s="13">
        <v>1.1000000000000001</v>
      </c>
      <c r="AB201" s="21">
        <f t="shared" si="72"/>
        <v>321238.9380530974</v>
      </c>
      <c r="AC201" s="130">
        <f t="shared" si="73"/>
        <v>39994.247787610628</v>
      </c>
      <c r="AD201" s="169">
        <v>0.1245</v>
      </c>
      <c r="AE201" s="154">
        <f t="shared" si="74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21575119.674336284</v>
      </c>
      <c r="AJ201" s="19">
        <f t="shared" si="67"/>
        <v>2556656.3801490259</v>
      </c>
      <c r="AK201" s="20">
        <f t="shared" si="75"/>
        <v>0.1185002177851269</v>
      </c>
      <c r="AL201" s="17"/>
      <c r="AM201" s="17"/>
      <c r="AN201" s="17"/>
      <c r="AO201" s="17"/>
      <c r="AP201" s="28" t="str">
        <f t="shared" si="76"/>
        <v>20241</v>
      </c>
      <c r="AQ201" s="28" t="str">
        <f t="shared" si="77"/>
        <v>20241RMB</v>
      </c>
      <c r="AR201" s="206" t="str">
        <f t="shared" si="78"/>
        <v>YAMAHA_Non_Mounter</v>
      </c>
      <c r="AS201" s="22">
        <f t="shared" si="79"/>
        <v>2</v>
      </c>
      <c r="AT201" s="24" t="str">
        <f t="shared" si="80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2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65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1"/>
        <v>1.13</v>
      </c>
      <c r="Z202" s="18">
        <f t="shared" si="71"/>
        <v>330000</v>
      </c>
      <c r="AA202" s="13">
        <v>1.1000000000000001</v>
      </c>
      <c r="AB202" s="21">
        <f t="shared" si="72"/>
        <v>321238.9380530974</v>
      </c>
      <c r="AC202" s="130">
        <f t="shared" si="73"/>
        <v>39994.247787610628</v>
      </c>
      <c r="AD202" s="169">
        <v>0.1245</v>
      </c>
      <c r="AE202" s="154">
        <f t="shared" si="74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21575119.674336284</v>
      </c>
      <c r="AJ202" s="19">
        <f t="shared" si="67"/>
        <v>2556656.3801490259</v>
      </c>
      <c r="AK202" s="20">
        <f t="shared" si="75"/>
        <v>0.1185002177851269</v>
      </c>
      <c r="AL202" s="17"/>
      <c r="AM202" s="17"/>
      <c r="AN202" s="17"/>
      <c r="AO202" s="17"/>
      <c r="AP202" s="28" t="str">
        <f t="shared" si="76"/>
        <v>20241</v>
      </c>
      <c r="AQ202" s="28" t="str">
        <f t="shared" si="77"/>
        <v>20241RMB</v>
      </c>
      <c r="AR202" s="206" t="str">
        <f t="shared" si="78"/>
        <v>YAMAHA_Non_Mounter</v>
      </c>
      <c r="AS202" s="22">
        <f t="shared" si="79"/>
        <v>2</v>
      </c>
      <c r="AT202" s="24" t="str">
        <f t="shared" si="80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2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65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1"/>
        <v>1.13</v>
      </c>
      <c r="Z203" s="18">
        <f t="shared" si="71"/>
        <v>626000</v>
      </c>
      <c r="AA203" s="22">
        <v>1.095</v>
      </c>
      <c r="AB203" s="21">
        <f t="shared" si="72"/>
        <v>606610.61946902657</v>
      </c>
      <c r="AC203" s="25">
        <f t="shared" si="73"/>
        <v>36214.653982300886</v>
      </c>
      <c r="AD203" s="169">
        <v>5.9700000000000003E-2</v>
      </c>
      <c r="AE203" s="26">
        <f t="shared" si="74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5"/>
        <v>0.11947637120066472</v>
      </c>
      <c r="AL203" s="24"/>
      <c r="AM203" s="24"/>
      <c r="AN203" s="24"/>
      <c r="AO203" s="24"/>
      <c r="AP203" s="28" t="str">
        <f t="shared" si="76"/>
        <v>202312</v>
      </c>
      <c r="AQ203" s="28" t="str">
        <f t="shared" si="77"/>
        <v>202312RMB</v>
      </c>
      <c r="AR203" s="206" t="str">
        <f t="shared" si="78"/>
        <v>YAMAHA_Mounter</v>
      </c>
      <c r="AS203" s="22">
        <f t="shared" si="79"/>
        <v>0</v>
      </c>
      <c r="AT203" s="24" t="str">
        <f t="shared" si="80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2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65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1"/>
        <v>1.13</v>
      </c>
      <c r="Z204" s="18">
        <f t="shared" si="71"/>
        <v>570100</v>
      </c>
      <c r="AA204" s="22">
        <v>1.095</v>
      </c>
      <c r="AB204" s="21">
        <f t="shared" si="72"/>
        <v>552442.03539823007</v>
      </c>
      <c r="AC204" s="25">
        <f t="shared" si="73"/>
        <v>32980.789513274336</v>
      </c>
      <c r="AD204" s="169">
        <v>5.9700000000000003E-2</v>
      </c>
      <c r="AE204" s="26">
        <f t="shared" si="74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5"/>
        <v>0.11947637120066472</v>
      </c>
      <c r="AL204" s="24"/>
      <c r="AM204" s="24"/>
      <c r="AN204" s="24"/>
      <c r="AO204" s="24"/>
      <c r="AP204" s="28" t="str">
        <f t="shared" si="76"/>
        <v>202312</v>
      </c>
      <c r="AQ204" s="28" t="str">
        <f t="shared" si="77"/>
        <v>202312RMB</v>
      </c>
      <c r="AR204" s="206" t="str">
        <f t="shared" si="78"/>
        <v>YAMAHA_Mounter</v>
      </c>
      <c r="AS204" s="22">
        <f t="shared" si="79"/>
        <v>0</v>
      </c>
      <c r="AT204" s="24" t="str">
        <f t="shared" si="80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2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90" t="s">
        <v>3374</v>
      </c>
      <c r="K205" s="29" t="s">
        <v>580</v>
      </c>
      <c r="L205" s="17" t="s">
        <v>68</v>
      </c>
      <c r="M205" s="22" t="s">
        <v>61</v>
      </c>
      <c r="N205" s="22">
        <v>1</v>
      </c>
      <c r="O205" s="22"/>
      <c r="P205" s="33" t="str">
        <f t="shared" si="65"/>
        <v>MAIN UNIT</v>
      </c>
      <c r="Q205" s="13" t="s">
        <v>62</v>
      </c>
      <c r="R205" s="22" t="s">
        <v>63</v>
      </c>
      <c r="S205" s="22" t="s">
        <v>51</v>
      </c>
      <c r="T205" s="22" t="s">
        <v>102</v>
      </c>
      <c r="U205" s="22" t="s">
        <v>71</v>
      </c>
      <c r="V205" s="22" t="s">
        <v>103</v>
      </c>
      <c r="W205" s="22" t="s">
        <v>65</v>
      </c>
      <c r="X205" s="30">
        <v>415000</v>
      </c>
      <c r="Y205" s="31" t="str">
        <f t="shared" si="81"/>
        <v>1.13</v>
      </c>
      <c r="Z205" s="18">
        <f t="shared" si="71"/>
        <v>415000</v>
      </c>
      <c r="AA205" s="22">
        <v>1.083</v>
      </c>
      <c r="AB205" s="21">
        <f t="shared" si="72"/>
        <v>397738.93805309734</v>
      </c>
      <c r="AC205" s="25">
        <f t="shared" si="73"/>
        <v>32535.045132743362</v>
      </c>
      <c r="AD205" s="192">
        <v>8.1799999999999998E-2</v>
      </c>
      <c r="AE205" s="26">
        <f t="shared" si="74"/>
        <v>0</v>
      </c>
      <c r="AF205" s="26" t="str">
        <f>IF(AND(COUNTIFS($J$18:J205,J205)=1,AE205=1),1,"")</f>
        <v/>
      </c>
      <c r="AG205" s="26">
        <f>IF(C205="","",IF(AND(COUNTIFS($J$18:J205,J205)=1,C205&lt;&gt;""),1,""))</f>
        <v>1</v>
      </c>
      <c r="AH205" s="26">
        <f>IF(G205="","",IF(AND(COUNTIFS($J$18:J205,J205)=1,G205&lt;&gt;""),1,""))</f>
        <v>1</v>
      </c>
      <c r="AI205" s="27">
        <f t="shared" si="66"/>
        <v>20319282.700884953</v>
      </c>
      <c r="AJ205" s="27">
        <f t="shared" si="67"/>
        <v>2408851.9638623013</v>
      </c>
      <c r="AK205" s="28">
        <f t="shared" si="75"/>
        <v>0.11855004919821259</v>
      </c>
      <c r="AL205" s="24"/>
      <c r="AM205" s="24"/>
      <c r="AN205" s="24"/>
      <c r="AO205" s="24"/>
      <c r="AP205" s="28" t="str">
        <f t="shared" si="76"/>
        <v>20244</v>
      </c>
      <c r="AQ205" s="28" t="str">
        <f t="shared" si="77"/>
        <v>20244RMB</v>
      </c>
      <c r="AR205" s="206" t="str">
        <f t="shared" si="78"/>
        <v>YAMAHA_Mounter</v>
      </c>
      <c r="AS205" s="22">
        <f t="shared" si="79"/>
        <v>1</v>
      </c>
      <c r="AT205" s="24" t="str">
        <f t="shared" si="80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2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3403</v>
      </c>
      <c r="K206" s="29" t="s">
        <v>580</v>
      </c>
      <c r="L206" s="17" t="s">
        <v>68</v>
      </c>
      <c r="M206" s="22" t="s">
        <v>61</v>
      </c>
      <c r="N206" s="22">
        <v>1</v>
      </c>
      <c r="O206" s="22"/>
      <c r="P206" s="33" t="str">
        <f t="shared" si="65"/>
        <v>MAIN UNIT</v>
      </c>
      <c r="Q206" s="13" t="s">
        <v>62</v>
      </c>
      <c r="R206" s="22" t="s">
        <v>63</v>
      </c>
      <c r="S206" s="22" t="s">
        <v>51</v>
      </c>
      <c r="T206" s="22" t="s">
        <v>102</v>
      </c>
      <c r="U206" s="22" t="s">
        <v>71</v>
      </c>
      <c r="V206" s="22" t="s">
        <v>103</v>
      </c>
      <c r="W206" s="22" t="s">
        <v>65</v>
      </c>
      <c r="X206" s="30">
        <v>395000</v>
      </c>
      <c r="Y206" s="31" t="str">
        <f t="shared" si="81"/>
        <v>1.13</v>
      </c>
      <c r="Z206" s="18">
        <f t="shared" si="71"/>
        <v>395000</v>
      </c>
      <c r="AA206" s="22">
        <v>1.083</v>
      </c>
      <c r="AB206" s="21">
        <f t="shared" si="72"/>
        <v>378570.79646017699</v>
      </c>
      <c r="AC206" s="25">
        <f t="shared" si="73"/>
        <v>23206.389823008849</v>
      </c>
      <c r="AD206" s="169">
        <v>6.13E-2</v>
      </c>
      <c r="AE206" s="26">
        <f t="shared" si="74"/>
        <v>0</v>
      </c>
      <c r="AF206" s="26" t="str">
        <f>IF(AND(COUNTIFS($J$18:J206,J206)=1,AE206=1),1,"")</f>
        <v/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5"/>
        <v>0.11855004919821259</v>
      </c>
      <c r="AL206" s="24"/>
      <c r="AM206" s="24"/>
      <c r="AN206" s="24"/>
      <c r="AO206" s="24"/>
      <c r="AP206" s="28" t="str">
        <f t="shared" si="76"/>
        <v>20244</v>
      </c>
      <c r="AQ206" s="28" t="str">
        <f t="shared" si="77"/>
        <v>20244RMB</v>
      </c>
      <c r="AR206" s="206" t="str">
        <f t="shared" si="78"/>
        <v>YAMAHA_Mounter</v>
      </c>
      <c r="AS206" s="22">
        <f t="shared" si="79"/>
        <v>1</v>
      </c>
      <c r="AT206" s="24" t="str">
        <f t="shared" si="80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65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1"/>
        <v>1020000</v>
      </c>
      <c r="AA207" s="13">
        <v>1.17</v>
      </c>
      <c r="AB207" s="21">
        <f t="shared" si="72"/>
        <v>1056106.1946902655</v>
      </c>
      <c r="AC207" s="130">
        <f t="shared" si="73"/>
        <v>160316.92035398228</v>
      </c>
      <c r="AD207" s="169">
        <v>0.15179999999999999</v>
      </c>
      <c r="AE207" s="154">
        <f t="shared" si="74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5"/>
        <v>0.14613378412599562</v>
      </c>
      <c r="AL207" s="17"/>
      <c r="AM207" s="17"/>
      <c r="AN207" s="17"/>
      <c r="AO207" s="17"/>
      <c r="AP207" s="28" t="str">
        <f t="shared" si="76"/>
        <v>20227</v>
      </c>
      <c r="AQ207" s="28" t="str">
        <f t="shared" si="77"/>
        <v>20227RMB</v>
      </c>
      <c r="AR207" s="206" t="str">
        <f t="shared" si="78"/>
        <v>YAMAHA_Mounter</v>
      </c>
      <c r="AS207" s="22">
        <f t="shared" si="79"/>
        <v>1</v>
      </c>
      <c r="AT207" s="24" t="str">
        <f t="shared" si="80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65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1"/>
        <v>719140</v>
      </c>
      <c r="AA208" s="13">
        <v>1.095</v>
      </c>
      <c r="AB208" s="21">
        <f t="shared" si="72"/>
        <v>696865.75221238937</v>
      </c>
      <c r="AC208" s="130">
        <f t="shared" si="73"/>
        <v>89477.56258407078</v>
      </c>
      <c r="AD208" s="169">
        <v>0.12839999999999999</v>
      </c>
      <c r="AE208" s="154">
        <f t="shared" si="74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5"/>
        <v>0.13676937682988152</v>
      </c>
      <c r="AL208" s="17"/>
      <c r="AM208" s="17"/>
      <c r="AN208" s="17"/>
      <c r="AO208" s="17"/>
      <c r="AP208" s="28" t="str">
        <f t="shared" si="76"/>
        <v>20204</v>
      </c>
      <c r="AQ208" s="28" t="str">
        <f t="shared" si="77"/>
        <v>20204RMB</v>
      </c>
      <c r="AR208" s="206" t="str">
        <f t="shared" si="78"/>
        <v>YAMAHA_Mounter</v>
      </c>
      <c r="AS208" s="22">
        <f t="shared" si="79"/>
        <v>5</v>
      </c>
      <c r="AT208" s="24" t="str">
        <f t="shared" si="80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65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1"/>
        <v>1000000</v>
      </c>
      <c r="AA209" s="13">
        <v>1.095</v>
      </c>
      <c r="AB209" s="21">
        <f t="shared" si="72"/>
        <v>969026.54867256642</v>
      </c>
      <c r="AC209" s="130">
        <f t="shared" si="73"/>
        <v>124423.00884955752</v>
      </c>
      <c r="AD209" s="169">
        <v>0.12839999999999999</v>
      </c>
      <c r="AE209" s="154">
        <f t="shared" si="74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5"/>
        <v>0.13676937682988152</v>
      </c>
      <c r="AL209" s="17"/>
      <c r="AM209" s="17"/>
      <c r="AN209" s="17"/>
      <c r="AO209" s="17"/>
      <c r="AP209" s="28" t="str">
        <f t="shared" si="76"/>
        <v>20204</v>
      </c>
      <c r="AQ209" s="28" t="str">
        <f t="shared" si="77"/>
        <v>20204RMB</v>
      </c>
      <c r="AR209" s="206" t="str">
        <f t="shared" si="78"/>
        <v>YAMAHA_Mounter</v>
      </c>
      <c r="AS209" s="22">
        <f t="shared" si="79"/>
        <v>5</v>
      </c>
      <c r="AT209" s="24" t="str">
        <f t="shared" si="80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65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1"/>
        <v>595000</v>
      </c>
      <c r="AA210" s="13">
        <v>1.23</v>
      </c>
      <c r="AB210" s="21">
        <f t="shared" si="72"/>
        <v>625512.8205128205</v>
      </c>
      <c r="AC210" s="130">
        <f t="shared" si="73"/>
        <v>79189.923076923063</v>
      </c>
      <c r="AD210" s="169">
        <v>0.12659999999999999</v>
      </c>
      <c r="AE210" s="154">
        <f t="shared" si="74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5"/>
        <v>0.13214055370740244</v>
      </c>
      <c r="AL210" s="17"/>
      <c r="AM210" s="17"/>
      <c r="AN210" s="17"/>
      <c r="AO210" s="17"/>
      <c r="AP210" s="28" t="str">
        <f t="shared" si="76"/>
        <v>20184</v>
      </c>
      <c r="AQ210" s="28" t="str">
        <f t="shared" si="77"/>
        <v>20184RMB</v>
      </c>
      <c r="AR210" s="206" t="str">
        <f t="shared" si="78"/>
        <v>YAMAHA_Mounter</v>
      </c>
      <c r="AS210" s="22">
        <f t="shared" si="79"/>
        <v>0</v>
      </c>
      <c r="AT210" s="24" t="str">
        <f t="shared" si="80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65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1"/>
        <v>540000</v>
      </c>
      <c r="AA211" s="13">
        <v>1.155</v>
      </c>
      <c r="AB211" s="21">
        <f t="shared" si="72"/>
        <v>551946.90265486739</v>
      </c>
      <c r="AC211" s="130">
        <f t="shared" si="73"/>
        <v>67723.884955752234</v>
      </c>
      <c r="AD211" s="169">
        <v>0.1227</v>
      </c>
      <c r="AE211" s="154">
        <f t="shared" si="74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5"/>
        <v>0.12496215328889679</v>
      </c>
      <c r="AL211" s="17"/>
      <c r="AM211" s="17"/>
      <c r="AN211" s="17"/>
      <c r="AO211" s="17"/>
      <c r="AP211" s="28" t="str">
        <f t="shared" si="76"/>
        <v>202011</v>
      </c>
      <c r="AQ211" s="28" t="str">
        <f t="shared" si="77"/>
        <v>202011RMB</v>
      </c>
      <c r="AR211" s="206" t="str">
        <f t="shared" si="78"/>
        <v>YAMAHA_Mounter</v>
      </c>
      <c r="AS211" s="22">
        <f t="shared" si="79"/>
        <v>0</v>
      </c>
      <c r="AT211" s="24" t="str">
        <f t="shared" si="80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65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1"/>
        <v>540000</v>
      </c>
      <c r="AA212" s="13">
        <v>1.1850000000000001</v>
      </c>
      <c r="AB212" s="21">
        <f t="shared" si="72"/>
        <v>566283.18584070809</v>
      </c>
      <c r="AC212" s="130">
        <f t="shared" si="73"/>
        <v>69482.94690265489</v>
      </c>
      <c r="AD212" s="169">
        <v>0.1227</v>
      </c>
      <c r="AE212" s="154">
        <f t="shared" si="74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5"/>
        <v>0.12367325186825515</v>
      </c>
      <c r="AL212" s="17"/>
      <c r="AM212" s="17"/>
      <c r="AN212" s="17"/>
      <c r="AO212" s="17"/>
      <c r="AP212" s="28" t="str">
        <f t="shared" si="76"/>
        <v>20211</v>
      </c>
      <c r="AQ212" s="28" t="str">
        <f t="shared" si="77"/>
        <v>20211RMB</v>
      </c>
      <c r="AR212" s="206" t="str">
        <f t="shared" si="78"/>
        <v>YAMAHA_Mounter</v>
      </c>
      <c r="AS212" s="22">
        <f t="shared" si="79"/>
        <v>2</v>
      </c>
      <c r="AT212" s="24" t="str">
        <f t="shared" si="80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65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1"/>
        <v>540000</v>
      </c>
      <c r="AA213" s="13">
        <v>1.1850000000000001</v>
      </c>
      <c r="AB213" s="21">
        <f t="shared" si="72"/>
        <v>566283.18584070809</v>
      </c>
      <c r="AC213" s="130">
        <f t="shared" si="73"/>
        <v>69482.94690265489</v>
      </c>
      <c r="AD213" s="169">
        <v>0.1227</v>
      </c>
      <c r="AE213" s="154">
        <f t="shared" si="74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5"/>
        <v>0.12367325186825515</v>
      </c>
      <c r="AL213" s="17"/>
      <c r="AM213" s="17"/>
      <c r="AN213" s="17"/>
      <c r="AO213" s="17"/>
      <c r="AP213" s="28" t="str">
        <f t="shared" si="76"/>
        <v>20211</v>
      </c>
      <c r="AQ213" s="28" t="str">
        <f t="shared" si="77"/>
        <v>20211RMB</v>
      </c>
      <c r="AR213" s="206" t="str">
        <f t="shared" si="78"/>
        <v>YAMAHA_Mounter</v>
      </c>
      <c r="AS213" s="22">
        <f t="shared" si="79"/>
        <v>2</v>
      </c>
      <c r="AT213" s="24" t="str">
        <f t="shared" si="80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65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1"/>
        <v>600000</v>
      </c>
      <c r="AA214" s="13">
        <v>1.135</v>
      </c>
      <c r="AB214" s="21">
        <f t="shared" si="72"/>
        <v>602654.8672566372</v>
      </c>
      <c r="AC214" s="130">
        <f t="shared" si="73"/>
        <v>81720</v>
      </c>
      <c r="AD214" s="169">
        <v>0.1356</v>
      </c>
      <c r="AE214" s="154">
        <f t="shared" si="74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5"/>
        <v>0.11467191436184473</v>
      </c>
      <c r="AL214" s="17"/>
      <c r="AM214" s="17"/>
      <c r="AN214" s="17"/>
      <c r="AO214" s="17"/>
      <c r="AP214" s="28" t="str">
        <f t="shared" si="76"/>
        <v>20196</v>
      </c>
      <c r="AQ214" s="28" t="str">
        <f t="shared" si="77"/>
        <v>20196RMB</v>
      </c>
      <c r="AR214" s="206" t="str">
        <f t="shared" si="78"/>
        <v>YAMAHA_Mounter</v>
      </c>
      <c r="AS214" s="22">
        <f t="shared" si="79"/>
        <v>0</v>
      </c>
      <c r="AT214" s="24" t="str">
        <f t="shared" si="80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65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1"/>
        <v>600000</v>
      </c>
      <c r="AA215" s="13">
        <v>1.135</v>
      </c>
      <c r="AB215" s="21">
        <f t="shared" si="72"/>
        <v>602654.8672566372</v>
      </c>
      <c r="AC215" s="130">
        <f t="shared" si="73"/>
        <v>81720</v>
      </c>
      <c r="AD215" s="169">
        <v>0.1356</v>
      </c>
      <c r="AE215" s="154">
        <f t="shared" si="74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5"/>
        <v>0.11467191436184473</v>
      </c>
      <c r="AL215" s="17"/>
      <c r="AM215" s="17"/>
      <c r="AN215" s="17"/>
      <c r="AO215" s="17"/>
      <c r="AP215" s="28" t="str">
        <f t="shared" si="76"/>
        <v>20196</v>
      </c>
      <c r="AQ215" s="28" t="str">
        <f t="shared" si="77"/>
        <v>20196RMB</v>
      </c>
      <c r="AR215" s="206" t="str">
        <f t="shared" si="78"/>
        <v>YAMAHA_Mounter</v>
      </c>
      <c r="AS215" s="22">
        <f t="shared" si="79"/>
        <v>0</v>
      </c>
      <c r="AT215" s="24" t="str">
        <f t="shared" si="80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65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1"/>
        <v>59605</v>
      </c>
      <c r="AA216" s="13">
        <v>1.07</v>
      </c>
      <c r="AB216" s="21">
        <f t="shared" si="72"/>
        <v>56440.132743362839</v>
      </c>
      <c r="AC216" s="130">
        <f t="shared" si="73"/>
        <v>10119.715800884956</v>
      </c>
      <c r="AD216" s="169">
        <v>0.17929999999999999</v>
      </c>
      <c r="AE216" s="154">
        <f t="shared" si="74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5"/>
        <v>0.12100160608478869</v>
      </c>
      <c r="AL216" s="17"/>
      <c r="AM216" s="17"/>
      <c r="AN216" s="17"/>
      <c r="AO216" s="17"/>
      <c r="AP216" s="28" t="str">
        <f t="shared" si="76"/>
        <v>202310</v>
      </c>
      <c r="AQ216" s="28" t="str">
        <f t="shared" si="77"/>
        <v>202310RMB</v>
      </c>
      <c r="AR216" s="206" t="str">
        <f t="shared" si="78"/>
        <v>SOLDERSTAR</v>
      </c>
      <c r="AS216" s="22">
        <f t="shared" si="79"/>
        <v>1</v>
      </c>
      <c r="AT216" s="24" t="str">
        <f t="shared" si="80"/>
        <v>0-3 months</v>
      </c>
    </row>
    <row r="217" spans="1:46" s="12" customFormat="1">
      <c r="A217" s="33" t="str">
        <f t="shared" si="68"/>
        <v>FY 24/25</v>
      </c>
      <c r="B217" s="23">
        <v>2024</v>
      </c>
      <c r="C217" s="152">
        <v>4</v>
      </c>
      <c r="D217" s="33" t="str">
        <f t="shared" si="69"/>
        <v>Q1</v>
      </c>
      <c r="E217" s="33" t="s">
        <v>3173</v>
      </c>
      <c r="F217" s="23">
        <v>2024</v>
      </c>
      <c r="G217" s="23">
        <v>5</v>
      </c>
      <c r="H217" s="29"/>
      <c r="I217" s="33" t="str">
        <f t="shared" si="70"/>
        <v>Q1</v>
      </c>
      <c r="J217" s="190" t="s">
        <v>3384</v>
      </c>
      <c r="K217" s="29" t="s">
        <v>3385</v>
      </c>
      <c r="L217" s="17" t="s">
        <v>93</v>
      </c>
      <c r="M217" s="22" t="s">
        <v>61</v>
      </c>
      <c r="N217" s="22">
        <v>1</v>
      </c>
      <c r="O217" s="22"/>
      <c r="P217" s="33" t="str">
        <f t="shared" si="65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79</v>
      </c>
      <c r="V217" s="22" t="s">
        <v>312</v>
      </c>
      <c r="W217" s="22" t="s">
        <v>110</v>
      </c>
      <c r="X217" s="30">
        <v>12000000</v>
      </c>
      <c r="Y217" s="31" t="str">
        <f>IF(W217="","",IF(W217="RMB","1.13", "1"))</f>
        <v>1</v>
      </c>
      <c r="Z217" s="18">
        <f t="shared" si="71"/>
        <v>12000000</v>
      </c>
      <c r="AA217" s="22">
        <v>5.0999999999999997E-2</v>
      </c>
      <c r="AB217" s="21">
        <f t="shared" si="72"/>
        <v>612000</v>
      </c>
      <c r="AC217" s="25">
        <f t="shared" si="73"/>
        <v>50428.800000000003</v>
      </c>
      <c r="AD217" s="192">
        <v>8.2400000000000001E-2</v>
      </c>
      <c r="AE217" s="26">
        <f t="shared" si="74"/>
        <v>1</v>
      </c>
      <c r="AF217" s="26">
        <f>IF(AND(COUNTIFS($J$18:J217,J217)=1,AE217=1),1,"")</f>
        <v>1</v>
      </c>
      <c r="AG217" s="26">
        <f>IF(C217="","",IF(AND(COUNTIFS($J$18:J217,J217)=1,C217&lt;&gt;""),1,""))</f>
        <v>1</v>
      </c>
      <c r="AH217" s="26">
        <f>IF(G217="","",IF(AND(COUNTIFS($J$18:J217,J217)=1,G217&lt;&gt;""),1,""))</f>
        <v>1</v>
      </c>
      <c r="AI217" s="27">
        <f t="shared" si="66"/>
        <v>11472879.764601771</v>
      </c>
      <c r="AJ217" s="27">
        <f t="shared" si="67"/>
        <v>2038344.1716106194</v>
      </c>
      <c r="AK217" s="28">
        <f t="shared" si="75"/>
        <v>0.17766630640544948</v>
      </c>
      <c r="AL217" s="24"/>
      <c r="AM217" s="24"/>
      <c r="AN217" s="24"/>
      <c r="AO217" s="24"/>
      <c r="AP217" s="28" t="str">
        <f t="shared" si="76"/>
        <v>20245</v>
      </c>
      <c r="AQ217" s="28" t="str">
        <f t="shared" si="77"/>
        <v>20245JPY</v>
      </c>
      <c r="AR217" s="206" t="str">
        <f t="shared" si="78"/>
        <v>YAMAHA_Mounter</v>
      </c>
      <c r="AS217" s="22">
        <f t="shared" si="79"/>
        <v>1</v>
      </c>
      <c r="AT217" s="24" t="str">
        <f t="shared" si="80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65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1"/>
        <v>800000</v>
      </c>
      <c r="AA218" s="13">
        <v>1.1950000000000001</v>
      </c>
      <c r="AB218" s="21">
        <f t="shared" si="72"/>
        <v>846017.69911504444</v>
      </c>
      <c r="AC218" s="130">
        <f t="shared" si="73"/>
        <v>96107.610619469051</v>
      </c>
      <c r="AD218" s="169">
        <v>0.11360000000000001</v>
      </c>
      <c r="AE218" s="154">
        <f t="shared" si="74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5"/>
        <v>0.141215124388995</v>
      </c>
      <c r="AL218" s="17"/>
      <c r="AM218" s="17"/>
      <c r="AN218" s="17"/>
      <c r="AO218" s="17"/>
      <c r="AP218" s="28" t="str">
        <f t="shared" si="76"/>
        <v>20215</v>
      </c>
      <c r="AQ218" s="28" t="str">
        <f t="shared" si="77"/>
        <v>20215RMB</v>
      </c>
      <c r="AR218" s="206" t="str">
        <f t="shared" si="78"/>
        <v>YAMAHA_Mounter</v>
      </c>
      <c r="AS218" s="22">
        <f t="shared" si="79"/>
        <v>1</v>
      </c>
      <c r="AT218" s="24" t="str">
        <f t="shared" si="80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65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1"/>
        <v>700000</v>
      </c>
      <c r="AA219" s="13">
        <v>1.1950000000000001</v>
      </c>
      <c r="AB219" s="21">
        <f t="shared" si="72"/>
        <v>740265.48672566377</v>
      </c>
      <c r="AC219" s="130">
        <f t="shared" si="73"/>
        <v>84094.159292035401</v>
      </c>
      <c r="AD219" s="169">
        <v>0.11360000000000001</v>
      </c>
      <c r="AE219" s="154">
        <f t="shared" si="74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5"/>
        <v>0.141215124388995</v>
      </c>
      <c r="AL219" s="17"/>
      <c r="AM219" s="17"/>
      <c r="AN219" s="17"/>
      <c r="AO219" s="17"/>
      <c r="AP219" s="28" t="str">
        <f t="shared" si="76"/>
        <v>20215</v>
      </c>
      <c r="AQ219" s="28" t="str">
        <f t="shared" si="77"/>
        <v>20215RMB</v>
      </c>
      <c r="AR219" s="206" t="str">
        <f t="shared" si="78"/>
        <v>YAMAHA_Mounter</v>
      </c>
      <c r="AS219" s="22">
        <f t="shared" si="79"/>
        <v>1</v>
      </c>
      <c r="AT219" s="24" t="str">
        <f t="shared" si="80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65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1"/>
        <v>835000</v>
      </c>
      <c r="AA220" s="13">
        <v>1.163</v>
      </c>
      <c r="AB220" s="21">
        <f t="shared" si="72"/>
        <v>859384.95575221244</v>
      </c>
      <c r="AC220" s="130">
        <f t="shared" si="73"/>
        <v>111891.92123893807</v>
      </c>
      <c r="AD220" s="169">
        <v>0.13020000000000001</v>
      </c>
      <c r="AE220" s="154">
        <f t="shared" si="74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5"/>
        <v>0.14353007902118958</v>
      </c>
      <c r="AL220" s="17"/>
      <c r="AM220" s="17"/>
      <c r="AN220" s="17"/>
      <c r="AO220" s="17"/>
      <c r="AP220" s="28" t="str">
        <f t="shared" si="76"/>
        <v>20228</v>
      </c>
      <c r="AQ220" s="28" t="str">
        <f t="shared" si="77"/>
        <v>20228RMB</v>
      </c>
      <c r="AR220" s="206" t="str">
        <f t="shared" si="78"/>
        <v>YAMAHA_Mounter</v>
      </c>
      <c r="AS220" s="22">
        <f t="shared" si="79"/>
        <v>2</v>
      </c>
      <c r="AT220" s="24" t="str">
        <f t="shared" si="80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65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1"/>
        <v>743000</v>
      </c>
      <c r="AA221" s="22">
        <v>1.095</v>
      </c>
      <c r="AB221" s="21">
        <f t="shared" si="72"/>
        <v>719986.72566371679</v>
      </c>
      <c r="AC221" s="25">
        <f t="shared" si="73"/>
        <v>66670.770796460172</v>
      </c>
      <c r="AD221" s="169">
        <v>9.2600000000000002E-2</v>
      </c>
      <c r="AE221" s="26">
        <f t="shared" si="74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5"/>
        <v>0.11947637120066472</v>
      </c>
      <c r="AL221" s="24"/>
      <c r="AM221" s="24"/>
      <c r="AN221" s="24"/>
      <c r="AO221" s="24"/>
      <c r="AP221" s="28" t="str">
        <f t="shared" si="76"/>
        <v>202312</v>
      </c>
      <c r="AQ221" s="28" t="str">
        <f t="shared" si="77"/>
        <v>202312RMB</v>
      </c>
      <c r="AR221" s="206" t="str">
        <f t="shared" si="78"/>
        <v>YAMAHA_Mounter</v>
      </c>
      <c r="AS221" s="22">
        <f t="shared" si="79"/>
        <v>0</v>
      </c>
      <c r="AT221" s="24" t="str">
        <f t="shared" si="80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65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1"/>
        <v>330000</v>
      </c>
      <c r="AA222" s="22">
        <v>1.0900000000000001</v>
      </c>
      <c r="AB222" s="21">
        <f t="shared" si="72"/>
        <v>318318.5840707965</v>
      </c>
      <c r="AC222" s="25">
        <f t="shared" si="73"/>
        <v>59557.407079646022</v>
      </c>
      <c r="AD222" s="209">
        <v>0.18709999999999999</v>
      </c>
      <c r="AE222" s="26">
        <f t="shared" si="74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21194662.454867262</v>
      </c>
      <c r="AJ222" s="27">
        <f t="shared" si="67"/>
        <v>2981431.5970757701</v>
      </c>
      <c r="AK222" s="28">
        <f t="shared" si="75"/>
        <v>0.14066898226968919</v>
      </c>
      <c r="AL222" s="24"/>
      <c r="AM222" s="24"/>
      <c r="AN222" s="24"/>
      <c r="AO222" s="24"/>
      <c r="AP222" s="28" t="str">
        <f t="shared" si="76"/>
        <v>20243</v>
      </c>
      <c r="AQ222" s="28" t="str">
        <f t="shared" si="77"/>
        <v>20243RMB</v>
      </c>
      <c r="AR222" s="206" t="str">
        <f t="shared" si="78"/>
        <v>YAMAHA_Non_Mounter</v>
      </c>
      <c r="AS222" s="22">
        <f t="shared" si="79"/>
        <v>0</v>
      </c>
      <c r="AT222" s="24" t="str">
        <f t="shared" si="80"/>
        <v>0-3 months</v>
      </c>
    </row>
    <row r="223" spans="1:46" s="12" customFormat="1">
      <c r="A223" s="33" t="str">
        <f t="shared" si="68"/>
        <v>FY 24/25</v>
      </c>
      <c r="B223" s="23">
        <v>2024</v>
      </c>
      <c r="C223" s="152">
        <v>4</v>
      </c>
      <c r="D223" s="33" t="str">
        <f t="shared" si="69"/>
        <v>Q1</v>
      </c>
      <c r="E223" s="33" t="s">
        <v>3173</v>
      </c>
      <c r="F223" s="23">
        <v>2024</v>
      </c>
      <c r="G223" s="23">
        <v>5</v>
      </c>
      <c r="H223" s="29"/>
      <c r="I223" s="33" t="str">
        <f t="shared" si="70"/>
        <v>Q1</v>
      </c>
      <c r="J223" s="190" t="s">
        <v>3384</v>
      </c>
      <c r="K223" s="29" t="s">
        <v>3385</v>
      </c>
      <c r="L223" s="17" t="s">
        <v>68</v>
      </c>
      <c r="M223" s="22" t="s">
        <v>61</v>
      </c>
      <c r="N223" s="22">
        <v>1</v>
      </c>
      <c r="O223" s="22"/>
      <c r="P223" s="33" t="str">
        <f t="shared" si="65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79</v>
      </c>
      <c r="V223" s="22" t="s">
        <v>312</v>
      </c>
      <c r="W223" s="22" t="s">
        <v>110</v>
      </c>
      <c r="X223" s="30">
        <v>9300000</v>
      </c>
      <c r="Y223" s="31" t="str">
        <f>IF(W223="","",IF(W223="RMB","1.13", "1"))</f>
        <v>1</v>
      </c>
      <c r="Z223" s="18">
        <f t="shared" si="71"/>
        <v>9300000</v>
      </c>
      <c r="AA223" s="22">
        <v>5.0999999999999997E-2</v>
      </c>
      <c r="AB223" s="21">
        <f t="shared" si="72"/>
        <v>474299.99999999994</v>
      </c>
      <c r="AC223" s="25">
        <f t="shared" si="73"/>
        <v>39082.319999999992</v>
      </c>
      <c r="AD223" s="192">
        <v>8.2400000000000001E-2</v>
      </c>
      <c r="AE223" s="26">
        <f t="shared" si="74"/>
        <v>1</v>
      </c>
      <c r="AF223" s="26" t="str">
        <f>IF(AND(COUNTIFS($J$18:J223,J223)=1,AE223=1),1,"")</f>
        <v/>
      </c>
      <c r="AG223" s="26" t="str">
        <f>IF(C223="","",IF(AND(COUNTIFS($J$18:J223,J223)=1,C223&lt;&gt;""),1,""))</f>
        <v/>
      </c>
      <c r="AH223" s="26" t="str">
        <f>IF(G223="","",IF(AND(COUNTIFS($J$18:J223,J223)=1,G223&lt;&gt;""),1,""))</f>
        <v/>
      </c>
      <c r="AI223" s="27">
        <f t="shared" si="66"/>
        <v>11472879.764601771</v>
      </c>
      <c r="AJ223" s="27">
        <f t="shared" si="67"/>
        <v>2038344.1716106194</v>
      </c>
      <c r="AK223" s="28">
        <f t="shared" si="75"/>
        <v>0.17766630640544948</v>
      </c>
      <c r="AL223" s="24"/>
      <c r="AM223" s="24"/>
      <c r="AN223" s="24"/>
      <c r="AO223" s="24"/>
      <c r="AP223" s="28" t="str">
        <f t="shared" si="76"/>
        <v>20245</v>
      </c>
      <c r="AQ223" s="28" t="str">
        <f t="shared" si="77"/>
        <v>20245JPY</v>
      </c>
      <c r="AR223" s="206" t="str">
        <f t="shared" si="78"/>
        <v>YAMAHA_Mounter</v>
      </c>
      <c r="AS223" s="22">
        <f t="shared" si="79"/>
        <v>1</v>
      </c>
      <c r="AT223" s="24" t="str">
        <f t="shared" si="80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65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1"/>
        <v>655000</v>
      </c>
      <c r="AA224" s="13">
        <v>1.135</v>
      </c>
      <c r="AB224" s="21">
        <f t="shared" si="72"/>
        <v>657898.23008849565</v>
      </c>
      <c r="AC224" s="130">
        <f t="shared" si="73"/>
        <v>53487.126106194693</v>
      </c>
      <c r="AD224" s="169">
        <v>8.1299999999999997E-2</v>
      </c>
      <c r="AE224" s="154">
        <f t="shared" si="74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5"/>
        <v>0.10468355339185161</v>
      </c>
      <c r="AL224" s="17"/>
      <c r="AM224" s="17"/>
      <c r="AN224" s="17"/>
      <c r="AO224" s="17"/>
      <c r="AP224" s="28" t="str">
        <f t="shared" si="76"/>
        <v>20198</v>
      </c>
      <c r="AQ224" s="28" t="str">
        <f t="shared" si="77"/>
        <v>20198RMB</v>
      </c>
      <c r="AR224" s="206" t="str">
        <f t="shared" si="78"/>
        <v>YAMAHA_Mounter</v>
      </c>
      <c r="AS224" s="22">
        <f t="shared" si="79"/>
        <v>0</v>
      </c>
      <c r="AT224" s="24" t="str">
        <f t="shared" si="80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65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1"/>
        <v>304020</v>
      </c>
      <c r="AA225" s="13">
        <v>1.1000000000000001</v>
      </c>
      <c r="AB225" s="21">
        <f t="shared" si="72"/>
        <v>295948.67256637174</v>
      </c>
      <c r="AC225" s="130">
        <f t="shared" si="73"/>
        <v>84907.674159292044</v>
      </c>
      <c r="AD225" s="169">
        <v>0.28689999999999999</v>
      </c>
      <c r="AE225" s="154">
        <f t="shared" si="74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5"/>
        <v>0.1737753782153679</v>
      </c>
      <c r="AL225" s="17"/>
      <c r="AM225" s="17"/>
      <c r="AN225" s="17"/>
      <c r="AO225" s="17"/>
      <c r="AP225" s="28" t="str">
        <f t="shared" si="76"/>
        <v>202210</v>
      </c>
      <c r="AQ225" s="28" t="str">
        <f t="shared" si="77"/>
        <v>202210RMB</v>
      </c>
      <c r="AR225" s="206" t="str">
        <f t="shared" si="78"/>
        <v>HELLER</v>
      </c>
      <c r="AS225" s="22">
        <f t="shared" si="79"/>
        <v>5</v>
      </c>
      <c r="AT225" s="24" t="str">
        <f t="shared" si="80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65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1"/>
        <v>520000</v>
      </c>
      <c r="AA226" s="13">
        <v>1.105</v>
      </c>
      <c r="AB226" s="21">
        <f t="shared" si="72"/>
        <v>508495.57522123895</v>
      </c>
      <c r="AC226" s="130">
        <f t="shared" si="73"/>
        <v>73986.106194690263</v>
      </c>
      <c r="AD226" s="169">
        <v>0.14549999999999999</v>
      </c>
      <c r="AE226" s="154">
        <f t="shared" si="74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5"/>
        <v>0.1413884065477731</v>
      </c>
      <c r="AL226" s="17"/>
      <c r="AM226" s="17"/>
      <c r="AN226" s="17"/>
      <c r="AO226" s="17"/>
      <c r="AP226" s="28" t="str">
        <f t="shared" si="76"/>
        <v>20236</v>
      </c>
      <c r="AQ226" s="28" t="str">
        <f t="shared" si="77"/>
        <v>20236RMB</v>
      </c>
      <c r="AR226" s="206" t="str">
        <f t="shared" si="78"/>
        <v>YAMAHA_Mounter</v>
      </c>
      <c r="AS226" s="22">
        <f t="shared" si="79"/>
        <v>2</v>
      </c>
      <c r="AT226" s="24" t="str">
        <f t="shared" si="80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65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1"/>
        <v>520000</v>
      </c>
      <c r="AA227" s="13">
        <v>1.105</v>
      </c>
      <c r="AB227" s="21">
        <f t="shared" si="72"/>
        <v>508495.57522123895</v>
      </c>
      <c r="AC227" s="130">
        <f t="shared" si="73"/>
        <v>73986.106194690263</v>
      </c>
      <c r="AD227" s="169">
        <v>0.14549999999999999</v>
      </c>
      <c r="AE227" s="154">
        <f t="shared" si="74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5"/>
        <v>0.1413884065477731</v>
      </c>
      <c r="AL227" s="17"/>
      <c r="AM227" s="17"/>
      <c r="AN227" s="17"/>
      <c r="AO227" s="17"/>
      <c r="AP227" s="28" t="str">
        <f t="shared" si="76"/>
        <v>20236</v>
      </c>
      <c r="AQ227" s="28" t="str">
        <f t="shared" si="77"/>
        <v>20236RMB</v>
      </c>
      <c r="AR227" s="206" t="str">
        <f t="shared" si="78"/>
        <v>YAMAHA_Mounter</v>
      </c>
      <c r="AS227" s="22">
        <f t="shared" si="79"/>
        <v>2</v>
      </c>
      <c r="AT227" s="24" t="str">
        <f t="shared" si="80"/>
        <v>0-3 months</v>
      </c>
    </row>
    <row r="228" spans="1:46" s="12" customFormat="1" ht="17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65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1"/>
        <v>650603</v>
      </c>
      <c r="AA228" s="13">
        <v>1.1499999999999999</v>
      </c>
      <c r="AB228" s="21">
        <f t="shared" si="72"/>
        <v>644994.35344827583</v>
      </c>
      <c r="AC228" s="130">
        <f t="shared" si="73"/>
        <v>77399.322413793096</v>
      </c>
      <c r="AD228" s="169">
        <v>0.12</v>
      </c>
      <c r="AE228" s="154">
        <f t="shared" si="74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5"/>
        <v>0.12817220069617921</v>
      </c>
      <c r="AL228" s="17"/>
      <c r="AM228" s="17"/>
      <c r="AN228" s="17"/>
      <c r="AO228" s="17"/>
      <c r="AP228" s="28" t="str">
        <f t="shared" si="76"/>
        <v>20188</v>
      </c>
      <c r="AQ228" s="28" t="str">
        <f t="shared" si="77"/>
        <v>20188RMB</v>
      </c>
      <c r="AR228" s="206" t="str">
        <f t="shared" si="78"/>
        <v>HELLER</v>
      </c>
      <c r="AS228" s="22">
        <f t="shared" si="79"/>
        <v>2</v>
      </c>
      <c r="AT228" s="24" t="str">
        <f t="shared" si="80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65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1"/>
        <v>72000</v>
      </c>
      <c r="AA229" s="13">
        <v>1.081</v>
      </c>
      <c r="AB229" s="21">
        <f t="shared" si="72"/>
        <v>68877.876106194701</v>
      </c>
      <c r="AC229" s="130">
        <f t="shared" si="73"/>
        <v>16875.079646017701</v>
      </c>
      <c r="AD229" s="169">
        <v>0.245</v>
      </c>
      <c r="AE229" s="154">
        <f t="shared" si="74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5"/>
        <v>0.12327425538313459</v>
      </c>
      <c r="AL229" s="17"/>
      <c r="AM229" s="17"/>
      <c r="AN229" s="17"/>
      <c r="AO229" s="17"/>
      <c r="AP229" s="28" t="str">
        <f t="shared" si="76"/>
        <v>20237</v>
      </c>
      <c r="AQ229" s="28" t="str">
        <f t="shared" si="77"/>
        <v>20237RMB</v>
      </c>
      <c r="AR229" s="206" t="str">
        <f t="shared" si="78"/>
        <v>SOLDERSTAR</v>
      </c>
      <c r="AS229" s="22">
        <f t="shared" si="79"/>
        <v>2</v>
      </c>
      <c r="AT229" s="24" t="str">
        <f t="shared" si="80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65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3">IF(W230="RMB","1.13", "1")</f>
        <v>1.13</v>
      </c>
      <c r="Z230" s="18">
        <f t="shared" si="71"/>
        <v>657000</v>
      </c>
      <c r="AA230" s="13">
        <v>1.2</v>
      </c>
      <c r="AB230" s="21">
        <f t="shared" si="72"/>
        <v>697699.11504424782</v>
      </c>
      <c r="AC230" s="130">
        <f t="shared" si="73"/>
        <v>90491.575221238949</v>
      </c>
      <c r="AD230" s="169">
        <v>0.12970000000000001</v>
      </c>
      <c r="AE230" s="154">
        <f t="shared" si="74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5"/>
        <v>0.12565028406083667</v>
      </c>
      <c r="AL230" s="17"/>
      <c r="AM230" s="17"/>
      <c r="AN230" s="17"/>
      <c r="AO230" s="17"/>
      <c r="AP230" s="28" t="str">
        <f t="shared" si="76"/>
        <v>20213</v>
      </c>
      <c r="AQ230" s="28" t="str">
        <f t="shared" si="77"/>
        <v>20213RMB</v>
      </c>
      <c r="AR230" s="206" t="str">
        <f t="shared" si="78"/>
        <v>YAMAHA_Mounter</v>
      </c>
      <c r="AS230" s="22">
        <f t="shared" si="79"/>
        <v>2</v>
      </c>
      <c r="AT230" s="24" t="str">
        <f t="shared" si="80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65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3"/>
        <v>1.13</v>
      </c>
      <c r="Z231" s="18">
        <f t="shared" si="71"/>
        <v>560000</v>
      </c>
      <c r="AA231" s="13">
        <v>1.135</v>
      </c>
      <c r="AB231" s="21">
        <f t="shared" si="72"/>
        <v>562477.8761061948</v>
      </c>
      <c r="AC231" s="130">
        <f t="shared" si="73"/>
        <v>64684.955752212409</v>
      </c>
      <c r="AD231" s="169">
        <v>0.115</v>
      </c>
      <c r="AE231" s="154">
        <f t="shared" si="74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5"/>
        <v>0.1677639900359808</v>
      </c>
      <c r="AL231" s="17"/>
      <c r="AM231" s="17"/>
      <c r="AN231" s="17"/>
      <c r="AO231" s="17"/>
      <c r="AP231" s="28" t="str">
        <f t="shared" si="76"/>
        <v>20235</v>
      </c>
      <c r="AQ231" s="28" t="str">
        <f t="shared" si="77"/>
        <v>20235RMB</v>
      </c>
      <c r="AR231" s="206" t="str">
        <f t="shared" si="78"/>
        <v>YAMAHA_Mounter</v>
      </c>
      <c r="AS231" s="22">
        <f t="shared" si="79"/>
        <v>2</v>
      </c>
      <c r="AT231" s="24" t="str">
        <f t="shared" si="80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65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3"/>
        <v>1.13</v>
      </c>
      <c r="Z232" s="18">
        <f t="shared" si="71"/>
        <v>560000</v>
      </c>
      <c r="AA232" s="13">
        <v>1.135</v>
      </c>
      <c r="AB232" s="21">
        <f t="shared" si="72"/>
        <v>562477.8761061948</v>
      </c>
      <c r="AC232" s="130">
        <f t="shared" si="73"/>
        <v>64684.955752212409</v>
      </c>
      <c r="AD232" s="169">
        <v>0.115</v>
      </c>
      <c r="AE232" s="154">
        <f t="shared" si="74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5"/>
        <v>0.1677639900359808</v>
      </c>
      <c r="AL232" s="17"/>
      <c r="AM232" s="17"/>
      <c r="AN232" s="17"/>
      <c r="AO232" s="17"/>
      <c r="AP232" s="28" t="str">
        <f t="shared" si="76"/>
        <v>20235</v>
      </c>
      <c r="AQ232" s="28" t="str">
        <f t="shared" si="77"/>
        <v>20235RMB</v>
      </c>
      <c r="AR232" s="206" t="str">
        <f t="shared" si="78"/>
        <v>YAMAHA_Mounter</v>
      </c>
      <c r="AS232" s="22">
        <f t="shared" si="79"/>
        <v>2</v>
      </c>
      <c r="AT232" s="24" t="str">
        <f t="shared" si="80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65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3"/>
        <v>1.13</v>
      </c>
      <c r="Z233" s="18">
        <f t="shared" si="71"/>
        <v>560000</v>
      </c>
      <c r="AA233" s="13">
        <v>1.135</v>
      </c>
      <c r="AB233" s="21">
        <f t="shared" si="72"/>
        <v>562477.8761061948</v>
      </c>
      <c r="AC233" s="130">
        <f t="shared" si="73"/>
        <v>64684.955752212409</v>
      </c>
      <c r="AD233" s="169">
        <v>0.115</v>
      </c>
      <c r="AE233" s="154">
        <f t="shared" si="74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5"/>
        <v>0.1677639900359808</v>
      </c>
      <c r="AL233" s="17"/>
      <c r="AM233" s="17"/>
      <c r="AN233" s="17"/>
      <c r="AO233" s="17"/>
      <c r="AP233" s="28" t="str">
        <f t="shared" si="76"/>
        <v>20235</v>
      </c>
      <c r="AQ233" s="28" t="str">
        <f t="shared" si="77"/>
        <v>20235RMB</v>
      </c>
      <c r="AR233" s="206" t="str">
        <f t="shared" si="78"/>
        <v>YAMAHA_Mounter</v>
      </c>
      <c r="AS233" s="22">
        <f t="shared" si="79"/>
        <v>2</v>
      </c>
      <c r="AT233" s="24" t="str">
        <f t="shared" si="80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65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3"/>
        <v>1.13</v>
      </c>
      <c r="Z234" s="18">
        <f t="shared" si="71"/>
        <v>800000</v>
      </c>
      <c r="AA234" s="13">
        <v>1.135</v>
      </c>
      <c r="AB234" s="21">
        <f t="shared" si="72"/>
        <v>803539.82300884963</v>
      </c>
      <c r="AC234" s="130">
        <f t="shared" si="73"/>
        <v>92407.079646017708</v>
      </c>
      <c r="AD234" s="169">
        <v>0.115</v>
      </c>
      <c r="AE234" s="154">
        <f t="shared" si="74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5"/>
        <v>0.1677639900359808</v>
      </c>
      <c r="AL234" s="17"/>
      <c r="AM234" s="17"/>
      <c r="AN234" s="17"/>
      <c r="AO234" s="17"/>
      <c r="AP234" s="28" t="str">
        <f t="shared" si="76"/>
        <v>20235</v>
      </c>
      <c r="AQ234" s="28" t="str">
        <f t="shared" si="77"/>
        <v>20235RMB</v>
      </c>
      <c r="AR234" s="206" t="str">
        <f t="shared" si="78"/>
        <v>YAMAHA_Mounter</v>
      </c>
      <c r="AS234" s="22">
        <f t="shared" si="79"/>
        <v>2</v>
      </c>
      <c r="AT234" s="24" t="str">
        <f t="shared" si="80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65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3"/>
        <v>1.13</v>
      </c>
      <c r="Z235" s="18">
        <f t="shared" si="71"/>
        <v>515000</v>
      </c>
      <c r="AA235" s="13">
        <v>1.1299999999999999</v>
      </c>
      <c r="AB235" s="21">
        <f t="shared" si="72"/>
        <v>515000</v>
      </c>
      <c r="AC235" s="130">
        <f t="shared" si="73"/>
        <v>56083.5</v>
      </c>
      <c r="AD235" s="169">
        <v>0.1089</v>
      </c>
      <c r="AE235" s="154">
        <f t="shared" si="74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5"/>
        <v>0.14030125523967318</v>
      </c>
      <c r="AL235" s="17"/>
      <c r="AM235" s="17"/>
      <c r="AN235" s="17"/>
      <c r="AO235" s="17"/>
      <c r="AP235" s="28" t="str">
        <f t="shared" si="76"/>
        <v>20233</v>
      </c>
      <c r="AQ235" s="28" t="str">
        <f t="shared" si="77"/>
        <v>20233RMB</v>
      </c>
      <c r="AR235" s="206" t="str">
        <f t="shared" si="78"/>
        <v>YAMAHA_Mounter</v>
      </c>
      <c r="AS235" s="22">
        <f t="shared" si="79"/>
        <v>3</v>
      </c>
      <c r="AT235" s="24" t="str">
        <f t="shared" si="80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65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3"/>
        <v>1.13</v>
      </c>
      <c r="Z236" s="18">
        <f t="shared" si="71"/>
        <v>515000</v>
      </c>
      <c r="AA236" s="13">
        <v>1.1299999999999999</v>
      </c>
      <c r="AB236" s="21">
        <f t="shared" si="72"/>
        <v>515000</v>
      </c>
      <c r="AC236" s="130">
        <f t="shared" si="73"/>
        <v>56083.5</v>
      </c>
      <c r="AD236" s="169">
        <v>0.1089</v>
      </c>
      <c r="AE236" s="154">
        <f t="shared" si="74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5"/>
        <v>0.14030125523967318</v>
      </c>
      <c r="AL236" s="17"/>
      <c r="AM236" s="17"/>
      <c r="AN236" s="17"/>
      <c r="AO236" s="17"/>
      <c r="AP236" s="28" t="str">
        <f t="shared" si="76"/>
        <v>20233</v>
      </c>
      <c r="AQ236" s="28" t="str">
        <f t="shared" si="77"/>
        <v>20233RMB</v>
      </c>
      <c r="AR236" s="206" t="str">
        <f t="shared" si="78"/>
        <v>YAMAHA_Mounter</v>
      </c>
      <c r="AS236" s="22">
        <f t="shared" si="79"/>
        <v>3</v>
      </c>
      <c r="AT236" s="24" t="str">
        <f t="shared" si="80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65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3"/>
        <v>1.13</v>
      </c>
      <c r="Z237" s="18">
        <f t="shared" si="71"/>
        <v>325000</v>
      </c>
      <c r="AA237" s="13">
        <v>1.22</v>
      </c>
      <c r="AB237" s="21">
        <f t="shared" si="72"/>
        <v>350884.95575221238</v>
      </c>
      <c r="AC237" s="130">
        <f t="shared" si="73"/>
        <v>62387.345132743365</v>
      </c>
      <c r="AD237" s="169">
        <v>0.17780000000000001</v>
      </c>
      <c r="AE237" s="154">
        <f t="shared" si="74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5"/>
        <v>0.12968149510667554</v>
      </c>
      <c r="AL237" s="17"/>
      <c r="AM237" s="17"/>
      <c r="AN237" s="17"/>
      <c r="AO237" s="17"/>
      <c r="AP237" s="28" t="str">
        <f t="shared" si="76"/>
        <v>20221</v>
      </c>
      <c r="AQ237" s="28" t="str">
        <f t="shared" si="77"/>
        <v>20221RMB</v>
      </c>
      <c r="AR237" s="206" t="str">
        <f t="shared" si="78"/>
        <v>HELLER</v>
      </c>
      <c r="AS237" s="22">
        <f t="shared" si="79"/>
        <v>2</v>
      </c>
      <c r="AT237" s="24" t="str">
        <f t="shared" si="80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65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1"/>
        <v>9000000</v>
      </c>
      <c r="AA238" s="13">
        <v>7.2099999999999997E-2</v>
      </c>
      <c r="AB238" s="21">
        <f t="shared" si="72"/>
        <v>648900</v>
      </c>
      <c r="AC238" s="130">
        <f t="shared" si="73"/>
        <v>73844.819999999992</v>
      </c>
      <c r="AD238" s="169">
        <v>0.1138</v>
      </c>
      <c r="AE238" s="154">
        <f t="shared" si="74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5"/>
        <v>0.12637545201985867</v>
      </c>
      <c r="AL238" s="17"/>
      <c r="AM238" s="17"/>
      <c r="AN238" s="17"/>
      <c r="AO238" s="17"/>
      <c r="AP238" s="28" t="str">
        <f t="shared" si="76"/>
        <v>20189</v>
      </c>
      <c r="AQ238" s="28" t="str">
        <f t="shared" si="77"/>
        <v>20189JPY</v>
      </c>
      <c r="AR238" s="206" t="str">
        <f t="shared" si="78"/>
        <v>YAMAHA_Mounter</v>
      </c>
      <c r="AS238" s="22">
        <f t="shared" si="79"/>
        <v>5</v>
      </c>
      <c r="AT238" s="24" t="str">
        <f t="shared" si="80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65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1"/>
        <v>28000000</v>
      </c>
      <c r="AA239" s="13">
        <v>7.2099999999999997E-2</v>
      </c>
      <c r="AB239" s="21">
        <f t="shared" si="72"/>
        <v>2018800</v>
      </c>
      <c r="AC239" s="130">
        <f t="shared" si="73"/>
        <v>229739.44</v>
      </c>
      <c r="AD239" s="169">
        <v>0.1138</v>
      </c>
      <c r="AE239" s="154">
        <f t="shared" si="74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5"/>
        <v>0.12637545201985867</v>
      </c>
      <c r="AL239" s="17"/>
      <c r="AM239" s="17"/>
      <c r="AN239" s="17"/>
      <c r="AO239" s="17"/>
      <c r="AP239" s="28" t="str">
        <f t="shared" si="76"/>
        <v>20189</v>
      </c>
      <c r="AQ239" s="28" t="str">
        <f t="shared" si="77"/>
        <v>20189JPY</v>
      </c>
      <c r="AR239" s="206" t="str">
        <f t="shared" si="78"/>
        <v>YAMAHA_Mounter</v>
      </c>
      <c r="AS239" s="22">
        <f t="shared" si="79"/>
        <v>5</v>
      </c>
      <c r="AT239" s="24" t="str">
        <f t="shared" si="80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65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1"/>
        <v>18000000</v>
      </c>
      <c r="AA240" s="13">
        <v>7.51E-2</v>
      </c>
      <c r="AB240" s="21">
        <f t="shared" si="72"/>
        <v>1351800</v>
      </c>
      <c r="AC240" s="130">
        <f t="shared" si="73"/>
        <v>162216</v>
      </c>
      <c r="AD240" s="169">
        <v>0.12</v>
      </c>
      <c r="AE240" s="154">
        <f t="shared" si="74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477651199.57437885</v>
      </c>
      <c r="AJ240" s="19">
        <f t="shared" si="67"/>
        <v>56918800.518691957</v>
      </c>
      <c r="AK240" s="20">
        <f t="shared" si="75"/>
        <v>0.11916394341605475</v>
      </c>
      <c r="AL240" s="17"/>
      <c r="AM240" s="17"/>
      <c r="AN240" s="17"/>
      <c r="AO240" s="17"/>
      <c r="AP240" s="28" t="str">
        <f t="shared" si="76"/>
        <v>CancelCancel</v>
      </c>
      <c r="AQ240" s="28" t="str">
        <f t="shared" si="77"/>
        <v>CancelCancelJPY</v>
      </c>
      <c r="AR240" s="206" t="str">
        <f t="shared" si="78"/>
        <v>YAMAHA_Mounter</v>
      </c>
      <c r="AS240" s="22" t="str">
        <f t="shared" si="79"/>
        <v/>
      </c>
      <c r="AT240" s="24" t="str">
        <f t="shared" si="80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65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1"/>
        <v>56000000</v>
      </c>
      <c r="AA241" s="13">
        <v>7.0199999999999999E-2</v>
      </c>
      <c r="AB241" s="21">
        <f t="shared" si="72"/>
        <v>3931200</v>
      </c>
      <c r="AC241" s="130">
        <f t="shared" si="73"/>
        <v>471744</v>
      </c>
      <c r="AD241" s="169">
        <v>0.12</v>
      </c>
      <c r="AE241" s="154">
        <f t="shared" si="74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477651199.57437885</v>
      </c>
      <c r="AJ241" s="19">
        <f t="shared" si="67"/>
        <v>56918800.518691957</v>
      </c>
      <c r="AK241" s="20">
        <f t="shared" si="75"/>
        <v>0.11916394341605475</v>
      </c>
      <c r="AL241" s="17"/>
      <c r="AM241" s="17"/>
      <c r="AN241" s="17"/>
      <c r="AO241" s="17"/>
      <c r="AP241" s="28" t="str">
        <f t="shared" si="76"/>
        <v>CancelCancel</v>
      </c>
      <c r="AQ241" s="28" t="str">
        <f t="shared" si="77"/>
        <v>CancelCancelJPY</v>
      </c>
      <c r="AR241" s="206" t="str">
        <f t="shared" si="78"/>
        <v>YAMAHA_Mounter</v>
      </c>
      <c r="AS241" s="22" t="str">
        <f t="shared" si="79"/>
        <v/>
      </c>
      <c r="AT241" s="24" t="str">
        <f t="shared" si="80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65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1"/>
        <v>555000</v>
      </c>
      <c r="AA242" s="13">
        <v>1.175</v>
      </c>
      <c r="AB242" s="21">
        <f t="shared" si="72"/>
        <v>577101.76991150447</v>
      </c>
      <c r="AC242" s="130">
        <f t="shared" si="73"/>
        <v>75831.172566371679</v>
      </c>
      <c r="AD242" s="169">
        <v>0.13139999999999999</v>
      </c>
      <c r="AE242" s="154">
        <f t="shared" si="74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5"/>
        <v>0.1214858095774925</v>
      </c>
      <c r="AL242" s="17"/>
      <c r="AM242" s="17"/>
      <c r="AN242" s="17"/>
      <c r="AO242" s="17"/>
      <c r="AP242" s="28" t="str">
        <f t="shared" si="76"/>
        <v>202012</v>
      </c>
      <c r="AQ242" s="28" t="str">
        <f t="shared" si="77"/>
        <v>202012RMB</v>
      </c>
      <c r="AR242" s="206" t="str">
        <f t="shared" si="78"/>
        <v>YAMAHA_Mounter</v>
      </c>
      <c r="AS242" s="22">
        <f t="shared" si="79"/>
        <v>2</v>
      </c>
      <c r="AT242" s="24" t="str">
        <f t="shared" si="80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65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1"/>
        <v>555000</v>
      </c>
      <c r="AA243" s="13">
        <v>1.175</v>
      </c>
      <c r="AB243" s="21">
        <f t="shared" si="72"/>
        <v>577101.76991150447</v>
      </c>
      <c r="AC243" s="130">
        <f t="shared" si="73"/>
        <v>75831.172566371679</v>
      </c>
      <c r="AD243" s="169">
        <v>0.13139999999999999</v>
      </c>
      <c r="AE243" s="154">
        <f t="shared" si="74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5"/>
        <v>0.1214858095774925</v>
      </c>
      <c r="AL243" s="17"/>
      <c r="AM243" s="17"/>
      <c r="AN243" s="17"/>
      <c r="AO243" s="17"/>
      <c r="AP243" s="28" t="str">
        <f t="shared" si="76"/>
        <v>202012</v>
      </c>
      <c r="AQ243" s="28" t="str">
        <f t="shared" si="77"/>
        <v>202012RMB</v>
      </c>
      <c r="AR243" s="206" t="str">
        <f t="shared" si="78"/>
        <v>YAMAHA_Mounter</v>
      </c>
      <c r="AS243" s="22">
        <f t="shared" si="79"/>
        <v>2</v>
      </c>
      <c r="AT243" s="24" t="str">
        <f t="shared" si="80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65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1"/>
        <v>1000000</v>
      </c>
      <c r="AA244" s="13">
        <v>1.175</v>
      </c>
      <c r="AB244" s="21">
        <f t="shared" si="72"/>
        <v>1039823.0088495577</v>
      </c>
      <c r="AC244" s="130">
        <f t="shared" si="73"/>
        <v>136632.74336283188</v>
      </c>
      <c r="AD244" s="169">
        <v>0.13139999999999999</v>
      </c>
      <c r="AE244" s="154">
        <f t="shared" si="74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5"/>
        <v>0.1214858095774925</v>
      </c>
      <c r="AL244" s="17"/>
      <c r="AM244" s="17"/>
      <c r="AN244" s="17"/>
      <c r="AO244" s="17"/>
      <c r="AP244" s="28" t="str">
        <f t="shared" si="76"/>
        <v>202012</v>
      </c>
      <c r="AQ244" s="28" t="str">
        <f t="shared" si="77"/>
        <v>202012RMB</v>
      </c>
      <c r="AR244" s="206" t="str">
        <f t="shared" si="78"/>
        <v>YAMAHA_Mounter</v>
      </c>
      <c r="AS244" s="22">
        <f t="shared" si="79"/>
        <v>2</v>
      </c>
      <c r="AT244" s="24" t="str">
        <f t="shared" si="80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65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1"/>
        <v>900000</v>
      </c>
      <c r="AA245" s="13">
        <v>1.1299999999999999</v>
      </c>
      <c r="AB245" s="21">
        <f t="shared" si="72"/>
        <v>900000</v>
      </c>
      <c r="AC245" s="130">
        <f t="shared" si="73"/>
        <v>108000</v>
      </c>
      <c r="AD245" s="169">
        <v>0.12</v>
      </c>
      <c r="AE245" s="154">
        <f t="shared" si="74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477651199.57437885</v>
      </c>
      <c r="AJ245" s="19">
        <f t="shared" si="67"/>
        <v>56918800.518691957</v>
      </c>
      <c r="AK245" s="20">
        <f t="shared" si="75"/>
        <v>0.11916394341605475</v>
      </c>
      <c r="AL245" s="17"/>
      <c r="AM245" s="17"/>
      <c r="AN245" s="17"/>
      <c r="AO245" s="17"/>
      <c r="AP245" s="28" t="str">
        <f t="shared" si="76"/>
        <v>CancelCancel</v>
      </c>
      <c r="AQ245" s="28" t="str">
        <f t="shared" si="77"/>
        <v>CancelCancelRMB</v>
      </c>
      <c r="AR245" s="206" t="str">
        <f t="shared" si="78"/>
        <v>YAMAHA_Mounter</v>
      </c>
      <c r="AS245" s="22" t="str">
        <f t="shared" si="79"/>
        <v/>
      </c>
      <c r="AT245" s="24" t="str">
        <f t="shared" si="80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65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1"/>
        <v>630000</v>
      </c>
      <c r="AA246" s="13">
        <v>1.1299999999999999</v>
      </c>
      <c r="AB246" s="21">
        <f t="shared" si="72"/>
        <v>630000</v>
      </c>
      <c r="AC246" s="130">
        <f t="shared" si="73"/>
        <v>75600</v>
      </c>
      <c r="AD246" s="169">
        <v>0.12</v>
      </c>
      <c r="AE246" s="154">
        <f t="shared" si="74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477651199.57437885</v>
      </c>
      <c r="AJ246" s="19">
        <f t="shared" si="67"/>
        <v>56918800.518691957</v>
      </c>
      <c r="AK246" s="20">
        <f t="shared" si="75"/>
        <v>0.11916394341605475</v>
      </c>
      <c r="AL246" s="17"/>
      <c r="AM246" s="17"/>
      <c r="AN246" s="17"/>
      <c r="AO246" s="17"/>
      <c r="AP246" s="28" t="str">
        <f t="shared" si="76"/>
        <v>CancelCancel</v>
      </c>
      <c r="AQ246" s="28" t="str">
        <f t="shared" si="77"/>
        <v>CancelCancelRMB</v>
      </c>
      <c r="AR246" s="206" t="str">
        <f t="shared" si="78"/>
        <v>YAMAHA_Mounter</v>
      </c>
      <c r="AS246" s="22" t="str">
        <f t="shared" si="79"/>
        <v/>
      </c>
      <c r="AT246" s="24" t="str">
        <f t="shared" si="80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65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1"/>
        <v>19700000</v>
      </c>
      <c r="AA247" s="13">
        <v>7.3499999999999996E-2</v>
      </c>
      <c r="AB247" s="21">
        <f t="shared" si="72"/>
        <v>1447950</v>
      </c>
      <c r="AC247" s="130">
        <f t="shared" si="73"/>
        <v>165211.095</v>
      </c>
      <c r="AD247" s="169">
        <v>0.11409999999999999</v>
      </c>
      <c r="AE247" s="154">
        <f t="shared" si="74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5"/>
        <v>0.13069290818580451</v>
      </c>
      <c r="AL247" s="17"/>
      <c r="AM247" s="17"/>
      <c r="AN247" s="17"/>
      <c r="AO247" s="17"/>
      <c r="AP247" s="28" t="str">
        <f t="shared" si="76"/>
        <v>20192</v>
      </c>
      <c r="AQ247" s="28" t="str">
        <f t="shared" si="77"/>
        <v>20192JPY</v>
      </c>
      <c r="AR247" s="206" t="str">
        <f t="shared" si="78"/>
        <v>YAMAHA_Mounter</v>
      </c>
      <c r="AS247" s="22">
        <f t="shared" si="79"/>
        <v>8</v>
      </c>
      <c r="AT247" s="24" t="str">
        <f t="shared" si="80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65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1"/>
        <v>9090000</v>
      </c>
      <c r="AA248" s="13">
        <v>7.2099999999999997E-2</v>
      </c>
      <c r="AB248" s="21">
        <f t="shared" si="72"/>
        <v>655389</v>
      </c>
      <c r="AC248" s="130">
        <f t="shared" si="73"/>
        <v>114758.6139</v>
      </c>
      <c r="AD248" s="169">
        <v>0.17510000000000001</v>
      </c>
      <c r="AE248" s="154">
        <f t="shared" si="74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5"/>
        <v>0.13679824337660537</v>
      </c>
      <c r="AL248" s="17"/>
      <c r="AM248" s="17"/>
      <c r="AN248" s="17"/>
      <c r="AO248" s="17"/>
      <c r="AP248" s="28" t="str">
        <f t="shared" si="76"/>
        <v>20216</v>
      </c>
      <c r="AQ248" s="28" t="str">
        <f t="shared" si="77"/>
        <v>20216JPY</v>
      </c>
      <c r="AR248" s="206" t="str">
        <f t="shared" si="78"/>
        <v>YAMAHA_Mounter</v>
      </c>
      <c r="AS248" s="22">
        <f t="shared" si="79"/>
        <v>2</v>
      </c>
      <c r="AT248" s="24" t="str">
        <f t="shared" si="80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65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1"/>
        <v>29000</v>
      </c>
      <c r="AA249" s="13">
        <v>1.2</v>
      </c>
      <c r="AB249" s="21">
        <f t="shared" si="72"/>
        <v>30796.460176991153</v>
      </c>
      <c r="AC249" s="130">
        <f t="shared" si="73"/>
        <v>9238.9380530973449</v>
      </c>
      <c r="AD249" s="169">
        <v>0.3</v>
      </c>
      <c r="AE249" s="154">
        <f t="shared" si="74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5"/>
        <v>0.14045056209911663</v>
      </c>
      <c r="AL249" s="17"/>
      <c r="AM249" s="17"/>
      <c r="AN249" s="17"/>
      <c r="AO249" s="17"/>
      <c r="AP249" s="28" t="str">
        <f t="shared" si="76"/>
        <v>20219</v>
      </c>
      <c r="AQ249" s="28" t="str">
        <f t="shared" si="77"/>
        <v>20219RMB</v>
      </c>
      <c r="AR249" s="206" t="str">
        <f t="shared" si="78"/>
        <v>SOLDERSTAR</v>
      </c>
      <c r="AS249" s="22">
        <f t="shared" si="79"/>
        <v>0</v>
      </c>
      <c r="AT249" s="24" t="str">
        <f t="shared" si="80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65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1"/>
        <v>1490000</v>
      </c>
      <c r="AA250" s="13">
        <v>1.095</v>
      </c>
      <c r="AB250" s="21">
        <f t="shared" si="72"/>
        <v>1443849.5575221241</v>
      </c>
      <c r="AC250" s="130">
        <f t="shared" si="73"/>
        <v>173261.94690265489</v>
      </c>
      <c r="AD250" s="169">
        <v>0.12</v>
      </c>
      <c r="AE250" s="154">
        <f t="shared" si="74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16602721.68141593</v>
      </c>
      <c r="AJ250" s="19">
        <f t="shared" si="67"/>
        <v>1923201.4867699118</v>
      </c>
      <c r="AK250" s="20">
        <f t="shared" si="75"/>
        <v>0.11583651907642503</v>
      </c>
      <c r="AL250" s="17"/>
      <c r="AM250" s="17"/>
      <c r="AN250" s="17"/>
      <c r="AO250" s="17"/>
      <c r="AP250" s="28" t="str">
        <f t="shared" si="76"/>
        <v>TBATBA</v>
      </c>
      <c r="AQ250" s="28" t="str">
        <f t="shared" si="77"/>
        <v>TBATBARMB</v>
      </c>
      <c r="AR250" s="206" t="str">
        <f t="shared" si="78"/>
        <v>YAMAHA_Mounter</v>
      </c>
      <c r="AS250" s="22" t="str">
        <f t="shared" si="79"/>
        <v/>
      </c>
      <c r="AT250" s="24" t="str">
        <f t="shared" si="80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65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1"/>
        <v>850000</v>
      </c>
      <c r="AA251" s="13">
        <v>1.2</v>
      </c>
      <c r="AB251" s="21">
        <f t="shared" si="72"/>
        <v>902654.8672566372</v>
      </c>
      <c r="AC251" s="130">
        <f t="shared" si="73"/>
        <v>115449.55752212391</v>
      </c>
      <c r="AD251" s="169">
        <v>0.12790000000000001</v>
      </c>
      <c r="AE251" s="154">
        <f t="shared" si="74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5"/>
        <v>0.15670322321692506</v>
      </c>
      <c r="AL251" s="17"/>
      <c r="AM251" s="17"/>
      <c r="AN251" s="17"/>
      <c r="AO251" s="17"/>
      <c r="AP251" s="28" t="str">
        <f t="shared" si="76"/>
        <v>20218</v>
      </c>
      <c r="AQ251" s="28" t="str">
        <f t="shared" si="77"/>
        <v>20218RMB</v>
      </c>
      <c r="AR251" s="206" t="str">
        <f t="shared" si="78"/>
        <v>YAMAHA_Mounter</v>
      </c>
      <c r="AS251" s="22">
        <f t="shared" si="79"/>
        <v>3</v>
      </c>
      <c r="AT251" s="24" t="str">
        <f t="shared" si="80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65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1"/>
        <v>850000</v>
      </c>
      <c r="AA252" s="13">
        <v>1.2</v>
      </c>
      <c r="AB252" s="21">
        <f t="shared" si="72"/>
        <v>902654.8672566372</v>
      </c>
      <c r="AC252" s="130">
        <f t="shared" si="73"/>
        <v>115449.55752212391</v>
      </c>
      <c r="AD252" s="169">
        <v>0.12790000000000001</v>
      </c>
      <c r="AE252" s="154">
        <f t="shared" si="74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5"/>
        <v>0.15670322321692506</v>
      </c>
      <c r="AL252" s="17"/>
      <c r="AM252" s="17"/>
      <c r="AN252" s="17"/>
      <c r="AO252" s="17"/>
      <c r="AP252" s="28" t="str">
        <f t="shared" si="76"/>
        <v>20218</v>
      </c>
      <c r="AQ252" s="28" t="str">
        <f t="shared" si="77"/>
        <v>20218RMB</v>
      </c>
      <c r="AR252" s="206" t="str">
        <f t="shared" si="78"/>
        <v>YAMAHA_Mounter</v>
      </c>
      <c r="AS252" s="22">
        <f t="shared" si="79"/>
        <v>3</v>
      </c>
      <c r="AT252" s="24" t="str">
        <f t="shared" si="80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65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1"/>
        <v>600000</v>
      </c>
      <c r="AA253" s="13">
        <v>1.2</v>
      </c>
      <c r="AB253" s="21">
        <f t="shared" si="72"/>
        <v>637168.14159292041</v>
      </c>
      <c r="AC253" s="130">
        <f t="shared" si="73"/>
        <v>81493.805309734526</v>
      </c>
      <c r="AD253" s="169">
        <v>0.12790000000000001</v>
      </c>
      <c r="AE253" s="154">
        <f t="shared" si="74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5"/>
        <v>0.15670322321692506</v>
      </c>
      <c r="AL253" s="17"/>
      <c r="AM253" s="17"/>
      <c r="AN253" s="17"/>
      <c r="AO253" s="17"/>
      <c r="AP253" s="28" t="str">
        <f t="shared" si="76"/>
        <v>20218</v>
      </c>
      <c r="AQ253" s="28" t="str">
        <f t="shared" si="77"/>
        <v>20218RMB</v>
      </c>
      <c r="AR253" s="206" t="str">
        <f t="shared" si="78"/>
        <v>YAMAHA_Mounter</v>
      </c>
      <c r="AS253" s="22">
        <f t="shared" si="79"/>
        <v>3</v>
      </c>
      <c r="AT253" s="24" t="str">
        <f t="shared" si="80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65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1"/>
        <v>795000</v>
      </c>
      <c r="AA254" s="13">
        <v>1.2</v>
      </c>
      <c r="AB254" s="21">
        <f t="shared" si="72"/>
        <v>844247.78761061956</v>
      </c>
      <c r="AC254" s="130">
        <f t="shared" si="73"/>
        <v>98945.840707964613</v>
      </c>
      <c r="AD254" s="169">
        <v>0.1172</v>
      </c>
      <c r="AE254" s="154">
        <f t="shared" si="74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5"/>
        <v>0.12581216063459488</v>
      </c>
      <c r="AL254" s="17"/>
      <c r="AM254" s="17"/>
      <c r="AN254" s="17"/>
      <c r="AO254" s="17"/>
      <c r="AP254" s="28" t="str">
        <f t="shared" si="76"/>
        <v>20209</v>
      </c>
      <c r="AQ254" s="28" t="str">
        <f t="shared" si="77"/>
        <v>20209RMB</v>
      </c>
      <c r="AR254" s="206" t="str">
        <f t="shared" si="78"/>
        <v>YAMAHA_Mounter</v>
      </c>
      <c r="AS254" s="22">
        <f t="shared" si="79"/>
        <v>1</v>
      </c>
      <c r="AT254" s="24" t="str">
        <f t="shared" si="80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65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1"/>
        <v>507500</v>
      </c>
      <c r="AA255" s="13">
        <v>1.095</v>
      </c>
      <c r="AB255" s="21">
        <f t="shared" si="72"/>
        <v>491780.97345132747</v>
      </c>
      <c r="AC255" s="130">
        <f t="shared" si="73"/>
        <v>40473.574115044248</v>
      </c>
      <c r="AD255" s="169">
        <v>8.2299999999999998E-2</v>
      </c>
      <c r="AE255" s="154">
        <f t="shared" si="74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5"/>
        <v>0.13676937682988152</v>
      </c>
      <c r="AL255" s="17"/>
      <c r="AM255" s="17"/>
      <c r="AN255" s="17"/>
      <c r="AO255" s="17"/>
      <c r="AP255" s="28" t="str">
        <f t="shared" si="76"/>
        <v>20204</v>
      </c>
      <c r="AQ255" s="28" t="str">
        <f t="shared" si="77"/>
        <v>20204RMB</v>
      </c>
      <c r="AR255" s="206" t="str">
        <f t="shared" si="78"/>
        <v>YAMAHA_Mounter</v>
      </c>
      <c r="AS255" s="22">
        <f t="shared" si="79"/>
        <v>0</v>
      </c>
      <c r="AT255" s="24" t="str">
        <f t="shared" si="80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65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1"/>
        <v>507500</v>
      </c>
      <c r="AA256" s="13">
        <v>1.095</v>
      </c>
      <c r="AB256" s="21">
        <f t="shared" si="72"/>
        <v>491780.97345132747</v>
      </c>
      <c r="AC256" s="130">
        <f t="shared" si="73"/>
        <v>40473.574115044248</v>
      </c>
      <c r="AD256" s="169">
        <v>8.2299999999999998E-2</v>
      </c>
      <c r="AE256" s="154">
        <f t="shared" si="74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5"/>
        <v>0.13676937682988152</v>
      </c>
      <c r="AL256" s="17"/>
      <c r="AM256" s="17"/>
      <c r="AN256" s="17"/>
      <c r="AO256" s="17"/>
      <c r="AP256" s="28" t="str">
        <f t="shared" si="76"/>
        <v>20204</v>
      </c>
      <c r="AQ256" s="28" t="str">
        <f t="shared" si="77"/>
        <v>20204RMB</v>
      </c>
      <c r="AR256" s="206" t="str">
        <f t="shared" si="78"/>
        <v>YAMAHA_Mounter</v>
      </c>
      <c r="AS256" s="22">
        <f t="shared" si="79"/>
        <v>0</v>
      </c>
      <c r="AT256" s="24" t="str">
        <f t="shared" si="80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65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4">IF(W257="RMB","1.13", "1")</f>
        <v>1.13</v>
      </c>
      <c r="Z257" s="18">
        <f t="shared" si="71"/>
        <v>630000</v>
      </c>
      <c r="AA257" s="13">
        <v>1.2150000000000001</v>
      </c>
      <c r="AB257" s="21">
        <f t="shared" si="72"/>
        <v>677389.38053097355</v>
      </c>
      <c r="AC257" s="130">
        <f t="shared" si="73"/>
        <v>269668.71238938055</v>
      </c>
      <c r="AD257" s="169">
        <v>0.39810000000000001</v>
      </c>
      <c r="AE257" s="154">
        <f t="shared" si="74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5"/>
        <v>0.1517070412191521</v>
      </c>
      <c r="AL257" s="17"/>
      <c r="AM257" s="17"/>
      <c r="AN257" s="17"/>
      <c r="AO257" s="17"/>
      <c r="AP257" s="28" t="str">
        <f t="shared" si="76"/>
        <v>202112</v>
      </c>
      <c r="AQ257" s="28" t="str">
        <f t="shared" si="77"/>
        <v>202112RMB</v>
      </c>
      <c r="AR257" s="206" t="str">
        <f t="shared" si="78"/>
        <v>YAMAHA_Non_Mounter</v>
      </c>
      <c r="AS257" s="22">
        <f t="shared" si="79"/>
        <v>6</v>
      </c>
      <c r="AT257" s="24" t="str">
        <f t="shared" si="80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ref="P258:P321" si="85">IF(M258="","",IF(AND(N258&gt;0,L258&lt;&gt;""),"MAIN UNIT",IF(AND(O258&gt;0,L258&lt;&gt;""),"SERVICE/ PARTS","C66 SERVICE/OTHERS")))</f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4"/>
        <v>1.13</v>
      </c>
      <c r="Z258" s="18">
        <f t="shared" si="71"/>
        <v>630000</v>
      </c>
      <c r="AA258" s="13">
        <v>1.2150000000000001</v>
      </c>
      <c r="AB258" s="21">
        <f t="shared" si="72"/>
        <v>677389.38053097355</v>
      </c>
      <c r="AC258" s="130">
        <f t="shared" si="73"/>
        <v>269668.71238938055</v>
      </c>
      <c r="AD258" s="169">
        <v>0.39810000000000001</v>
      </c>
      <c r="AE258" s="154">
        <f t="shared" si="74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5"/>
        <v>0.1517070412191521</v>
      </c>
      <c r="AL258" s="17"/>
      <c r="AM258" s="17"/>
      <c r="AN258" s="17"/>
      <c r="AO258" s="17"/>
      <c r="AP258" s="28" t="str">
        <f t="shared" si="76"/>
        <v>202112</v>
      </c>
      <c r="AQ258" s="28" t="str">
        <f t="shared" si="77"/>
        <v>202112RMB</v>
      </c>
      <c r="AR258" s="206" t="str">
        <f t="shared" si="78"/>
        <v>YAMAHA_Non_Mounter</v>
      </c>
      <c r="AS258" s="22">
        <f t="shared" si="79"/>
        <v>6</v>
      </c>
      <c r="AT258" s="24" t="str">
        <f t="shared" si="80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85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4"/>
        <v>1.13</v>
      </c>
      <c r="Z259" s="18">
        <f t="shared" si="71"/>
        <v>303000</v>
      </c>
      <c r="AA259" s="13">
        <v>1.095</v>
      </c>
      <c r="AB259" s="21">
        <f t="shared" si="72"/>
        <v>293615.04424778762</v>
      </c>
      <c r="AC259" s="130">
        <f t="shared" si="73"/>
        <v>50854.125663716812</v>
      </c>
      <c r="AD259" s="169">
        <v>0.17319999999999999</v>
      </c>
      <c r="AE259" s="154">
        <f t="shared" si="74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5"/>
        <v>0.13676937682988152</v>
      </c>
      <c r="AL259" s="17"/>
      <c r="AM259" s="17"/>
      <c r="AN259" s="17"/>
      <c r="AO259" s="17"/>
      <c r="AP259" s="28" t="str">
        <f t="shared" si="76"/>
        <v>20204</v>
      </c>
      <c r="AQ259" s="28" t="str">
        <f t="shared" si="77"/>
        <v>20204RMB</v>
      </c>
      <c r="AR259" s="206" t="str">
        <f t="shared" si="78"/>
        <v>HELLER</v>
      </c>
      <c r="AS259" s="22">
        <f t="shared" si="79"/>
        <v>1</v>
      </c>
      <c r="AT259" s="24" t="str">
        <f t="shared" si="80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85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4"/>
        <v>1.13</v>
      </c>
      <c r="Z260" s="18">
        <f t="shared" si="71"/>
        <v>354000</v>
      </c>
      <c r="AA260" s="13">
        <v>1.18</v>
      </c>
      <c r="AB260" s="21">
        <f t="shared" si="72"/>
        <v>369663.7168141593</v>
      </c>
      <c r="AC260" s="130">
        <f t="shared" si="73"/>
        <v>84652.991150442482</v>
      </c>
      <c r="AD260" s="169">
        <v>0.22900000000000001</v>
      </c>
      <c r="AE260" s="154">
        <f t="shared" si="74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5"/>
        <v>0.14842821680123736</v>
      </c>
      <c r="AL260" s="17"/>
      <c r="AM260" s="17"/>
      <c r="AN260" s="17"/>
      <c r="AO260" s="17"/>
      <c r="AP260" s="28" t="str">
        <f t="shared" si="76"/>
        <v>20214</v>
      </c>
      <c r="AQ260" s="28" t="str">
        <f t="shared" si="77"/>
        <v>20214RMB</v>
      </c>
      <c r="AR260" s="206" t="str">
        <f t="shared" si="78"/>
        <v>HELLER</v>
      </c>
      <c r="AS260" s="22">
        <f t="shared" si="79"/>
        <v>3</v>
      </c>
      <c r="AT260" s="24" t="str">
        <f t="shared" si="80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85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4"/>
        <v>1.13</v>
      </c>
      <c r="Z261" s="18">
        <f t="shared" si="71"/>
        <v>350000</v>
      </c>
      <c r="AA261" s="13">
        <v>1.2150000000000001</v>
      </c>
      <c r="AB261" s="21">
        <f t="shared" si="72"/>
        <v>376327.4336283186</v>
      </c>
      <c r="AC261" s="130">
        <f t="shared" si="73"/>
        <v>89754.092920353985</v>
      </c>
      <c r="AD261" s="169">
        <v>0.23849999999999999</v>
      </c>
      <c r="AE261" s="154">
        <f t="shared" si="74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5"/>
        <v>0.1517070412191521</v>
      </c>
      <c r="AL261" s="17"/>
      <c r="AM261" s="17"/>
      <c r="AN261" s="17"/>
      <c r="AO261" s="17"/>
      <c r="AP261" s="28" t="str">
        <f t="shared" si="76"/>
        <v>202112</v>
      </c>
      <c r="AQ261" s="28" t="str">
        <f t="shared" si="77"/>
        <v>202112RMB</v>
      </c>
      <c r="AR261" s="206" t="str">
        <f t="shared" si="78"/>
        <v>HELLER</v>
      </c>
      <c r="AS261" s="22">
        <f t="shared" si="79"/>
        <v>1</v>
      </c>
      <c r="AT261" s="24" t="str">
        <f t="shared" si="80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si="85"/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4"/>
        <v>1.13</v>
      </c>
      <c r="Z262" s="18">
        <f t="shared" ref="Z262:Z325" si="91">IF(X262="","",X262*MAX(O262,N262))</f>
        <v>350000</v>
      </c>
      <c r="AA262" s="13">
        <v>1.2150000000000001</v>
      </c>
      <c r="AB262" s="21">
        <f t="shared" ref="AB262:AB325" si="92">IF(AND(R262&lt;&gt;"C66",R262&lt;&gt;""),Z262/Y262*AA262,"")</f>
        <v>376327.4336283186</v>
      </c>
      <c r="AC262" s="130">
        <f t="shared" ref="AC262:AC325" si="93">IF(R262&lt;&gt;"",AB262*AD262,"")</f>
        <v>89754.092920353985</v>
      </c>
      <c r="AD262" s="169">
        <v>0.23849999999999999</v>
      </c>
      <c r="AE262" s="154">
        <f t="shared" ref="AE262:AE325" si="94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5">IF(AJ262&gt;0,AJ262/AI262,"")</f>
        <v>0.1517070412191521</v>
      </c>
      <c r="AL262" s="17"/>
      <c r="AM262" s="17"/>
      <c r="AN262" s="17"/>
      <c r="AO262" s="17"/>
      <c r="AP262" s="28" t="str">
        <f t="shared" ref="AP262:AP325" si="96">IF(F262="","",F262&amp;G262)</f>
        <v>202112</v>
      </c>
      <c r="AQ262" s="28" t="str">
        <f t="shared" ref="AQ262:AQ325" si="97">IF(W262="","",F262&amp;G262&amp;W262)</f>
        <v>202112RMB</v>
      </c>
      <c r="AR262" s="206" t="str">
        <f t="shared" ref="AR262:AR325" si="98">IFERROR(IF(AND(M262="YAMAHA", R262="C28"), "YAMAHA_Non_Mounter", IF(AND(M262="YAMAHA", R262="C49"), "YAMAHA_Mounter", M262)),"")</f>
        <v>HELLER</v>
      </c>
      <c r="AS262" s="22">
        <f t="shared" ref="AS262:AS325" si="99">IFERROR(IF(OR(G262="TBA", G262=""), "", DATEDIF(DATE(B262, C262, 1), DATE(F262, G262, 1), "M")),"")</f>
        <v>1</v>
      </c>
      <c r="AT262" s="24" t="str">
        <f t="shared" ref="AT262:AT325" si="100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85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4"/>
        <v>1</v>
      </c>
      <c r="Z263" s="18">
        <f t="shared" si="91"/>
        <v>6750000</v>
      </c>
      <c r="AA263" s="13">
        <v>7.17E-2</v>
      </c>
      <c r="AB263" s="21">
        <f t="shared" si="92"/>
        <v>483975</v>
      </c>
      <c r="AC263" s="130">
        <f t="shared" si="93"/>
        <v>40944.284999999996</v>
      </c>
      <c r="AD263" s="169">
        <v>8.4599999999999995E-2</v>
      </c>
      <c r="AE263" s="154">
        <f t="shared" si="94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5"/>
        <v>0.1494810557466355</v>
      </c>
      <c r="AL263" s="17"/>
      <c r="AM263" s="17"/>
      <c r="AN263" s="17"/>
      <c r="AO263" s="17"/>
      <c r="AP263" s="28" t="str">
        <f t="shared" si="96"/>
        <v>20217</v>
      </c>
      <c r="AQ263" s="28" t="str">
        <f t="shared" si="97"/>
        <v>20217JPY</v>
      </c>
      <c r="AR263" s="206" t="str">
        <f t="shared" si="98"/>
        <v>YAMAHA_Mounter</v>
      </c>
      <c r="AS263" s="22">
        <f t="shared" si="99"/>
        <v>2</v>
      </c>
      <c r="AT263" s="24" t="str">
        <f t="shared" si="100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85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4"/>
        <v>1</v>
      </c>
      <c r="Z264" s="18">
        <f t="shared" si="91"/>
        <v>6750000</v>
      </c>
      <c r="AA264" s="13">
        <v>7.17E-2</v>
      </c>
      <c r="AB264" s="21">
        <f t="shared" si="92"/>
        <v>483975</v>
      </c>
      <c r="AC264" s="130">
        <f t="shared" si="93"/>
        <v>40944.284999999996</v>
      </c>
      <c r="AD264" s="169">
        <v>8.4599999999999995E-2</v>
      </c>
      <c r="AE264" s="154">
        <f t="shared" si="94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5"/>
        <v>0.1494810557466355</v>
      </c>
      <c r="AL264" s="17"/>
      <c r="AM264" s="17"/>
      <c r="AN264" s="17"/>
      <c r="AO264" s="17"/>
      <c r="AP264" s="28" t="str">
        <f t="shared" si="96"/>
        <v>20217</v>
      </c>
      <c r="AQ264" s="28" t="str">
        <f t="shared" si="97"/>
        <v>20217JPY</v>
      </c>
      <c r="AR264" s="206" t="str">
        <f t="shared" si="98"/>
        <v>YAMAHA_Mounter</v>
      </c>
      <c r="AS264" s="22">
        <f t="shared" si="99"/>
        <v>2</v>
      </c>
      <c r="AT264" s="24" t="str">
        <f t="shared" si="100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85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4"/>
        <v>1</v>
      </c>
      <c r="Z265" s="18">
        <f t="shared" si="91"/>
        <v>6750000</v>
      </c>
      <c r="AA265" s="13">
        <v>7.17E-2</v>
      </c>
      <c r="AB265" s="21">
        <f t="shared" si="92"/>
        <v>483975</v>
      </c>
      <c r="AC265" s="130">
        <f t="shared" si="93"/>
        <v>40944.284999999996</v>
      </c>
      <c r="AD265" s="169">
        <v>8.4599999999999995E-2</v>
      </c>
      <c r="AE265" s="154">
        <f t="shared" si="94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5"/>
        <v>0.1494810557466355</v>
      </c>
      <c r="AL265" s="17"/>
      <c r="AM265" s="17"/>
      <c r="AN265" s="17"/>
      <c r="AO265" s="17"/>
      <c r="AP265" s="28" t="str">
        <f t="shared" si="96"/>
        <v>20217</v>
      </c>
      <c r="AQ265" s="28" t="str">
        <f t="shared" si="97"/>
        <v>20217JPY</v>
      </c>
      <c r="AR265" s="206" t="str">
        <f t="shared" si="98"/>
        <v>YAMAHA_Mounter</v>
      </c>
      <c r="AS265" s="22">
        <f t="shared" si="99"/>
        <v>2</v>
      </c>
      <c r="AT265" s="24" t="str">
        <f t="shared" si="100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85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4"/>
        <v>1</v>
      </c>
      <c r="Z266" s="18">
        <f t="shared" si="91"/>
        <v>6750000</v>
      </c>
      <c r="AA266" s="13">
        <v>6.2799999999999995E-2</v>
      </c>
      <c r="AB266" s="21">
        <f t="shared" si="92"/>
        <v>423899.99999999994</v>
      </c>
      <c r="AC266" s="130">
        <f t="shared" si="93"/>
        <v>35861.939999999995</v>
      </c>
      <c r="AD266" s="169">
        <v>8.4599999999999995E-2</v>
      </c>
      <c r="AE266" s="154">
        <f t="shared" si="94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5"/>
        <v>0.14586180158193709</v>
      </c>
      <c r="AL266" s="17"/>
      <c r="AM266" s="17"/>
      <c r="AN266" s="17"/>
      <c r="AO266" s="17"/>
      <c r="AP266" s="28" t="str">
        <f t="shared" si="96"/>
        <v>20225</v>
      </c>
      <c r="AQ266" s="28" t="str">
        <f t="shared" si="97"/>
        <v>20225JPY</v>
      </c>
      <c r="AR266" s="206" t="str">
        <f t="shared" si="98"/>
        <v>YAMAHA_Mounter</v>
      </c>
      <c r="AS266" s="22">
        <f t="shared" si="99"/>
        <v>12</v>
      </c>
      <c r="AT266" s="24" t="str">
        <f t="shared" si="100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85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4"/>
        <v>1</v>
      </c>
      <c r="Z267" s="18">
        <f t="shared" si="91"/>
        <v>6750000</v>
      </c>
      <c r="AA267" s="13">
        <v>6.2799999999999995E-2</v>
      </c>
      <c r="AB267" s="21">
        <f t="shared" si="92"/>
        <v>423899.99999999994</v>
      </c>
      <c r="AC267" s="130">
        <f t="shared" si="93"/>
        <v>35861.939999999995</v>
      </c>
      <c r="AD267" s="169">
        <v>8.4599999999999995E-2</v>
      </c>
      <c r="AE267" s="154">
        <f t="shared" si="94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5"/>
        <v>0.14586180158193709</v>
      </c>
      <c r="AL267" s="17"/>
      <c r="AM267" s="17"/>
      <c r="AN267" s="17"/>
      <c r="AO267" s="17"/>
      <c r="AP267" s="28" t="str">
        <f t="shared" si="96"/>
        <v>20225</v>
      </c>
      <c r="AQ267" s="28" t="str">
        <f t="shared" si="97"/>
        <v>20225JPY</v>
      </c>
      <c r="AR267" s="206" t="str">
        <f t="shared" si="98"/>
        <v>YAMAHA_Mounter</v>
      </c>
      <c r="AS267" s="22">
        <f t="shared" si="99"/>
        <v>12</v>
      </c>
      <c r="AT267" s="24" t="str">
        <f t="shared" si="100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85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4"/>
        <v>1.13</v>
      </c>
      <c r="Z268" s="18">
        <f t="shared" si="91"/>
        <v>790000</v>
      </c>
      <c r="AA268" s="13">
        <v>1.175</v>
      </c>
      <c r="AB268" s="21">
        <f t="shared" si="92"/>
        <v>821460.1769911506</v>
      </c>
      <c r="AC268" s="130">
        <f t="shared" si="93"/>
        <v>83953.230088495591</v>
      </c>
      <c r="AD268" s="169">
        <v>0.1022</v>
      </c>
      <c r="AE268" s="154">
        <f t="shared" si="94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5"/>
        <v>0.1214858095774925</v>
      </c>
      <c r="AL268" s="17"/>
      <c r="AM268" s="17"/>
      <c r="AN268" s="17"/>
      <c r="AO268" s="17"/>
      <c r="AP268" s="28" t="str">
        <f t="shared" si="96"/>
        <v>202012</v>
      </c>
      <c r="AQ268" s="28" t="str">
        <f t="shared" si="97"/>
        <v>202012RMB</v>
      </c>
      <c r="AR268" s="206" t="str">
        <f t="shared" si="98"/>
        <v>YAMAHA_Mounter</v>
      </c>
      <c r="AS268" s="22">
        <f t="shared" si="99"/>
        <v>2</v>
      </c>
      <c r="AT268" s="24" t="str">
        <f t="shared" si="100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85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4"/>
        <v>1.13</v>
      </c>
      <c r="Z269" s="18">
        <f t="shared" si="91"/>
        <v>790000</v>
      </c>
      <c r="AA269" s="13">
        <v>1.175</v>
      </c>
      <c r="AB269" s="21">
        <f t="shared" si="92"/>
        <v>821460.1769911506</v>
      </c>
      <c r="AC269" s="130">
        <f t="shared" si="93"/>
        <v>83953.230088495591</v>
      </c>
      <c r="AD269" s="169">
        <v>0.1022</v>
      </c>
      <c r="AE269" s="154">
        <f t="shared" si="94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5"/>
        <v>0.1214858095774925</v>
      </c>
      <c r="AL269" s="17"/>
      <c r="AM269" s="17"/>
      <c r="AN269" s="17"/>
      <c r="AO269" s="17"/>
      <c r="AP269" s="28" t="str">
        <f t="shared" si="96"/>
        <v>202012</v>
      </c>
      <c r="AQ269" s="28" t="str">
        <f t="shared" si="97"/>
        <v>202012RMB</v>
      </c>
      <c r="AR269" s="206" t="str">
        <f t="shared" si="98"/>
        <v>YAMAHA_Mounter</v>
      </c>
      <c r="AS269" s="22">
        <f t="shared" si="99"/>
        <v>2</v>
      </c>
      <c r="AT269" s="24" t="str">
        <f t="shared" si="100"/>
        <v>0-3 months</v>
      </c>
    </row>
    <row r="270" spans="1:46" s="12" customFormat="1">
      <c r="A270" s="33" t="str">
        <f t="shared" si="88"/>
        <v>FY 24/25</v>
      </c>
      <c r="B270" s="23">
        <v>2024</v>
      </c>
      <c r="C270" s="152">
        <v>4</v>
      </c>
      <c r="D270" s="33" t="str">
        <f t="shared" si="89"/>
        <v>Q1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5</v>
      </c>
      <c r="H270" s="29"/>
      <c r="I270" s="33" t="str">
        <f t="shared" si="90"/>
        <v>Q1</v>
      </c>
      <c r="J270" s="188" t="s">
        <v>3412</v>
      </c>
      <c r="K270" s="29" t="s">
        <v>194</v>
      </c>
      <c r="L270" s="17" t="s">
        <v>2621</v>
      </c>
      <c r="M270" s="22" t="s">
        <v>61</v>
      </c>
      <c r="N270" s="22">
        <v>1</v>
      </c>
      <c r="O270" s="22"/>
      <c r="P270" s="33" t="str">
        <f t="shared" si="85"/>
        <v>MAIN UNIT</v>
      </c>
      <c r="Q270" s="13" t="s">
        <v>62</v>
      </c>
      <c r="R270" s="22" t="s">
        <v>2056</v>
      </c>
      <c r="S270" s="22" t="s">
        <v>51</v>
      </c>
      <c r="T270" s="22" t="s">
        <v>195</v>
      </c>
      <c r="U270" s="22" t="s">
        <v>71</v>
      </c>
      <c r="V270" s="22" t="s">
        <v>95</v>
      </c>
      <c r="W270" s="22" t="s">
        <v>65</v>
      </c>
      <c r="X270" s="30">
        <v>332500</v>
      </c>
      <c r="Y270" s="31" t="str">
        <f>IF(W270="","",IF(W270="RMB","1.13", "1"))</f>
        <v>1.13</v>
      </c>
      <c r="Z270" s="18">
        <f t="shared" si="91"/>
        <v>332500</v>
      </c>
      <c r="AA270" s="22">
        <v>1.083</v>
      </c>
      <c r="AB270" s="21">
        <f t="shared" si="92"/>
        <v>318670.35398230091</v>
      </c>
      <c r="AC270" s="25">
        <f t="shared" si="93"/>
        <v>38240.442477876109</v>
      </c>
      <c r="AD270" s="169">
        <v>0.12</v>
      </c>
      <c r="AE270" s="26">
        <f t="shared" si="94"/>
        <v>0</v>
      </c>
      <c r="AF270" s="26" t="str">
        <f>IF(AND(COUNTIFS($J$18:J270,J270)=1,AE270=1),1,"")</f>
        <v/>
      </c>
      <c r="AG270" s="26">
        <f>IF(C270="","",IF(AND(COUNTIFS($J$18:J270,J270)=1,C270&lt;&gt;""),1,""))</f>
        <v>1</v>
      </c>
      <c r="AH270" s="26">
        <f>IF(G270="","",IF(AND(COUNTIFS($J$18:J270,J270)=1,G270&lt;&gt;""),1,""))</f>
        <v>1</v>
      </c>
      <c r="AI270" s="27">
        <f t="shared" si="86"/>
        <v>11472879.764601771</v>
      </c>
      <c r="AJ270" s="27">
        <f t="shared" si="87"/>
        <v>2038344.1716106194</v>
      </c>
      <c r="AK270" s="28">
        <f t="shared" si="95"/>
        <v>0.17766630640544948</v>
      </c>
      <c r="AL270" s="24"/>
      <c r="AM270" s="24"/>
      <c r="AN270" s="24"/>
      <c r="AO270" s="24"/>
      <c r="AP270" s="28" t="str">
        <f t="shared" si="96"/>
        <v>20245</v>
      </c>
      <c r="AQ270" s="28" t="str">
        <f t="shared" si="97"/>
        <v>20245RMB</v>
      </c>
      <c r="AR270" s="206" t="str">
        <f t="shared" si="98"/>
        <v>YAMAHA_Non_Mounter</v>
      </c>
      <c r="AS270" s="22">
        <f t="shared" si="99"/>
        <v>1</v>
      </c>
      <c r="AT270" s="24" t="str">
        <f t="shared" si="100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3</v>
      </c>
      <c r="D271" s="33" t="str">
        <f t="shared" si="89"/>
        <v>Q4</v>
      </c>
      <c r="E271" s="33" t="s">
        <v>3173</v>
      </c>
      <c r="F271" s="23">
        <v>2024</v>
      </c>
      <c r="G271" s="23">
        <v>5</v>
      </c>
      <c r="H271" s="29"/>
      <c r="I271" s="33" t="str">
        <f t="shared" si="90"/>
        <v>Q1</v>
      </c>
      <c r="J271" s="190" t="s">
        <v>3333</v>
      </c>
      <c r="K271" s="29" t="s">
        <v>1706</v>
      </c>
      <c r="L271" s="17" t="s">
        <v>93</v>
      </c>
      <c r="M271" s="22" t="s">
        <v>61</v>
      </c>
      <c r="N271" s="22">
        <v>1</v>
      </c>
      <c r="O271" s="22"/>
      <c r="P271" s="33" t="str">
        <f t="shared" si="85"/>
        <v>MAIN UNIT</v>
      </c>
      <c r="Q271" s="13" t="s">
        <v>62</v>
      </c>
      <c r="R271" s="22" t="s">
        <v>63</v>
      </c>
      <c r="S271" s="22" t="s">
        <v>50</v>
      </c>
      <c r="T271" s="22" t="s">
        <v>79</v>
      </c>
      <c r="U271" s="22" t="s">
        <v>79</v>
      </c>
      <c r="V271" s="22" t="s">
        <v>312</v>
      </c>
      <c r="W271" s="22" t="s">
        <v>110</v>
      </c>
      <c r="X271" s="30">
        <v>13000000</v>
      </c>
      <c r="Y271" s="31" t="str">
        <f>IF(W271="","",IF(W271="RMB","1.13", "1"))</f>
        <v>1</v>
      </c>
      <c r="Z271" s="18">
        <f t="shared" si="91"/>
        <v>13000000</v>
      </c>
      <c r="AA271" s="13">
        <v>5.0999999999999997E-2</v>
      </c>
      <c r="AB271" s="21">
        <f t="shared" si="92"/>
        <v>663000</v>
      </c>
      <c r="AC271" s="25">
        <f t="shared" si="93"/>
        <v>80355.600000000006</v>
      </c>
      <c r="AD271" s="192">
        <v>0.1212</v>
      </c>
      <c r="AE271" s="26">
        <f t="shared" si="94"/>
        <v>0</v>
      </c>
      <c r="AF271" s="26" t="str">
        <f>IF(AND(COUNTIFS($J$18:J271,J271)=1,AE271=1),1,"")</f>
        <v/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11472879.764601771</v>
      </c>
      <c r="AJ271" s="27">
        <f t="shared" si="87"/>
        <v>2038344.1716106194</v>
      </c>
      <c r="AK271" s="28">
        <f t="shared" si="95"/>
        <v>0.17766630640544948</v>
      </c>
      <c r="AL271" s="24"/>
      <c r="AM271" s="24"/>
      <c r="AN271" s="24"/>
      <c r="AO271" s="24"/>
      <c r="AP271" s="28" t="str">
        <f t="shared" si="96"/>
        <v>20245</v>
      </c>
      <c r="AQ271" s="28" t="str">
        <f t="shared" si="97"/>
        <v>20245JPY</v>
      </c>
      <c r="AR271" s="206" t="str">
        <f t="shared" si="98"/>
        <v>YAMAHA_Mounter</v>
      </c>
      <c r="AS271" s="22">
        <f t="shared" si="99"/>
        <v>2</v>
      </c>
      <c r="AT271" s="24" t="str">
        <f t="shared" si="100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85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1"/>
        <v>560000</v>
      </c>
      <c r="AA272" s="13">
        <v>1.135</v>
      </c>
      <c r="AB272" s="21">
        <f t="shared" si="92"/>
        <v>562477.8761061948</v>
      </c>
      <c r="AC272" s="130">
        <f t="shared" si="93"/>
        <v>79421.876106194701</v>
      </c>
      <c r="AD272" s="169">
        <v>0.14119999999999999</v>
      </c>
      <c r="AE272" s="154">
        <f t="shared" si="94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5"/>
        <v>0.13071226364205143</v>
      </c>
      <c r="AL272" s="17"/>
      <c r="AM272" s="17"/>
      <c r="AN272" s="17"/>
      <c r="AO272" s="17"/>
      <c r="AP272" s="28" t="str">
        <f t="shared" si="96"/>
        <v>20197</v>
      </c>
      <c r="AQ272" s="28" t="str">
        <f t="shared" si="97"/>
        <v>20197RMB</v>
      </c>
      <c r="AR272" s="206" t="str">
        <f t="shared" si="98"/>
        <v>YAMAHA_Mounter</v>
      </c>
      <c r="AS272" s="22">
        <f t="shared" si="99"/>
        <v>2</v>
      </c>
      <c r="AT272" s="24" t="str">
        <f t="shared" si="100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85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1"/>
        <v>560000</v>
      </c>
      <c r="AA273" s="13">
        <v>1.1299999999999999</v>
      </c>
      <c r="AB273" s="21">
        <f t="shared" si="92"/>
        <v>560000</v>
      </c>
      <c r="AC273" s="130">
        <f t="shared" si="93"/>
        <v>62160</v>
      </c>
      <c r="AD273" s="169">
        <v>0.111</v>
      </c>
      <c r="AE273" s="154">
        <f t="shared" si="94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5"/>
        <v>0.12581216063459488</v>
      </c>
      <c r="AL273" s="17"/>
      <c r="AM273" s="17"/>
      <c r="AN273" s="17"/>
      <c r="AO273" s="17"/>
      <c r="AP273" s="28" t="str">
        <f t="shared" si="96"/>
        <v>20209</v>
      </c>
      <c r="AQ273" s="28" t="str">
        <f t="shared" si="97"/>
        <v>20209RMB</v>
      </c>
      <c r="AR273" s="206" t="str">
        <f t="shared" si="98"/>
        <v>YAMAHA_Mounter</v>
      </c>
      <c r="AS273" s="22">
        <f t="shared" si="99"/>
        <v>1</v>
      </c>
      <c r="AT273" s="24" t="str">
        <f t="shared" si="100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85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1"/>
        <v>9090000</v>
      </c>
      <c r="AA274" s="13">
        <v>7.22E-2</v>
      </c>
      <c r="AB274" s="21">
        <f t="shared" si="92"/>
        <v>656298</v>
      </c>
      <c r="AC274" s="130">
        <f t="shared" si="93"/>
        <v>108945.46800000001</v>
      </c>
      <c r="AD274" s="169">
        <v>0.16600000000000001</v>
      </c>
      <c r="AE274" s="154">
        <f t="shared" si="94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5"/>
        <v>0.13314606898547499</v>
      </c>
      <c r="AL274" s="17"/>
      <c r="AM274" s="17"/>
      <c r="AN274" s="17"/>
      <c r="AO274" s="17"/>
      <c r="AP274" s="28" t="str">
        <f t="shared" si="96"/>
        <v>20187</v>
      </c>
      <c r="AQ274" s="28" t="str">
        <f t="shared" si="97"/>
        <v>20187JPY</v>
      </c>
      <c r="AR274" s="206" t="str">
        <f t="shared" si="98"/>
        <v>YAMAHA_Mounter</v>
      </c>
      <c r="AS274" s="22">
        <f t="shared" si="99"/>
        <v>1</v>
      </c>
      <c r="AT274" s="24" t="str">
        <f t="shared" si="100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85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1"/>
        <v>700000</v>
      </c>
      <c r="AA275" s="13">
        <v>1.105</v>
      </c>
      <c r="AB275" s="21">
        <f t="shared" si="92"/>
        <v>684513.27433628321</v>
      </c>
      <c r="AC275" s="130">
        <f t="shared" si="93"/>
        <v>102266.28318584072</v>
      </c>
      <c r="AD275" s="169">
        <v>0.14940000000000001</v>
      </c>
      <c r="AE275" s="154">
        <f t="shared" si="94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5"/>
        <v>0.1413884065477731</v>
      </c>
      <c r="AL275" s="17"/>
      <c r="AM275" s="17"/>
      <c r="AN275" s="17"/>
      <c r="AO275" s="17"/>
      <c r="AP275" s="28" t="str">
        <f t="shared" si="96"/>
        <v>20236</v>
      </c>
      <c r="AQ275" s="28" t="str">
        <f t="shared" si="97"/>
        <v>20236RMB</v>
      </c>
      <c r="AR275" s="206" t="str">
        <f t="shared" si="98"/>
        <v>YAMAHA_Mounter</v>
      </c>
      <c r="AS275" s="22">
        <f t="shared" si="99"/>
        <v>1</v>
      </c>
      <c r="AT275" s="24" t="str">
        <f t="shared" si="100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85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1"/>
        <v>516000</v>
      </c>
      <c r="AA276" s="13">
        <v>1.105</v>
      </c>
      <c r="AB276" s="21">
        <f t="shared" si="92"/>
        <v>504584.07079646026</v>
      </c>
      <c r="AC276" s="130">
        <f t="shared" si="93"/>
        <v>75384.860176991162</v>
      </c>
      <c r="AD276" s="169">
        <v>0.14940000000000001</v>
      </c>
      <c r="AE276" s="154">
        <f t="shared" si="94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5"/>
        <v>0.1413884065477731</v>
      </c>
      <c r="AL276" s="17"/>
      <c r="AM276" s="17"/>
      <c r="AN276" s="17"/>
      <c r="AO276" s="17"/>
      <c r="AP276" s="28" t="str">
        <f t="shared" si="96"/>
        <v>20236</v>
      </c>
      <c r="AQ276" s="28" t="str">
        <f t="shared" si="97"/>
        <v>20236RMB</v>
      </c>
      <c r="AR276" s="206" t="str">
        <f t="shared" si="98"/>
        <v>YAMAHA_Mounter</v>
      </c>
      <c r="AS276" s="22">
        <f t="shared" si="99"/>
        <v>1</v>
      </c>
      <c r="AT276" s="24" t="str">
        <f t="shared" si="100"/>
        <v>0-3 months</v>
      </c>
    </row>
    <row r="277" spans="1:46" s="12" customFormat="1" ht="28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85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1"/>
        <v>700000</v>
      </c>
      <c r="AA277" s="13">
        <v>1.077</v>
      </c>
      <c r="AB277" s="21">
        <f t="shared" si="92"/>
        <v>667168.14159292029</v>
      </c>
      <c r="AC277" s="130">
        <f t="shared" si="93"/>
        <v>106346.60176991149</v>
      </c>
      <c r="AD277" s="169">
        <v>0.15939999999999999</v>
      </c>
      <c r="AE277" s="154">
        <f t="shared" si="94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5"/>
        <v>0.12032530077218917</v>
      </c>
      <c r="AL277" s="17"/>
      <c r="AM277" s="17"/>
      <c r="AN277" s="17"/>
      <c r="AO277" s="17"/>
      <c r="AP277" s="28" t="str">
        <f t="shared" si="96"/>
        <v>20239</v>
      </c>
      <c r="AQ277" s="28" t="str">
        <f t="shared" si="97"/>
        <v>20239RMB</v>
      </c>
      <c r="AR277" s="206" t="str">
        <f t="shared" si="98"/>
        <v>YAMAHA_Mounter</v>
      </c>
      <c r="AS277" s="22">
        <f t="shared" si="99"/>
        <v>0</v>
      </c>
      <c r="AT277" s="24" t="str">
        <f t="shared" si="100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85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1"/>
        <v>310000</v>
      </c>
      <c r="AA278" s="13">
        <v>1.095</v>
      </c>
      <c r="AB278" s="21">
        <f t="shared" si="92"/>
        <v>300398.23008849565</v>
      </c>
      <c r="AC278" s="130">
        <f t="shared" si="93"/>
        <v>70022.827433628336</v>
      </c>
      <c r="AD278" s="169">
        <v>0.2331</v>
      </c>
      <c r="AE278" s="154">
        <f t="shared" si="94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5"/>
        <v>0.14256432557804533</v>
      </c>
      <c r="AL278" s="17"/>
      <c r="AM278" s="17"/>
      <c r="AN278" s="17"/>
      <c r="AO278" s="17"/>
      <c r="AP278" s="28" t="str">
        <f t="shared" si="96"/>
        <v>20207</v>
      </c>
      <c r="AQ278" s="28" t="str">
        <f t="shared" si="97"/>
        <v>20207RMB</v>
      </c>
      <c r="AR278" s="206" t="str">
        <f t="shared" si="98"/>
        <v>HELLER</v>
      </c>
      <c r="AS278" s="22">
        <f t="shared" si="99"/>
        <v>2</v>
      </c>
      <c r="AT278" s="24" t="str">
        <f t="shared" si="100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85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1"/>
        <v>520000</v>
      </c>
      <c r="AA279" s="13">
        <v>1.1599999999999999</v>
      </c>
      <c r="AB279" s="21">
        <f t="shared" si="92"/>
        <v>520000</v>
      </c>
      <c r="AC279" s="130">
        <f t="shared" si="93"/>
        <v>73528</v>
      </c>
      <c r="AD279" s="169">
        <v>0.1414</v>
      </c>
      <c r="AE279" s="154">
        <f t="shared" si="94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5"/>
        <v>0.13203962224416277</v>
      </c>
      <c r="AL279" s="17"/>
      <c r="AM279" s="17"/>
      <c r="AN279" s="17"/>
      <c r="AO279" s="17"/>
      <c r="AP279" s="28" t="str">
        <f t="shared" si="96"/>
        <v>201812</v>
      </c>
      <c r="AQ279" s="28" t="str">
        <f t="shared" si="97"/>
        <v>201812RMB</v>
      </c>
      <c r="AR279" s="206" t="str">
        <f t="shared" si="98"/>
        <v>YAMAHA_Mounter</v>
      </c>
      <c r="AS279" s="22">
        <f t="shared" si="99"/>
        <v>4</v>
      </c>
      <c r="AT279" s="24" t="str">
        <f t="shared" si="100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85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1"/>
        <v>188600</v>
      </c>
      <c r="AA280" s="13">
        <v>1.1599999999999999</v>
      </c>
      <c r="AB280" s="21">
        <f t="shared" si="92"/>
        <v>188600</v>
      </c>
      <c r="AC280" s="130">
        <f t="shared" si="93"/>
        <v>26668.04</v>
      </c>
      <c r="AD280" s="169">
        <v>0.1414</v>
      </c>
      <c r="AE280" s="154">
        <f t="shared" si="94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5"/>
        <v>0.14724433143839863</v>
      </c>
      <c r="AL280" s="17"/>
      <c r="AM280" s="17"/>
      <c r="AN280" s="17"/>
      <c r="AO280" s="17"/>
      <c r="AP280" s="28" t="str">
        <f t="shared" si="96"/>
        <v>20193</v>
      </c>
      <c r="AQ280" s="28" t="str">
        <f t="shared" si="97"/>
        <v>20193RMB</v>
      </c>
      <c r="AR280" s="206" t="str">
        <f t="shared" si="98"/>
        <v>LOCAL SUPPLIER</v>
      </c>
      <c r="AS280" s="22">
        <f t="shared" si="99"/>
        <v>0</v>
      </c>
      <c r="AT280" s="24" t="str">
        <f t="shared" si="100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85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1"/>
        <v>303750</v>
      </c>
      <c r="AA281" s="13">
        <v>1.1599999999999999</v>
      </c>
      <c r="AB281" s="21">
        <f t="shared" si="92"/>
        <v>303750</v>
      </c>
      <c r="AC281" s="130">
        <f t="shared" si="93"/>
        <v>42950.25</v>
      </c>
      <c r="AD281" s="169">
        <v>0.1414</v>
      </c>
      <c r="AE281" s="154">
        <f t="shared" si="94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5"/>
        <v>0.14724433143839863</v>
      </c>
      <c r="AL281" s="17"/>
      <c r="AM281" s="17"/>
      <c r="AN281" s="17"/>
      <c r="AO281" s="17"/>
      <c r="AP281" s="28" t="str">
        <f t="shared" si="96"/>
        <v>20193</v>
      </c>
      <c r="AQ281" s="28" t="str">
        <f t="shared" si="97"/>
        <v>20193RMB</v>
      </c>
      <c r="AR281" s="206" t="str">
        <f t="shared" si="98"/>
        <v>LOCAL SUPPLIER</v>
      </c>
      <c r="AS281" s="22">
        <f t="shared" si="99"/>
        <v>0</v>
      </c>
      <c r="AT281" s="24" t="str">
        <f t="shared" si="100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85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1"/>
        <v>787453</v>
      </c>
      <c r="AA282" s="13">
        <v>1.175</v>
      </c>
      <c r="AB282" s="21">
        <f t="shared" si="92"/>
        <v>818811.74778761074</v>
      </c>
      <c r="AC282" s="130">
        <f t="shared" si="93"/>
        <v>98257.40973451329</v>
      </c>
      <c r="AD282" s="169">
        <v>0.12</v>
      </c>
      <c r="AE282" s="154">
        <f t="shared" si="94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477651199.57437885</v>
      </c>
      <c r="AJ282" s="19">
        <f t="shared" si="87"/>
        <v>56918800.518691957</v>
      </c>
      <c r="AK282" s="20">
        <f t="shared" si="95"/>
        <v>0.11916394341605475</v>
      </c>
      <c r="AL282" s="17"/>
      <c r="AM282" s="17"/>
      <c r="AN282" s="17"/>
      <c r="AO282" s="17"/>
      <c r="AP282" s="28" t="str">
        <f t="shared" si="96"/>
        <v>CancelCANCEL</v>
      </c>
      <c r="AQ282" s="28" t="str">
        <f t="shared" si="97"/>
        <v>CancelCANCELRMB</v>
      </c>
      <c r="AR282" s="206" t="str">
        <f t="shared" si="98"/>
        <v>YAMAHA_Mounter</v>
      </c>
      <c r="AS282" s="22" t="str">
        <f t="shared" si="99"/>
        <v/>
      </c>
      <c r="AT282" s="24" t="str">
        <f t="shared" si="100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85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1"/>
        <v>591899</v>
      </c>
      <c r="AA283" s="13">
        <v>1.175</v>
      </c>
      <c r="AB283" s="21">
        <f t="shared" si="92"/>
        <v>615470.19911504432</v>
      </c>
      <c r="AC283" s="130">
        <f t="shared" si="93"/>
        <v>73856.423893805317</v>
      </c>
      <c r="AD283" s="169">
        <v>0.12</v>
      </c>
      <c r="AE283" s="154">
        <f t="shared" si="94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477651199.57437885</v>
      </c>
      <c r="AJ283" s="19">
        <f t="shared" si="87"/>
        <v>56918800.518691957</v>
      </c>
      <c r="AK283" s="20">
        <f t="shared" si="95"/>
        <v>0.11916394341605475</v>
      </c>
      <c r="AL283" s="17"/>
      <c r="AM283" s="17"/>
      <c r="AN283" s="17"/>
      <c r="AO283" s="17"/>
      <c r="AP283" s="28" t="str">
        <f t="shared" si="96"/>
        <v>CancelCANCEL</v>
      </c>
      <c r="AQ283" s="28" t="str">
        <f t="shared" si="97"/>
        <v>CancelCANCELRMB</v>
      </c>
      <c r="AR283" s="206" t="str">
        <f t="shared" si="98"/>
        <v>YAMAHA_Mounter</v>
      </c>
      <c r="AS283" s="22" t="str">
        <f t="shared" si="99"/>
        <v/>
      </c>
      <c r="AT283" s="24" t="str">
        <f t="shared" si="100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85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1"/>
        <v>785000</v>
      </c>
      <c r="AA284" s="13">
        <v>1.2150000000000001</v>
      </c>
      <c r="AB284" s="21">
        <f t="shared" si="92"/>
        <v>844048.67256637185</v>
      </c>
      <c r="AC284" s="130">
        <f t="shared" si="93"/>
        <v>114284.19026548674</v>
      </c>
      <c r="AD284" s="169">
        <v>0.13539999999999999</v>
      </c>
      <c r="AE284" s="154">
        <f t="shared" si="94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5"/>
        <v>0.13679824337660537</v>
      </c>
      <c r="AL284" s="17"/>
      <c r="AM284" s="17"/>
      <c r="AN284" s="17"/>
      <c r="AO284" s="17"/>
      <c r="AP284" s="28" t="str">
        <f t="shared" si="96"/>
        <v>20216</v>
      </c>
      <c r="AQ284" s="28" t="str">
        <f t="shared" si="97"/>
        <v>20216RMB</v>
      </c>
      <c r="AR284" s="206" t="str">
        <f t="shared" si="98"/>
        <v>YAMAHA_Mounter</v>
      </c>
      <c r="AS284" s="22">
        <f t="shared" si="99"/>
        <v>2</v>
      </c>
      <c r="AT284" s="24" t="str">
        <f t="shared" si="100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85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1"/>
        <v>785000</v>
      </c>
      <c r="AA285" s="13">
        <v>1.2150000000000001</v>
      </c>
      <c r="AB285" s="21">
        <f t="shared" si="92"/>
        <v>844048.67256637185</v>
      </c>
      <c r="AC285" s="130">
        <f t="shared" si="93"/>
        <v>114284.19026548674</v>
      </c>
      <c r="AD285" s="169">
        <v>0.13539999999999999</v>
      </c>
      <c r="AE285" s="154">
        <f t="shared" si="94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5"/>
        <v>0.13679824337660537</v>
      </c>
      <c r="AL285" s="17"/>
      <c r="AM285" s="17"/>
      <c r="AN285" s="17"/>
      <c r="AO285" s="17"/>
      <c r="AP285" s="28" t="str">
        <f t="shared" si="96"/>
        <v>20216</v>
      </c>
      <c r="AQ285" s="28" t="str">
        <f t="shared" si="97"/>
        <v>20216RMB</v>
      </c>
      <c r="AR285" s="206" t="str">
        <f t="shared" si="98"/>
        <v>YAMAHA_Mounter</v>
      </c>
      <c r="AS285" s="22">
        <f t="shared" si="99"/>
        <v>2</v>
      </c>
      <c r="AT285" s="24" t="str">
        <f t="shared" si="100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85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1"/>
        <v>8300000</v>
      </c>
      <c r="AA286" s="13">
        <v>7.3599999999999999E-2</v>
      </c>
      <c r="AB286" s="21">
        <f t="shared" si="92"/>
        <v>610880</v>
      </c>
      <c r="AC286" s="130">
        <f t="shared" si="93"/>
        <v>106476.38400000001</v>
      </c>
      <c r="AD286" s="169">
        <v>0.17430000000000001</v>
      </c>
      <c r="AE286" s="154">
        <f t="shared" si="94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5"/>
        <v>0.13676937682988152</v>
      </c>
      <c r="AL286" s="17"/>
      <c r="AM286" s="17"/>
      <c r="AN286" s="17"/>
      <c r="AO286" s="17"/>
      <c r="AP286" s="28" t="str">
        <f t="shared" si="96"/>
        <v>20204</v>
      </c>
      <c r="AQ286" s="28" t="str">
        <f t="shared" si="97"/>
        <v>20204JPY</v>
      </c>
      <c r="AR286" s="206" t="str">
        <f t="shared" si="98"/>
        <v>YAMAHA_Mounter</v>
      </c>
      <c r="AS286" s="22">
        <f t="shared" si="99"/>
        <v>0</v>
      </c>
      <c r="AT286" s="24" t="str">
        <f t="shared" si="100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85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1"/>
        <v>790000</v>
      </c>
      <c r="AA287" s="13">
        <v>1.095</v>
      </c>
      <c r="AB287" s="21">
        <f t="shared" si="92"/>
        <v>765530.97345132753</v>
      </c>
      <c r="AC287" s="130">
        <f t="shared" si="93"/>
        <v>89490.57079646019</v>
      </c>
      <c r="AD287" s="169">
        <v>0.1169</v>
      </c>
      <c r="AE287" s="154">
        <f t="shared" si="94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5"/>
        <v>0.13676937682988152</v>
      </c>
      <c r="AL287" s="17"/>
      <c r="AM287" s="17"/>
      <c r="AN287" s="17"/>
      <c r="AO287" s="17"/>
      <c r="AP287" s="28" t="str">
        <f t="shared" si="96"/>
        <v>20204</v>
      </c>
      <c r="AQ287" s="28" t="str">
        <f t="shared" si="97"/>
        <v>20204RMB</v>
      </c>
      <c r="AR287" s="206" t="str">
        <f t="shared" si="98"/>
        <v>YAMAHA_Mounter</v>
      </c>
      <c r="AS287" s="22">
        <f t="shared" si="99"/>
        <v>0</v>
      </c>
      <c r="AT287" s="24" t="str">
        <f t="shared" si="100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85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1"/>
        <v>860000</v>
      </c>
      <c r="AA288" s="13">
        <v>1.095</v>
      </c>
      <c r="AB288" s="21">
        <f t="shared" si="92"/>
        <v>833362.83185840712</v>
      </c>
      <c r="AC288" s="130">
        <f t="shared" si="93"/>
        <v>170756.04424778762</v>
      </c>
      <c r="AD288" s="169">
        <v>0.2049</v>
      </c>
      <c r="AE288" s="154">
        <f t="shared" si="94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5"/>
        <v>0.14813220831602228</v>
      </c>
      <c r="AL288" s="17"/>
      <c r="AM288" s="17"/>
      <c r="AN288" s="17"/>
      <c r="AO288" s="17"/>
      <c r="AP288" s="28" t="str">
        <f t="shared" si="96"/>
        <v>20205</v>
      </c>
      <c r="AQ288" s="28" t="str">
        <f t="shared" si="97"/>
        <v>20205RMB</v>
      </c>
      <c r="AR288" s="206" t="str">
        <f t="shared" si="98"/>
        <v>YAMAHA_Mounter</v>
      </c>
      <c r="AS288" s="22">
        <f t="shared" si="99"/>
        <v>1</v>
      </c>
      <c r="AT288" s="24" t="str">
        <f t="shared" si="100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85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1"/>
        <v>1000000</v>
      </c>
      <c r="AA289" s="13">
        <v>1.095</v>
      </c>
      <c r="AB289" s="21">
        <f t="shared" si="92"/>
        <v>969026.54867256642</v>
      </c>
      <c r="AC289" s="130">
        <f t="shared" si="93"/>
        <v>198553.53982300885</v>
      </c>
      <c r="AD289" s="169">
        <v>0.2049</v>
      </c>
      <c r="AE289" s="154">
        <f t="shared" si="94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5"/>
        <v>0.14813220831602228</v>
      </c>
      <c r="AL289" s="17"/>
      <c r="AM289" s="17"/>
      <c r="AN289" s="17"/>
      <c r="AO289" s="17"/>
      <c r="AP289" s="28" t="str">
        <f t="shared" si="96"/>
        <v>20205</v>
      </c>
      <c r="AQ289" s="28" t="str">
        <f t="shared" si="97"/>
        <v>20205RMB</v>
      </c>
      <c r="AR289" s="206" t="str">
        <f t="shared" si="98"/>
        <v>YAMAHA_Mounter</v>
      </c>
      <c r="AS289" s="22">
        <f t="shared" si="99"/>
        <v>1</v>
      </c>
      <c r="AT289" s="24" t="str">
        <f t="shared" si="100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85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1"/>
        <v>1080000</v>
      </c>
      <c r="AA290" s="13">
        <v>1.22</v>
      </c>
      <c r="AB290" s="21">
        <f t="shared" si="92"/>
        <v>1166017.6991150444</v>
      </c>
      <c r="AC290" s="130">
        <f t="shared" si="93"/>
        <v>143769.98230088499</v>
      </c>
      <c r="AD290" s="169">
        <v>0.12330000000000001</v>
      </c>
      <c r="AE290" s="154">
        <f t="shared" si="94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5"/>
        <v>0.12968149510667554</v>
      </c>
      <c r="AL290" s="17"/>
      <c r="AM290" s="17"/>
      <c r="AN290" s="17"/>
      <c r="AO290" s="17"/>
      <c r="AP290" s="28" t="str">
        <f t="shared" si="96"/>
        <v>20221</v>
      </c>
      <c r="AQ290" s="28" t="str">
        <f t="shared" si="97"/>
        <v>20221RMB</v>
      </c>
      <c r="AR290" s="206" t="str">
        <f t="shared" si="98"/>
        <v>YAMAHA_Mounter</v>
      </c>
      <c r="AS290" s="22">
        <f t="shared" si="99"/>
        <v>1</v>
      </c>
      <c r="AT290" s="24" t="str">
        <f t="shared" si="100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85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1"/>
        <v>14333333.33</v>
      </c>
      <c r="AA291" s="13">
        <v>7.3599999999999999E-2</v>
      </c>
      <c r="AB291" s="21">
        <f t="shared" si="92"/>
        <v>1054933.3330880001</v>
      </c>
      <c r="AC291" s="130">
        <f t="shared" si="93"/>
        <v>141361.06663379201</v>
      </c>
      <c r="AD291" s="169">
        <v>0.13400000000000001</v>
      </c>
      <c r="AE291" s="154">
        <f t="shared" si="94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5"/>
        <v>0.14256950849102498</v>
      </c>
      <c r="AL291" s="17"/>
      <c r="AM291" s="17"/>
      <c r="AN291" s="17"/>
      <c r="AO291" s="17" t="s">
        <v>222</v>
      </c>
      <c r="AP291" s="28" t="str">
        <f t="shared" si="96"/>
        <v>20186</v>
      </c>
      <c r="AQ291" s="28" t="str">
        <f t="shared" si="97"/>
        <v>20186JPY</v>
      </c>
      <c r="AR291" s="206" t="str">
        <f t="shared" si="98"/>
        <v>YAMAHA_Mounter</v>
      </c>
      <c r="AS291" s="22">
        <f t="shared" si="99"/>
        <v>5</v>
      </c>
      <c r="AT291" s="24" t="str">
        <f t="shared" si="100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85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1"/>
        <v>28666666.66</v>
      </c>
      <c r="AA292" s="13">
        <v>7.2099999999999997E-2</v>
      </c>
      <c r="AB292" s="21">
        <f t="shared" si="92"/>
        <v>2066866.666186</v>
      </c>
      <c r="AC292" s="130">
        <f t="shared" si="93"/>
        <v>276960.13326892402</v>
      </c>
      <c r="AD292" s="169">
        <v>0.13400000000000001</v>
      </c>
      <c r="AE292" s="154">
        <f t="shared" si="94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5"/>
        <v>0.12637545201985867</v>
      </c>
      <c r="AL292" s="17"/>
      <c r="AM292" s="17"/>
      <c r="AN292" s="17"/>
      <c r="AO292" s="17"/>
      <c r="AP292" s="28" t="str">
        <f t="shared" si="96"/>
        <v>20189</v>
      </c>
      <c r="AQ292" s="28" t="str">
        <f t="shared" si="97"/>
        <v>20189JPY</v>
      </c>
      <c r="AR292" s="206" t="str">
        <f t="shared" si="98"/>
        <v>YAMAHA_Mounter</v>
      </c>
      <c r="AS292" s="22">
        <f t="shared" si="99"/>
        <v>8</v>
      </c>
      <c r="AT292" s="24" t="str">
        <f t="shared" si="100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85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1"/>
        <v>14856000</v>
      </c>
      <c r="AA293" s="13">
        <v>7.0199999999999999E-2</v>
      </c>
      <c r="AB293" s="21">
        <f t="shared" si="92"/>
        <v>1042891.2</v>
      </c>
      <c r="AC293" s="130">
        <f t="shared" si="93"/>
        <v>125146.94399999999</v>
      </c>
      <c r="AD293" s="169">
        <v>0.12</v>
      </c>
      <c r="AE293" s="154">
        <f t="shared" si="94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477651199.57437885</v>
      </c>
      <c r="AJ293" s="19">
        <f t="shared" si="87"/>
        <v>56918800.518691957</v>
      </c>
      <c r="AK293" s="20">
        <f t="shared" si="95"/>
        <v>0.11916394341605475</v>
      </c>
      <c r="AL293" s="17"/>
      <c r="AM293" s="17"/>
      <c r="AN293" s="17"/>
      <c r="AO293" s="17"/>
      <c r="AP293" s="28" t="str">
        <f t="shared" si="96"/>
        <v>CancelCancel</v>
      </c>
      <c r="AQ293" s="28" t="str">
        <f t="shared" si="97"/>
        <v>CancelCancelJPY</v>
      </c>
      <c r="AR293" s="206" t="str">
        <f t="shared" si="98"/>
        <v>YAMAHA_Mounter</v>
      </c>
      <c r="AS293" s="22" t="str">
        <f t="shared" si="99"/>
        <v/>
      </c>
      <c r="AT293" s="24" t="str">
        <f t="shared" si="100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85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1"/>
        <v>14856000</v>
      </c>
      <c r="AA294" s="13">
        <v>7.0199999999999999E-2</v>
      </c>
      <c r="AB294" s="21">
        <f t="shared" si="92"/>
        <v>1042891.2</v>
      </c>
      <c r="AC294" s="130">
        <f t="shared" si="93"/>
        <v>125146.94399999999</v>
      </c>
      <c r="AD294" s="169">
        <v>0.12</v>
      </c>
      <c r="AE294" s="154">
        <f t="shared" si="94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477651199.57437885</v>
      </c>
      <c r="AJ294" s="19">
        <f t="shared" si="87"/>
        <v>56918800.518691957</v>
      </c>
      <c r="AK294" s="20">
        <f t="shared" si="95"/>
        <v>0.11916394341605475</v>
      </c>
      <c r="AL294" s="17"/>
      <c r="AM294" s="17"/>
      <c r="AN294" s="17"/>
      <c r="AO294" s="17"/>
      <c r="AP294" s="28" t="str">
        <f t="shared" si="96"/>
        <v>CancelCancel</v>
      </c>
      <c r="AQ294" s="28" t="str">
        <f t="shared" si="97"/>
        <v>CancelCancelJPY</v>
      </c>
      <c r="AR294" s="206" t="str">
        <f t="shared" si="98"/>
        <v>YAMAHA_Mounter</v>
      </c>
      <c r="AS294" s="22" t="str">
        <f t="shared" si="99"/>
        <v/>
      </c>
      <c r="AT294" s="24" t="str">
        <f t="shared" si="100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85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1"/>
        <v>560000</v>
      </c>
      <c r="AA295" s="13">
        <v>1.095</v>
      </c>
      <c r="AB295" s="21">
        <f t="shared" si="92"/>
        <v>542654.8672566372</v>
      </c>
      <c r="AC295" s="130">
        <f t="shared" si="93"/>
        <v>64521.663716814168</v>
      </c>
      <c r="AD295" s="169">
        <v>0.11890000000000001</v>
      </c>
      <c r="AE295" s="154">
        <f t="shared" si="94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5"/>
        <v>0.11239662168514358</v>
      </c>
      <c r="AL295" s="17"/>
      <c r="AM295" s="17"/>
      <c r="AN295" s="17"/>
      <c r="AO295" s="17"/>
      <c r="AP295" s="28" t="str">
        <f t="shared" si="96"/>
        <v>201910</v>
      </c>
      <c r="AQ295" s="28" t="str">
        <f t="shared" si="97"/>
        <v>201910RMB</v>
      </c>
      <c r="AR295" s="206" t="str">
        <f t="shared" si="98"/>
        <v>YAMAHA_Mounter</v>
      </c>
      <c r="AS295" s="22">
        <f t="shared" si="99"/>
        <v>1</v>
      </c>
      <c r="AT295" s="24" t="str">
        <f t="shared" si="100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85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1"/>
        <v>780000</v>
      </c>
      <c r="AA296" s="13">
        <v>1.095</v>
      </c>
      <c r="AB296" s="21">
        <f t="shared" si="92"/>
        <v>755840.70796460181</v>
      </c>
      <c r="AC296" s="130">
        <f t="shared" si="93"/>
        <v>105666.53097345134</v>
      </c>
      <c r="AD296" s="169">
        <v>0.13980000000000001</v>
      </c>
      <c r="AE296" s="154">
        <f t="shared" si="94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5"/>
        <v>0.14256432557804533</v>
      </c>
      <c r="AL296" s="17"/>
      <c r="AM296" s="17"/>
      <c r="AN296" s="17"/>
      <c r="AO296" s="17"/>
      <c r="AP296" s="28" t="str">
        <f t="shared" si="96"/>
        <v>20207</v>
      </c>
      <c r="AQ296" s="28" t="str">
        <f t="shared" si="97"/>
        <v>20207RMB</v>
      </c>
      <c r="AR296" s="206" t="str">
        <f t="shared" si="98"/>
        <v>YAMAHA_Mounter</v>
      </c>
      <c r="AS296" s="22">
        <f t="shared" si="99"/>
        <v>1</v>
      </c>
      <c r="AT296" s="24" t="str">
        <f t="shared" si="100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85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1"/>
        <v>1000000</v>
      </c>
      <c r="AA297" s="13">
        <v>1.095</v>
      </c>
      <c r="AB297" s="21">
        <f t="shared" si="92"/>
        <v>969026.54867256642</v>
      </c>
      <c r="AC297" s="130">
        <f t="shared" si="93"/>
        <v>135469.91150442479</v>
      </c>
      <c r="AD297" s="169">
        <v>0.13980000000000001</v>
      </c>
      <c r="AE297" s="154">
        <f t="shared" si="94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5"/>
        <v>0.14256432557804533</v>
      </c>
      <c r="AL297" s="17"/>
      <c r="AM297" s="17"/>
      <c r="AN297" s="17"/>
      <c r="AO297" s="17"/>
      <c r="AP297" s="28" t="str">
        <f t="shared" si="96"/>
        <v>20207</v>
      </c>
      <c r="AQ297" s="28" t="str">
        <f t="shared" si="97"/>
        <v>20207RMB</v>
      </c>
      <c r="AR297" s="206" t="str">
        <f t="shared" si="98"/>
        <v>YAMAHA_Mounter</v>
      </c>
      <c r="AS297" s="22">
        <f t="shared" si="99"/>
        <v>1</v>
      </c>
      <c r="AT297" s="24" t="str">
        <f t="shared" si="100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85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1"/>
        <v>1000000</v>
      </c>
      <c r="AA298" s="13">
        <v>1.095</v>
      </c>
      <c r="AB298" s="21">
        <f t="shared" si="92"/>
        <v>969026.54867256642</v>
      </c>
      <c r="AC298" s="130">
        <f t="shared" si="93"/>
        <v>135469.91150442479</v>
      </c>
      <c r="AD298" s="169">
        <v>0.13980000000000001</v>
      </c>
      <c r="AE298" s="154">
        <f t="shared" si="94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5"/>
        <v>0.14256432557804533</v>
      </c>
      <c r="AL298" s="17"/>
      <c r="AM298" s="17"/>
      <c r="AN298" s="17"/>
      <c r="AO298" s="17"/>
      <c r="AP298" s="28" t="str">
        <f t="shared" si="96"/>
        <v>20207</v>
      </c>
      <c r="AQ298" s="28" t="str">
        <f t="shared" si="97"/>
        <v>20207RMB</v>
      </c>
      <c r="AR298" s="206" t="str">
        <f t="shared" si="98"/>
        <v>YAMAHA_Mounter</v>
      </c>
      <c r="AS298" s="22">
        <f t="shared" si="99"/>
        <v>1</v>
      </c>
      <c r="AT298" s="24" t="str">
        <f t="shared" si="100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85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1"/>
        <v>540000</v>
      </c>
      <c r="AA299" s="13">
        <v>1.095</v>
      </c>
      <c r="AB299" s="21">
        <f t="shared" si="92"/>
        <v>523274.33628318593</v>
      </c>
      <c r="AC299" s="130">
        <f t="shared" si="93"/>
        <v>87334.486725663723</v>
      </c>
      <c r="AD299" s="169">
        <v>0.16689999999999999</v>
      </c>
      <c r="AE299" s="154">
        <f t="shared" si="94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5"/>
        <v>0.14256432557804533</v>
      </c>
      <c r="AL299" s="17"/>
      <c r="AM299" s="17"/>
      <c r="AN299" s="17"/>
      <c r="AO299" s="17"/>
      <c r="AP299" s="28" t="str">
        <f t="shared" si="96"/>
        <v>20207</v>
      </c>
      <c r="AQ299" s="28" t="str">
        <f t="shared" si="97"/>
        <v>20207RMB</v>
      </c>
      <c r="AR299" s="206" t="str">
        <f t="shared" si="98"/>
        <v>YAMAHA_Mounter</v>
      </c>
      <c r="AS299" s="22">
        <f t="shared" si="99"/>
        <v>1</v>
      </c>
      <c r="AT299" s="24" t="str">
        <f t="shared" si="100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85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1">IF(W300="RMB","1.13", "1")</f>
        <v>1.13</v>
      </c>
      <c r="Z300" s="18">
        <f t="shared" si="91"/>
        <v>620000</v>
      </c>
      <c r="AA300" s="13">
        <v>1.1950000000000001</v>
      </c>
      <c r="AB300" s="21">
        <f t="shared" si="92"/>
        <v>655663.71681415942</v>
      </c>
      <c r="AC300" s="130">
        <f t="shared" si="93"/>
        <v>105299.592920354</v>
      </c>
      <c r="AD300" s="169">
        <v>0.16059999999999999</v>
      </c>
      <c r="AE300" s="154">
        <f t="shared" si="94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5"/>
        <v>0.141215124388995</v>
      </c>
      <c r="AL300" s="17"/>
      <c r="AM300" s="17"/>
      <c r="AN300" s="17"/>
      <c r="AO300" s="17"/>
      <c r="AP300" s="28" t="str">
        <f t="shared" si="96"/>
        <v>20215</v>
      </c>
      <c r="AQ300" s="28" t="str">
        <f t="shared" si="97"/>
        <v>20215RMB</v>
      </c>
      <c r="AR300" s="206" t="str">
        <f t="shared" si="98"/>
        <v>YAMAHA_Mounter</v>
      </c>
      <c r="AS300" s="22">
        <f t="shared" si="99"/>
        <v>3</v>
      </c>
      <c r="AT300" s="24" t="str">
        <f t="shared" si="100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85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1"/>
        <v>1.13</v>
      </c>
      <c r="Z301" s="18">
        <f t="shared" si="91"/>
        <v>620000</v>
      </c>
      <c r="AA301" s="13">
        <v>1.1950000000000001</v>
      </c>
      <c r="AB301" s="21">
        <f t="shared" si="92"/>
        <v>655663.71681415942</v>
      </c>
      <c r="AC301" s="130">
        <f t="shared" si="93"/>
        <v>105299.592920354</v>
      </c>
      <c r="AD301" s="169">
        <v>0.16059999999999999</v>
      </c>
      <c r="AE301" s="154">
        <f t="shared" si="94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5"/>
        <v>0.141215124388995</v>
      </c>
      <c r="AL301" s="17"/>
      <c r="AM301" s="17"/>
      <c r="AN301" s="17"/>
      <c r="AO301" s="17"/>
      <c r="AP301" s="28" t="str">
        <f t="shared" si="96"/>
        <v>20215</v>
      </c>
      <c r="AQ301" s="28" t="str">
        <f t="shared" si="97"/>
        <v>20215RMB</v>
      </c>
      <c r="AR301" s="206" t="str">
        <f t="shared" si="98"/>
        <v>YAMAHA_Mounter</v>
      </c>
      <c r="AS301" s="22">
        <f t="shared" si="99"/>
        <v>3</v>
      </c>
      <c r="AT301" s="24" t="str">
        <f t="shared" si="100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85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1"/>
        <v>1.13</v>
      </c>
      <c r="Z302" s="18">
        <f t="shared" si="91"/>
        <v>805000</v>
      </c>
      <c r="AA302" s="13">
        <v>1.1950000000000001</v>
      </c>
      <c r="AB302" s="21">
        <f t="shared" si="92"/>
        <v>851305.3097345134</v>
      </c>
      <c r="AC302" s="130">
        <f t="shared" si="93"/>
        <v>136719.63274336283</v>
      </c>
      <c r="AD302" s="169">
        <v>0.16059999999999999</v>
      </c>
      <c r="AE302" s="154">
        <f t="shared" si="94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5"/>
        <v>0.141215124388995</v>
      </c>
      <c r="AL302" s="17"/>
      <c r="AM302" s="17"/>
      <c r="AN302" s="17"/>
      <c r="AO302" s="17"/>
      <c r="AP302" s="28" t="str">
        <f t="shared" si="96"/>
        <v>20215</v>
      </c>
      <c r="AQ302" s="28" t="str">
        <f t="shared" si="97"/>
        <v>20215RMB</v>
      </c>
      <c r="AR302" s="206" t="str">
        <f t="shared" si="98"/>
        <v>YAMAHA_Mounter</v>
      </c>
      <c r="AS302" s="22">
        <f t="shared" si="99"/>
        <v>3</v>
      </c>
      <c r="AT302" s="24" t="str">
        <f t="shared" si="100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85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1"/>
        <v>1.13</v>
      </c>
      <c r="Z303" s="18">
        <f t="shared" si="91"/>
        <v>805000</v>
      </c>
      <c r="AA303" s="13">
        <v>1.1950000000000001</v>
      </c>
      <c r="AB303" s="21">
        <f t="shared" si="92"/>
        <v>851305.3097345134</v>
      </c>
      <c r="AC303" s="130">
        <f t="shared" si="93"/>
        <v>136719.63274336283</v>
      </c>
      <c r="AD303" s="169">
        <v>0.16059999999999999</v>
      </c>
      <c r="AE303" s="154">
        <f t="shared" si="94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5"/>
        <v>0.141215124388995</v>
      </c>
      <c r="AL303" s="17"/>
      <c r="AM303" s="17"/>
      <c r="AN303" s="17"/>
      <c r="AO303" s="17"/>
      <c r="AP303" s="28" t="str">
        <f t="shared" si="96"/>
        <v>20215</v>
      </c>
      <c r="AQ303" s="28" t="str">
        <f t="shared" si="97"/>
        <v>20215RMB</v>
      </c>
      <c r="AR303" s="206" t="str">
        <f t="shared" si="98"/>
        <v>YAMAHA_Mounter</v>
      </c>
      <c r="AS303" s="22">
        <f t="shared" si="99"/>
        <v>3</v>
      </c>
      <c r="AT303" s="24" t="str">
        <f t="shared" si="100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85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1"/>
        <v>1</v>
      </c>
      <c r="Z304" s="18">
        <f t="shared" si="91"/>
        <v>15786000</v>
      </c>
      <c r="AA304" s="13">
        <v>5.8700000000000002E-2</v>
      </c>
      <c r="AB304" s="21">
        <f t="shared" si="92"/>
        <v>926638.20000000007</v>
      </c>
      <c r="AC304" s="130">
        <f t="shared" si="93"/>
        <v>119258.33634000002</v>
      </c>
      <c r="AD304" s="169">
        <v>0.12870000000000001</v>
      </c>
      <c r="AE304" s="154">
        <f t="shared" si="94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5"/>
        <v>0.14613378412599562</v>
      </c>
      <c r="AL304" s="17"/>
      <c r="AM304" s="17"/>
      <c r="AN304" s="17"/>
      <c r="AO304" s="17"/>
      <c r="AP304" s="28" t="str">
        <f t="shared" si="96"/>
        <v>20227</v>
      </c>
      <c r="AQ304" s="28" t="str">
        <f t="shared" si="97"/>
        <v>20227JPY</v>
      </c>
      <c r="AR304" s="206" t="str">
        <f t="shared" si="98"/>
        <v>YAMAHA_Mounter</v>
      </c>
      <c r="AS304" s="22">
        <f t="shared" si="99"/>
        <v>4</v>
      </c>
      <c r="AT304" s="24" t="str">
        <f t="shared" si="100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85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1"/>
        <v>1</v>
      </c>
      <c r="Z305" s="18">
        <f t="shared" si="91"/>
        <v>15786000</v>
      </c>
      <c r="AA305" s="13">
        <v>5.8700000000000002E-2</v>
      </c>
      <c r="AB305" s="21">
        <f t="shared" si="92"/>
        <v>926638.20000000007</v>
      </c>
      <c r="AC305" s="130">
        <f t="shared" si="93"/>
        <v>119258.33634000002</v>
      </c>
      <c r="AD305" s="169">
        <v>0.12870000000000001</v>
      </c>
      <c r="AE305" s="154">
        <f t="shared" si="94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5"/>
        <v>0.14613378412599562</v>
      </c>
      <c r="AL305" s="17"/>
      <c r="AM305" s="17"/>
      <c r="AN305" s="17"/>
      <c r="AO305" s="17"/>
      <c r="AP305" s="28" t="str">
        <f t="shared" si="96"/>
        <v>20227</v>
      </c>
      <c r="AQ305" s="28" t="str">
        <f t="shared" si="97"/>
        <v>20227JPY</v>
      </c>
      <c r="AR305" s="206" t="str">
        <f t="shared" si="98"/>
        <v>YAMAHA_Mounter</v>
      </c>
      <c r="AS305" s="22">
        <f t="shared" si="99"/>
        <v>4</v>
      </c>
      <c r="AT305" s="24" t="str">
        <f t="shared" si="100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85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1"/>
        <v>1</v>
      </c>
      <c r="Z306" s="18">
        <f t="shared" si="91"/>
        <v>15786000</v>
      </c>
      <c r="AA306" s="13">
        <v>5.8700000000000002E-2</v>
      </c>
      <c r="AB306" s="21">
        <f t="shared" si="92"/>
        <v>926638.20000000007</v>
      </c>
      <c r="AC306" s="130">
        <f t="shared" si="93"/>
        <v>119258.33634000002</v>
      </c>
      <c r="AD306" s="169">
        <v>0.12870000000000001</v>
      </c>
      <c r="AE306" s="154">
        <f t="shared" si="94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5"/>
        <v>0.14613378412599562</v>
      </c>
      <c r="AL306" s="17"/>
      <c r="AM306" s="17"/>
      <c r="AN306" s="17"/>
      <c r="AO306" s="17"/>
      <c r="AP306" s="28" t="str">
        <f t="shared" si="96"/>
        <v>20227</v>
      </c>
      <c r="AQ306" s="28" t="str">
        <f t="shared" si="97"/>
        <v>20227JPY</v>
      </c>
      <c r="AR306" s="206" t="str">
        <f t="shared" si="98"/>
        <v>YAMAHA_Mounter</v>
      </c>
      <c r="AS306" s="22">
        <f t="shared" si="99"/>
        <v>4</v>
      </c>
      <c r="AT306" s="24" t="str">
        <f t="shared" si="100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85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1"/>
        <v>1</v>
      </c>
      <c r="Z307" s="18">
        <f t="shared" si="91"/>
        <v>8700000</v>
      </c>
      <c r="AA307" s="13">
        <v>5.8700000000000002E-2</v>
      </c>
      <c r="AB307" s="21">
        <f t="shared" si="92"/>
        <v>510690</v>
      </c>
      <c r="AC307" s="130">
        <f t="shared" si="93"/>
        <v>65725.803</v>
      </c>
      <c r="AD307" s="169">
        <v>0.12870000000000001</v>
      </c>
      <c r="AE307" s="154">
        <f t="shared" si="94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5"/>
        <v>0.14613378412599562</v>
      </c>
      <c r="AL307" s="17"/>
      <c r="AM307" s="17"/>
      <c r="AN307" s="17"/>
      <c r="AO307" s="17"/>
      <c r="AP307" s="28" t="str">
        <f t="shared" si="96"/>
        <v>20227</v>
      </c>
      <c r="AQ307" s="28" t="str">
        <f t="shared" si="97"/>
        <v>20227JPY</v>
      </c>
      <c r="AR307" s="206" t="str">
        <f t="shared" si="98"/>
        <v>YAMAHA_Mounter</v>
      </c>
      <c r="AS307" s="22">
        <f t="shared" si="99"/>
        <v>4</v>
      </c>
      <c r="AT307" s="24" t="str">
        <f t="shared" si="100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85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1"/>
        <v>1</v>
      </c>
      <c r="Z308" s="18">
        <f t="shared" si="91"/>
        <v>8700000</v>
      </c>
      <c r="AA308" s="13">
        <v>5.8700000000000002E-2</v>
      </c>
      <c r="AB308" s="21">
        <f t="shared" si="92"/>
        <v>510690</v>
      </c>
      <c r="AC308" s="130">
        <f t="shared" si="93"/>
        <v>65725.803</v>
      </c>
      <c r="AD308" s="169">
        <v>0.12870000000000001</v>
      </c>
      <c r="AE308" s="154">
        <f t="shared" si="94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5"/>
        <v>0.14613378412599562</v>
      </c>
      <c r="AL308" s="17"/>
      <c r="AM308" s="17"/>
      <c r="AN308" s="17"/>
      <c r="AO308" s="17"/>
      <c r="AP308" s="28" t="str">
        <f t="shared" si="96"/>
        <v>20227</v>
      </c>
      <c r="AQ308" s="28" t="str">
        <f t="shared" si="97"/>
        <v>20227JPY</v>
      </c>
      <c r="AR308" s="206" t="str">
        <f t="shared" si="98"/>
        <v>YAMAHA_Mounter</v>
      </c>
      <c r="AS308" s="22">
        <f t="shared" si="99"/>
        <v>4</v>
      </c>
      <c r="AT308" s="24" t="str">
        <f t="shared" si="100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85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1"/>
        <v>260000</v>
      </c>
      <c r="AA309" s="13">
        <v>1.1100000000000001</v>
      </c>
      <c r="AB309" s="21">
        <f t="shared" si="92"/>
        <v>255398.23008849562</v>
      </c>
      <c r="AC309" s="130">
        <f t="shared" si="93"/>
        <v>37390.300884955759</v>
      </c>
      <c r="AD309" s="169">
        <v>0.1464</v>
      </c>
      <c r="AE309" s="154">
        <f t="shared" si="94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5"/>
        <v>0.11033308963444827</v>
      </c>
      <c r="AL309" s="17"/>
      <c r="AM309" s="17"/>
      <c r="AN309" s="17"/>
      <c r="AO309" s="17"/>
      <c r="AP309" s="28" t="str">
        <f t="shared" si="96"/>
        <v>201912</v>
      </c>
      <c r="AQ309" s="28" t="str">
        <f t="shared" si="97"/>
        <v>201912RMB</v>
      </c>
      <c r="AR309" s="206" t="str">
        <f t="shared" si="98"/>
        <v>HELLER</v>
      </c>
      <c r="AS309" s="22">
        <f t="shared" si="99"/>
        <v>1</v>
      </c>
      <c r="AT309" s="24" t="str">
        <f t="shared" si="100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85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2">IF(W310="RMB","1.13", "1")</f>
        <v>1.13</v>
      </c>
      <c r="Z310" s="18">
        <f t="shared" si="91"/>
        <v>700000</v>
      </c>
      <c r="AA310" s="13">
        <v>1.095</v>
      </c>
      <c r="AB310" s="21">
        <f t="shared" si="92"/>
        <v>678318.5840707965</v>
      </c>
      <c r="AC310" s="130">
        <f t="shared" si="93"/>
        <v>81398.230088495577</v>
      </c>
      <c r="AD310" s="169">
        <v>0.12</v>
      </c>
      <c r="AE310" s="154">
        <f t="shared" si="94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16602721.68141593</v>
      </c>
      <c r="AJ310" s="19">
        <f t="shared" si="87"/>
        <v>1923201.4867699118</v>
      </c>
      <c r="AK310" s="20">
        <f t="shared" si="95"/>
        <v>0.11583651907642503</v>
      </c>
      <c r="AL310" s="17"/>
      <c r="AM310" s="17"/>
      <c r="AN310" s="17"/>
      <c r="AO310" s="17"/>
      <c r="AP310" s="28" t="str">
        <f t="shared" si="96"/>
        <v>TBATBA</v>
      </c>
      <c r="AQ310" s="28" t="str">
        <f t="shared" si="97"/>
        <v>TBATBARMB</v>
      </c>
      <c r="AR310" s="206" t="str">
        <f t="shared" si="98"/>
        <v>YAMAHA_Mounter</v>
      </c>
      <c r="AS310" s="22" t="str">
        <f t="shared" si="99"/>
        <v/>
      </c>
      <c r="AT310" s="24" t="str">
        <f t="shared" si="100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85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2"/>
        <v>1.13</v>
      </c>
      <c r="Z311" s="18">
        <f t="shared" si="91"/>
        <v>680000</v>
      </c>
      <c r="AA311" s="13">
        <v>1.095</v>
      </c>
      <c r="AB311" s="21">
        <f t="shared" si="92"/>
        <v>658938.05309734517</v>
      </c>
      <c r="AC311" s="130">
        <f t="shared" si="93"/>
        <v>79072.566371681416</v>
      </c>
      <c r="AD311" s="169">
        <v>0.12</v>
      </c>
      <c r="AE311" s="154">
        <f t="shared" si="94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16602721.68141593</v>
      </c>
      <c r="AJ311" s="19">
        <f t="shared" si="87"/>
        <v>1923201.4867699118</v>
      </c>
      <c r="AK311" s="20">
        <f t="shared" si="95"/>
        <v>0.11583651907642503</v>
      </c>
      <c r="AL311" s="17"/>
      <c r="AM311" s="17"/>
      <c r="AN311" s="17"/>
      <c r="AO311" s="17"/>
      <c r="AP311" s="28" t="str">
        <f t="shared" si="96"/>
        <v>TBATBA</v>
      </c>
      <c r="AQ311" s="28" t="str">
        <f t="shared" si="97"/>
        <v>TBATBARMB</v>
      </c>
      <c r="AR311" s="206" t="str">
        <f t="shared" si="98"/>
        <v>YAMAHA_Mounter</v>
      </c>
      <c r="AS311" s="22" t="str">
        <f t="shared" si="99"/>
        <v/>
      </c>
      <c r="AT311" s="24" t="str">
        <f t="shared" si="100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85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2"/>
        <v>1.13</v>
      </c>
      <c r="Z312" s="18">
        <f t="shared" si="91"/>
        <v>744200</v>
      </c>
      <c r="AA312" s="13">
        <v>1.18</v>
      </c>
      <c r="AB312" s="21">
        <f t="shared" si="92"/>
        <v>777129.20353982307</v>
      </c>
      <c r="AC312" s="130">
        <f t="shared" si="93"/>
        <v>128148.60566371682</v>
      </c>
      <c r="AD312" s="169">
        <v>0.16489999999999999</v>
      </c>
      <c r="AE312" s="154">
        <f t="shared" si="94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5"/>
        <v>0.14842821680123736</v>
      </c>
      <c r="AL312" s="17"/>
      <c r="AM312" s="17"/>
      <c r="AN312" s="17"/>
      <c r="AO312" s="17"/>
      <c r="AP312" s="28" t="str">
        <f t="shared" si="96"/>
        <v>20214</v>
      </c>
      <c r="AQ312" s="28" t="str">
        <f t="shared" si="97"/>
        <v>20214RMB</v>
      </c>
      <c r="AR312" s="206" t="str">
        <f t="shared" si="98"/>
        <v>YAMAHA_Mounter</v>
      </c>
      <c r="AS312" s="22">
        <f t="shared" si="99"/>
        <v>1</v>
      </c>
      <c r="AT312" s="24" t="str">
        <f t="shared" si="100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85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2"/>
        <v>1.13</v>
      </c>
      <c r="Z313" s="18">
        <f t="shared" si="91"/>
        <v>900000</v>
      </c>
      <c r="AA313" s="13">
        <v>1.105</v>
      </c>
      <c r="AB313" s="21">
        <f t="shared" si="92"/>
        <v>880088.49557522126</v>
      </c>
      <c r="AC313" s="130">
        <f t="shared" si="93"/>
        <v>91001.150442477883</v>
      </c>
      <c r="AD313" s="169">
        <v>0.10340000000000001</v>
      </c>
      <c r="AE313" s="154">
        <f t="shared" si="94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5"/>
        <v>0.1413884065477731</v>
      </c>
      <c r="AL313" s="17"/>
      <c r="AM313" s="17"/>
      <c r="AN313" s="17"/>
      <c r="AO313" s="17"/>
      <c r="AP313" s="28" t="str">
        <f t="shared" si="96"/>
        <v>20236</v>
      </c>
      <c r="AQ313" s="28" t="str">
        <f t="shared" si="97"/>
        <v>20236RMB</v>
      </c>
      <c r="AR313" s="206" t="str">
        <f t="shared" si="98"/>
        <v>YAMAHA_Mounter</v>
      </c>
      <c r="AS313" s="22">
        <f t="shared" si="99"/>
        <v>7</v>
      </c>
      <c r="AT313" s="24" t="str">
        <f t="shared" si="100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85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2"/>
        <v>1.13</v>
      </c>
      <c r="Z314" s="18">
        <f t="shared" si="91"/>
        <v>787000</v>
      </c>
      <c r="AA314" s="13">
        <v>1.105</v>
      </c>
      <c r="AB314" s="21">
        <f t="shared" si="92"/>
        <v>769588.49557522126</v>
      </c>
      <c r="AC314" s="130">
        <f t="shared" si="93"/>
        <v>79575.450442477886</v>
      </c>
      <c r="AD314" s="169">
        <v>0.10340000000000001</v>
      </c>
      <c r="AE314" s="154">
        <f t="shared" si="94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5"/>
        <v>0.1413884065477731</v>
      </c>
      <c r="AL314" s="17"/>
      <c r="AM314" s="17"/>
      <c r="AN314" s="17"/>
      <c r="AO314" s="17"/>
      <c r="AP314" s="28" t="str">
        <f t="shared" si="96"/>
        <v>20236</v>
      </c>
      <c r="AQ314" s="28" t="str">
        <f t="shared" si="97"/>
        <v>20236RMB</v>
      </c>
      <c r="AR314" s="206" t="str">
        <f t="shared" si="98"/>
        <v>YAMAHA_Mounter</v>
      </c>
      <c r="AS314" s="22">
        <f t="shared" si="99"/>
        <v>7</v>
      </c>
      <c r="AT314" s="24" t="str">
        <f t="shared" si="100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85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2"/>
        <v>1.13</v>
      </c>
      <c r="Z315" s="18">
        <f t="shared" si="91"/>
        <v>660000</v>
      </c>
      <c r="AA315" s="13">
        <v>1.0900000000000001</v>
      </c>
      <c r="AB315" s="21">
        <f t="shared" si="92"/>
        <v>636637.16814159299</v>
      </c>
      <c r="AC315" s="130">
        <f t="shared" si="93"/>
        <v>48639.079646017701</v>
      </c>
      <c r="AD315" s="169">
        <v>7.6399999999999996E-2</v>
      </c>
      <c r="AE315" s="154">
        <f t="shared" si="94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5"/>
        <v>0.14268518919984163</v>
      </c>
      <c r="AL315" s="17"/>
      <c r="AM315" s="17"/>
      <c r="AN315" s="17"/>
      <c r="AO315" s="17"/>
      <c r="AP315" s="28" t="str">
        <f t="shared" si="96"/>
        <v>202212</v>
      </c>
      <c r="AQ315" s="28" t="str">
        <f t="shared" si="97"/>
        <v>202212RMB</v>
      </c>
      <c r="AR315" s="206" t="str">
        <f t="shared" si="98"/>
        <v>YAMAHA_Mounter</v>
      </c>
      <c r="AS315" s="22">
        <f t="shared" si="99"/>
        <v>2</v>
      </c>
      <c r="AT315" s="24" t="str">
        <f t="shared" si="100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85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2"/>
        <v>1.13</v>
      </c>
      <c r="Z316" s="18">
        <f t="shared" si="91"/>
        <v>660000</v>
      </c>
      <c r="AA316" s="13">
        <v>1.0900000000000001</v>
      </c>
      <c r="AB316" s="21">
        <f t="shared" si="92"/>
        <v>636637.16814159299</v>
      </c>
      <c r="AC316" s="130">
        <f t="shared" si="93"/>
        <v>48639.079646017701</v>
      </c>
      <c r="AD316" s="169">
        <v>7.6399999999999996E-2</v>
      </c>
      <c r="AE316" s="154">
        <f t="shared" si="94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5"/>
        <v>0.14268518919984163</v>
      </c>
      <c r="AL316" s="17"/>
      <c r="AM316" s="17"/>
      <c r="AN316" s="17"/>
      <c r="AO316" s="17"/>
      <c r="AP316" s="28" t="str">
        <f t="shared" si="96"/>
        <v>202212</v>
      </c>
      <c r="AQ316" s="28" t="str">
        <f t="shared" si="97"/>
        <v>202212RMB</v>
      </c>
      <c r="AR316" s="206" t="str">
        <f t="shared" si="98"/>
        <v>YAMAHA_Mounter</v>
      </c>
      <c r="AS316" s="22">
        <f t="shared" si="99"/>
        <v>2</v>
      </c>
      <c r="AT316" s="24" t="str">
        <f t="shared" si="100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85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2"/>
        <v>1.13</v>
      </c>
      <c r="Z317" s="18">
        <f t="shared" si="91"/>
        <v>543315</v>
      </c>
      <c r="AA317" s="13">
        <v>1.163</v>
      </c>
      <c r="AB317" s="21">
        <f t="shared" si="92"/>
        <v>559181.72123893816</v>
      </c>
      <c r="AC317" s="130">
        <f t="shared" si="93"/>
        <v>80410.331514159319</v>
      </c>
      <c r="AD317" s="169">
        <v>0.14380000000000001</v>
      </c>
      <c r="AE317" s="154">
        <f t="shared" si="94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5"/>
        <v>0.14353007902118958</v>
      </c>
      <c r="AL317" s="17"/>
      <c r="AM317" s="17"/>
      <c r="AN317" s="17"/>
      <c r="AO317" s="17"/>
      <c r="AP317" s="28" t="str">
        <f t="shared" si="96"/>
        <v>20228</v>
      </c>
      <c r="AQ317" s="28" t="str">
        <f t="shared" si="97"/>
        <v>20228RMB</v>
      </c>
      <c r="AR317" s="206" t="str">
        <f t="shared" si="98"/>
        <v>YAMAHA_Mounter</v>
      </c>
      <c r="AS317" s="22">
        <f t="shared" si="99"/>
        <v>1</v>
      </c>
      <c r="AT317" s="24" t="str">
        <f t="shared" si="100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85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1"/>
        <v>16830000</v>
      </c>
      <c r="AA318" s="13">
        <v>7.3599999999999999E-2</v>
      </c>
      <c r="AB318" s="21">
        <f t="shared" si="92"/>
        <v>1238688</v>
      </c>
      <c r="AC318" s="130">
        <f t="shared" si="93"/>
        <v>198933.2928</v>
      </c>
      <c r="AD318" s="169">
        <v>0.16059999999999999</v>
      </c>
      <c r="AE318" s="154">
        <f t="shared" si="94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5"/>
        <v>0.14256950849102498</v>
      </c>
      <c r="AL318" s="17"/>
      <c r="AM318" s="17"/>
      <c r="AN318" s="17"/>
      <c r="AO318" s="17" t="s">
        <v>222</v>
      </c>
      <c r="AP318" s="28" t="str">
        <f t="shared" si="96"/>
        <v>20186</v>
      </c>
      <c r="AQ318" s="28" t="str">
        <f t="shared" si="97"/>
        <v>20186JPY</v>
      </c>
      <c r="AR318" s="206" t="str">
        <f t="shared" si="98"/>
        <v>YAMAHA_Mounter</v>
      </c>
      <c r="AS318" s="22">
        <f t="shared" si="99"/>
        <v>5</v>
      </c>
      <c r="AT318" s="24" t="str">
        <f t="shared" si="100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85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1"/>
        <v>33660000</v>
      </c>
      <c r="AA319" s="13">
        <v>7.0699999999999999E-2</v>
      </c>
      <c r="AB319" s="21">
        <f t="shared" si="92"/>
        <v>2379762</v>
      </c>
      <c r="AC319" s="130">
        <f t="shared" si="93"/>
        <v>285571.44</v>
      </c>
      <c r="AD319" s="169">
        <v>0.12</v>
      </c>
      <c r="AE319" s="154">
        <f t="shared" si="94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477651199.57437885</v>
      </c>
      <c r="AJ319" s="19">
        <f t="shared" si="87"/>
        <v>56918800.518691957</v>
      </c>
      <c r="AK319" s="20">
        <f t="shared" si="95"/>
        <v>0.11916394341605475</v>
      </c>
      <c r="AL319" s="17"/>
      <c r="AM319" s="17"/>
      <c r="AN319" s="17"/>
      <c r="AO319" s="17"/>
      <c r="AP319" s="28" t="str">
        <f t="shared" si="96"/>
        <v>CancelCancel</v>
      </c>
      <c r="AQ319" s="28" t="str">
        <f t="shared" si="97"/>
        <v>CancelCancelJPY</v>
      </c>
      <c r="AR319" s="206" t="str">
        <f t="shared" si="98"/>
        <v>YAMAHA_Mounter</v>
      </c>
      <c r="AS319" s="22" t="str">
        <f t="shared" si="99"/>
        <v/>
      </c>
      <c r="AT319" s="24" t="str">
        <f t="shared" si="100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85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1"/>
        <v>16830000</v>
      </c>
      <c r="AA320" s="13">
        <v>7.3400000000000007E-2</v>
      </c>
      <c r="AB320" s="21">
        <f t="shared" si="92"/>
        <v>1235322</v>
      </c>
      <c r="AC320" s="130">
        <f t="shared" si="93"/>
        <v>202592.80800000002</v>
      </c>
      <c r="AD320" s="169">
        <v>0.16400000000000001</v>
      </c>
      <c r="AE320" s="154">
        <f t="shared" si="94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5"/>
        <v>0.11467191436184473</v>
      </c>
      <c r="AL320" s="17"/>
      <c r="AM320" s="17"/>
      <c r="AN320" s="17"/>
      <c r="AO320" s="17"/>
      <c r="AP320" s="28" t="str">
        <f t="shared" si="96"/>
        <v>20196</v>
      </c>
      <c r="AQ320" s="28" t="str">
        <f t="shared" si="97"/>
        <v>20196JPY</v>
      </c>
      <c r="AR320" s="206" t="str">
        <f t="shared" si="98"/>
        <v>YAMAHA_Mounter</v>
      </c>
      <c r="AS320" s="22">
        <f t="shared" si="99"/>
        <v>2</v>
      </c>
      <c r="AT320" s="24" t="str">
        <f t="shared" si="100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85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1"/>
        <v>9771600</v>
      </c>
      <c r="AA321" s="13">
        <v>7.3400000000000007E-2</v>
      </c>
      <c r="AB321" s="21">
        <f t="shared" si="92"/>
        <v>717235.44000000006</v>
      </c>
      <c r="AC321" s="130">
        <f t="shared" si="93"/>
        <v>133190.62120800003</v>
      </c>
      <c r="AD321" s="169">
        <v>0.1857</v>
      </c>
      <c r="AE321" s="154">
        <f t="shared" si="94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5"/>
        <v>0.11467191436184473</v>
      </c>
      <c r="AL321" s="17"/>
      <c r="AM321" s="17"/>
      <c r="AN321" s="17"/>
      <c r="AO321" s="17"/>
      <c r="AP321" s="28" t="str">
        <f t="shared" si="96"/>
        <v>20196</v>
      </c>
      <c r="AQ321" s="28" t="str">
        <f t="shared" si="97"/>
        <v>20196JPY</v>
      </c>
      <c r="AR321" s="206" t="str">
        <f t="shared" si="98"/>
        <v>YAMAHA_Mounter</v>
      </c>
      <c r="AS321" s="22">
        <f t="shared" si="99"/>
        <v>1</v>
      </c>
      <c r="AT321" s="24" t="str">
        <f t="shared" si="100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ref="P322:P385" si="103">IF(M322="","",IF(AND(N322&gt;0,L322&lt;&gt;""),"MAIN UNIT",IF(AND(O322&gt;0,L322&lt;&gt;""),"SERVICE/ PARTS","C66 SERVICE/OTHERS")))</f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1"/>
        <v>720000</v>
      </c>
      <c r="AA322" s="13">
        <v>1.105</v>
      </c>
      <c r="AB322" s="21">
        <f t="shared" si="92"/>
        <v>704070.79646017705</v>
      </c>
      <c r="AC322" s="130">
        <f t="shared" si="93"/>
        <v>58226.654867256642</v>
      </c>
      <c r="AD322" s="169">
        <v>8.2699999999999996E-2</v>
      </c>
      <c r="AE322" s="154">
        <f t="shared" si="94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5"/>
        <v>0.13424587441904964</v>
      </c>
      <c r="AL322" s="17"/>
      <c r="AM322" s="17"/>
      <c r="AN322" s="17"/>
      <c r="AO322" s="17"/>
      <c r="AP322" s="28" t="str">
        <f t="shared" si="96"/>
        <v>20208</v>
      </c>
      <c r="AQ322" s="28" t="str">
        <f t="shared" si="97"/>
        <v>20208RMB</v>
      </c>
      <c r="AR322" s="206" t="str">
        <f t="shared" si="98"/>
        <v>YAMAHA_Mounter</v>
      </c>
      <c r="AS322" s="22">
        <f t="shared" si="99"/>
        <v>1</v>
      </c>
      <c r="AT322" s="24" t="str">
        <f t="shared" si="100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103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1"/>
        <v>430000</v>
      </c>
      <c r="AA323" s="13">
        <v>1.095</v>
      </c>
      <c r="AB323" s="21">
        <f t="shared" si="92"/>
        <v>416681.41592920356</v>
      </c>
      <c r="AC323" s="130">
        <f t="shared" si="93"/>
        <v>50001.769911504423</v>
      </c>
      <c r="AD323" s="169">
        <v>0.12</v>
      </c>
      <c r="AE323" s="154">
        <f t="shared" si="94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477651199.57437885</v>
      </c>
      <c r="AJ323" s="19">
        <f t="shared" si="105"/>
        <v>56918800.518691957</v>
      </c>
      <c r="AK323" s="20">
        <f t="shared" si="95"/>
        <v>0.11916394341605475</v>
      </c>
      <c r="AL323" s="17"/>
      <c r="AM323" s="17"/>
      <c r="AN323" s="17"/>
      <c r="AO323" s="17"/>
      <c r="AP323" s="28" t="str">
        <f t="shared" si="96"/>
        <v>CancelCancel</v>
      </c>
      <c r="AQ323" s="28" t="str">
        <f t="shared" si="97"/>
        <v>CancelCancelRMB</v>
      </c>
      <c r="AR323" s="206" t="str">
        <f t="shared" si="98"/>
        <v>YAMAHA_Mounter</v>
      </c>
      <c r="AS323" s="22" t="str">
        <f t="shared" si="99"/>
        <v/>
      </c>
      <c r="AT323" s="24" t="str">
        <f t="shared" si="100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103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1"/>
        <v>430000</v>
      </c>
      <c r="AA324" s="13">
        <v>1.095</v>
      </c>
      <c r="AB324" s="21">
        <f t="shared" si="92"/>
        <v>416681.41592920356</v>
      </c>
      <c r="AC324" s="130">
        <f t="shared" si="93"/>
        <v>50001.769911504423</v>
      </c>
      <c r="AD324" s="169">
        <v>0.12</v>
      </c>
      <c r="AE324" s="154">
        <f t="shared" si="94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477651199.57437885</v>
      </c>
      <c r="AJ324" s="19">
        <f t="shared" si="105"/>
        <v>56918800.518691957</v>
      </c>
      <c r="AK324" s="20">
        <f t="shared" si="95"/>
        <v>0.11916394341605475</v>
      </c>
      <c r="AL324" s="17"/>
      <c r="AM324" s="17"/>
      <c r="AN324" s="17"/>
      <c r="AO324" s="17"/>
      <c r="AP324" s="28" t="str">
        <f t="shared" si="96"/>
        <v>CancelCancel</v>
      </c>
      <c r="AQ324" s="28" t="str">
        <f t="shared" si="97"/>
        <v>CancelCancelRMB</v>
      </c>
      <c r="AR324" s="206" t="str">
        <f t="shared" si="98"/>
        <v>YAMAHA_Mounter</v>
      </c>
      <c r="AS324" s="22" t="str">
        <f t="shared" si="99"/>
        <v/>
      </c>
      <c r="AT324" s="24" t="str">
        <f t="shared" si="100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103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1"/>
        <v>760000</v>
      </c>
      <c r="AA325" s="13">
        <v>1.095</v>
      </c>
      <c r="AB325" s="21">
        <f t="shared" si="92"/>
        <v>736460.17699115048</v>
      </c>
      <c r="AC325" s="130">
        <f t="shared" si="93"/>
        <v>88375.221238938058</v>
      </c>
      <c r="AD325" s="169">
        <v>0.12</v>
      </c>
      <c r="AE325" s="154">
        <f t="shared" si="94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477651199.57437885</v>
      </c>
      <c r="AJ325" s="19">
        <f t="shared" si="105"/>
        <v>56918800.518691957</v>
      </c>
      <c r="AK325" s="20">
        <f t="shared" si="95"/>
        <v>0.11916394341605475</v>
      </c>
      <c r="AL325" s="17"/>
      <c r="AM325" s="17"/>
      <c r="AN325" s="17"/>
      <c r="AO325" s="17"/>
      <c r="AP325" s="28" t="str">
        <f t="shared" si="96"/>
        <v>CancelCancel</v>
      </c>
      <c r="AQ325" s="28" t="str">
        <f t="shared" si="97"/>
        <v>CancelCancelRMB</v>
      </c>
      <c r="AR325" s="206" t="str">
        <f t="shared" si="98"/>
        <v>YAMAHA_Mounter</v>
      </c>
      <c r="AS325" s="22" t="str">
        <f t="shared" si="99"/>
        <v/>
      </c>
      <c r="AT325" s="24" t="str">
        <f t="shared" si="100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si="103"/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0">IF(X326="","",X326*MAX(O326,N326))</f>
        <v>760000</v>
      </c>
      <c r="AA326" s="13">
        <v>1.095</v>
      </c>
      <c r="AB326" s="21">
        <f t="shared" ref="AB326:AB389" si="111">IF(AND(R326&lt;&gt;"C66",R326&lt;&gt;""),Z326/Y326*AA326,"")</f>
        <v>736460.17699115048</v>
      </c>
      <c r="AC326" s="130">
        <f t="shared" ref="AC326:AC389" si="112">IF(R326&lt;&gt;"",AB326*AD326,"")</f>
        <v>88375.221238938058</v>
      </c>
      <c r="AD326" s="169">
        <v>0.12</v>
      </c>
      <c r="AE326" s="154">
        <f t="shared" ref="AE326:AE389" si="113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477651199.57437885</v>
      </c>
      <c r="AJ326" s="19">
        <f t="shared" si="105"/>
        <v>56918800.518691957</v>
      </c>
      <c r="AK326" s="20">
        <f t="shared" ref="AK326:AK389" si="114">IF(AJ326&gt;0,AJ326/AI326,"")</f>
        <v>0.11916394341605475</v>
      </c>
      <c r="AL326" s="17"/>
      <c r="AM326" s="17"/>
      <c r="AN326" s="17"/>
      <c r="AO326" s="17"/>
      <c r="AP326" s="28" t="str">
        <f t="shared" ref="AP326:AP389" si="115">IF(F326="","",F326&amp;G326)</f>
        <v>CancelCancel</v>
      </c>
      <c r="AQ326" s="28" t="str">
        <f t="shared" ref="AQ326:AQ389" si="116">IF(W326="","",F326&amp;G326&amp;W326)</f>
        <v>CancelCancelRMB</v>
      </c>
      <c r="AR326" s="206" t="str">
        <f t="shared" ref="AR326:AR389" si="117">IFERROR(IF(AND(M326="YAMAHA", R326="C28"), "YAMAHA_Non_Mounter", IF(AND(M326="YAMAHA", R326="C49"), "YAMAHA_Mounter", M326)),"")</f>
        <v>YAMAHA_Mounter</v>
      </c>
      <c r="AS326" s="22" t="str">
        <f t="shared" ref="AS326:AS389" si="118">IFERROR(IF(OR(G326="TBA", G326=""), "", DATEDIF(DATE(B326, C326, 1), DATE(F326, G326, 1), "M")),"")</f>
        <v/>
      </c>
      <c r="AT326" s="24" t="str">
        <f t="shared" ref="AT326:AT389" si="119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03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0"/>
        <v>14300000</v>
      </c>
      <c r="AA327" s="13">
        <v>6.9199999999999998E-2</v>
      </c>
      <c r="AB327" s="21">
        <f t="shared" si="111"/>
        <v>989560</v>
      </c>
      <c r="AC327" s="130">
        <f t="shared" si="112"/>
        <v>157340.04</v>
      </c>
      <c r="AD327" s="169">
        <v>0.159</v>
      </c>
      <c r="AE327" s="154">
        <f t="shared" si="113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4"/>
        <v>0.12968149510667554</v>
      </c>
      <c r="AL327" s="17"/>
      <c r="AM327" s="17"/>
      <c r="AN327" s="17"/>
      <c r="AO327" s="17"/>
      <c r="AP327" s="28" t="str">
        <f t="shared" si="115"/>
        <v>20221</v>
      </c>
      <c r="AQ327" s="28" t="str">
        <f t="shared" si="116"/>
        <v>20221JPY</v>
      </c>
      <c r="AR327" s="206" t="str">
        <f t="shared" si="117"/>
        <v>YAMAHA_Mounter</v>
      </c>
      <c r="AS327" s="22">
        <f t="shared" si="118"/>
        <v>4</v>
      </c>
      <c r="AT327" s="24" t="str">
        <f t="shared" si="119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03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0"/>
        <v>950000</v>
      </c>
      <c r="AA328" s="13">
        <v>1.2</v>
      </c>
      <c r="AB328" s="21">
        <f t="shared" si="111"/>
        <v>1008849.557522124</v>
      </c>
      <c r="AC328" s="130">
        <f t="shared" si="112"/>
        <v>101893.80530973454</v>
      </c>
      <c r="AD328" s="169">
        <v>0.10100000000000001</v>
      </c>
      <c r="AE328" s="154">
        <f t="shared" si="113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4"/>
        <v>0.12516738767237401</v>
      </c>
      <c r="AL328" s="17"/>
      <c r="AM328" s="17"/>
      <c r="AN328" s="17"/>
      <c r="AO328" s="17"/>
      <c r="AP328" s="28" t="str">
        <f t="shared" si="115"/>
        <v>20212</v>
      </c>
      <c r="AQ328" s="28" t="str">
        <f t="shared" si="116"/>
        <v>20212RMB</v>
      </c>
      <c r="AR328" s="206" t="str">
        <f t="shared" si="117"/>
        <v>YAMAHA_Mounter</v>
      </c>
      <c r="AS328" s="22">
        <f t="shared" si="118"/>
        <v>2</v>
      </c>
      <c r="AT328" s="24" t="str">
        <f t="shared" si="119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03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0"/>
        <v>950000</v>
      </c>
      <c r="AA329" s="13">
        <v>1.2</v>
      </c>
      <c r="AB329" s="21">
        <f t="shared" si="111"/>
        <v>1008849.557522124</v>
      </c>
      <c r="AC329" s="130">
        <f t="shared" si="112"/>
        <v>101893.80530973454</v>
      </c>
      <c r="AD329" s="169">
        <v>0.10100000000000001</v>
      </c>
      <c r="AE329" s="154">
        <f t="shared" si="113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4"/>
        <v>0.12516738767237401</v>
      </c>
      <c r="AL329" s="17"/>
      <c r="AM329" s="17"/>
      <c r="AN329" s="17"/>
      <c r="AO329" s="17"/>
      <c r="AP329" s="28" t="str">
        <f t="shared" si="115"/>
        <v>20212</v>
      </c>
      <c r="AQ329" s="28" t="str">
        <f t="shared" si="116"/>
        <v>20212RMB</v>
      </c>
      <c r="AR329" s="206" t="str">
        <f t="shared" si="117"/>
        <v>YAMAHA_Mounter</v>
      </c>
      <c r="AS329" s="22">
        <f t="shared" si="118"/>
        <v>2</v>
      </c>
      <c r="AT329" s="24" t="str">
        <f t="shared" si="119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03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0"/>
        <v>950000</v>
      </c>
      <c r="AA330" s="13">
        <v>1.2</v>
      </c>
      <c r="AB330" s="21">
        <f t="shared" si="111"/>
        <v>1008849.557522124</v>
      </c>
      <c r="AC330" s="130">
        <f t="shared" si="112"/>
        <v>101893.80530973454</v>
      </c>
      <c r="AD330" s="169">
        <v>0.10100000000000001</v>
      </c>
      <c r="AE330" s="154">
        <f t="shared" si="113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4"/>
        <v>0.12516738767237401</v>
      </c>
      <c r="AL330" s="17"/>
      <c r="AM330" s="17"/>
      <c r="AN330" s="17"/>
      <c r="AO330" s="17"/>
      <c r="AP330" s="28" t="str">
        <f t="shared" si="115"/>
        <v>20212</v>
      </c>
      <c r="AQ330" s="28" t="str">
        <f t="shared" si="116"/>
        <v>20212RMB</v>
      </c>
      <c r="AR330" s="206" t="str">
        <f t="shared" si="117"/>
        <v>YAMAHA_Mounter</v>
      </c>
      <c r="AS330" s="22">
        <f t="shared" si="118"/>
        <v>2</v>
      </c>
      <c r="AT330" s="24" t="str">
        <f t="shared" si="119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03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0"/>
        <v>950000</v>
      </c>
      <c r="AA331" s="13">
        <v>1.2</v>
      </c>
      <c r="AB331" s="21">
        <f t="shared" si="111"/>
        <v>1008849.557522124</v>
      </c>
      <c r="AC331" s="130">
        <f t="shared" si="112"/>
        <v>101893.80530973454</v>
      </c>
      <c r="AD331" s="169">
        <v>0.10100000000000001</v>
      </c>
      <c r="AE331" s="154">
        <f t="shared" si="113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4"/>
        <v>0.12516738767237401</v>
      </c>
      <c r="AL331" s="17"/>
      <c r="AM331" s="17"/>
      <c r="AN331" s="17"/>
      <c r="AO331" s="17"/>
      <c r="AP331" s="28" t="str">
        <f t="shared" si="115"/>
        <v>20212</v>
      </c>
      <c r="AQ331" s="28" t="str">
        <f t="shared" si="116"/>
        <v>20212RMB</v>
      </c>
      <c r="AR331" s="206" t="str">
        <f t="shared" si="117"/>
        <v>YAMAHA_Mounter</v>
      </c>
      <c r="AS331" s="22">
        <f t="shared" si="118"/>
        <v>2</v>
      </c>
      <c r="AT331" s="24" t="str">
        <f t="shared" si="119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03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0"/>
        <v>950000</v>
      </c>
      <c r="AA332" s="13">
        <v>1.2</v>
      </c>
      <c r="AB332" s="21">
        <f t="shared" si="111"/>
        <v>1008849.557522124</v>
      </c>
      <c r="AC332" s="130">
        <f t="shared" si="112"/>
        <v>101893.80530973454</v>
      </c>
      <c r="AD332" s="169">
        <v>0.10100000000000001</v>
      </c>
      <c r="AE332" s="154">
        <f t="shared" si="113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4"/>
        <v>0.12516738767237401</v>
      </c>
      <c r="AL332" s="17"/>
      <c r="AM332" s="17"/>
      <c r="AN332" s="17"/>
      <c r="AO332" s="17"/>
      <c r="AP332" s="28" t="str">
        <f t="shared" si="115"/>
        <v>20212</v>
      </c>
      <c r="AQ332" s="28" t="str">
        <f t="shared" si="116"/>
        <v>20212RMB</v>
      </c>
      <c r="AR332" s="206" t="str">
        <f t="shared" si="117"/>
        <v>YAMAHA_Mounter</v>
      </c>
      <c r="AS332" s="22">
        <f t="shared" si="118"/>
        <v>2</v>
      </c>
      <c r="AT332" s="24" t="str">
        <f t="shared" si="119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03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0"/>
        <v>800000</v>
      </c>
      <c r="AA333" s="13">
        <v>1.2</v>
      </c>
      <c r="AB333" s="21">
        <f t="shared" si="111"/>
        <v>849557.52212389384</v>
      </c>
      <c r="AC333" s="130">
        <f t="shared" si="112"/>
        <v>100417.69911504425</v>
      </c>
      <c r="AD333" s="169">
        <v>0.1182</v>
      </c>
      <c r="AE333" s="154">
        <f t="shared" si="113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4"/>
        <v>0.12565028406083667</v>
      </c>
      <c r="AL333" s="17"/>
      <c r="AM333" s="17"/>
      <c r="AN333" s="17"/>
      <c r="AO333" s="17"/>
      <c r="AP333" s="28" t="str">
        <f t="shared" si="115"/>
        <v>20213</v>
      </c>
      <c r="AQ333" s="28" t="str">
        <f t="shared" si="116"/>
        <v>20213RMB</v>
      </c>
      <c r="AR333" s="206" t="str">
        <f t="shared" si="117"/>
        <v>YAMAHA_Mounter</v>
      </c>
      <c r="AS333" s="22">
        <f t="shared" si="118"/>
        <v>3</v>
      </c>
      <c r="AT333" s="24" t="str">
        <f t="shared" si="119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03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0"/>
        <v>17846000</v>
      </c>
      <c r="AA334" s="13">
        <v>5.8700000000000002E-2</v>
      </c>
      <c r="AB334" s="21">
        <f t="shared" si="111"/>
        <v>1047560.2000000001</v>
      </c>
      <c r="AC334" s="130">
        <f t="shared" si="112"/>
        <v>148334.52432000003</v>
      </c>
      <c r="AD334" s="169">
        <v>0.1416</v>
      </c>
      <c r="AE334" s="154">
        <f t="shared" si="113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4"/>
        <v>0.14613378412599562</v>
      </c>
      <c r="AL334" s="17"/>
      <c r="AM334" s="17"/>
      <c r="AN334" s="17"/>
      <c r="AO334" s="17"/>
      <c r="AP334" s="28" t="str">
        <f t="shared" si="115"/>
        <v>20227</v>
      </c>
      <c r="AQ334" s="28" t="str">
        <f t="shared" si="116"/>
        <v>20227JPY</v>
      </c>
      <c r="AR334" s="206" t="str">
        <f t="shared" si="117"/>
        <v>YAMAHA_Mounter</v>
      </c>
      <c r="AS334" s="22">
        <f t="shared" si="118"/>
        <v>4</v>
      </c>
      <c r="AT334" s="24" t="str">
        <f t="shared" si="119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03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0"/>
        <v>7100000</v>
      </c>
      <c r="AA335" s="13">
        <v>5.5199999999999999E-2</v>
      </c>
      <c r="AB335" s="21">
        <f t="shared" si="111"/>
        <v>391920</v>
      </c>
      <c r="AC335" s="130">
        <f t="shared" si="112"/>
        <v>43542.311999999998</v>
      </c>
      <c r="AD335" s="169">
        <v>0.1111</v>
      </c>
      <c r="AE335" s="154">
        <f t="shared" si="113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4"/>
        <v>0.12327425538313459</v>
      </c>
      <c r="AL335" s="17"/>
      <c r="AM335" s="17"/>
      <c r="AN335" s="17"/>
      <c r="AO335" s="17"/>
      <c r="AP335" s="28" t="str">
        <f t="shared" si="115"/>
        <v>20237</v>
      </c>
      <c r="AQ335" s="28" t="str">
        <f t="shared" si="116"/>
        <v>20237JPY</v>
      </c>
      <c r="AR335" s="206" t="str">
        <f t="shared" si="117"/>
        <v>YAMAHA_Mounter</v>
      </c>
      <c r="AS335" s="22">
        <f t="shared" si="118"/>
        <v>1</v>
      </c>
      <c r="AT335" s="24" t="str">
        <f t="shared" si="119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03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0"/>
        <v>522400</v>
      </c>
      <c r="AA336" s="13">
        <v>1.17</v>
      </c>
      <c r="AB336" s="21">
        <f t="shared" si="111"/>
        <v>540892.03539823007</v>
      </c>
      <c r="AC336" s="130">
        <f t="shared" si="112"/>
        <v>64907.044247787606</v>
      </c>
      <c r="AD336" s="169">
        <v>0.12</v>
      </c>
      <c r="AE336" s="154">
        <f t="shared" si="113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477651199.57437885</v>
      </c>
      <c r="AJ336" s="19">
        <f t="shared" si="105"/>
        <v>56918800.518691957</v>
      </c>
      <c r="AK336" s="20">
        <f t="shared" si="114"/>
        <v>0.11916394341605475</v>
      </c>
      <c r="AL336" s="17"/>
      <c r="AM336" s="17"/>
      <c r="AN336" s="17"/>
      <c r="AO336" s="17"/>
      <c r="AP336" s="28" t="str">
        <f t="shared" si="115"/>
        <v>CancelCancel</v>
      </c>
      <c r="AQ336" s="28" t="str">
        <f t="shared" si="116"/>
        <v>CancelCancelRMB</v>
      </c>
      <c r="AR336" s="206" t="str">
        <f t="shared" si="117"/>
        <v>YAMAHA_Mounter</v>
      </c>
      <c r="AS336" s="22" t="str">
        <f t="shared" si="118"/>
        <v/>
      </c>
      <c r="AT336" s="24" t="str">
        <f t="shared" si="119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03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0"/>
        <v>10000000</v>
      </c>
      <c r="AA337" s="13">
        <v>7.2099999999999997E-2</v>
      </c>
      <c r="AB337" s="21">
        <f t="shared" si="111"/>
        <v>721000</v>
      </c>
      <c r="AC337" s="130">
        <f t="shared" si="112"/>
        <v>81256.7</v>
      </c>
      <c r="AD337" s="169">
        <v>0.11269999999999999</v>
      </c>
      <c r="AE337" s="154">
        <f t="shared" si="113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4"/>
        <v>0.12817220069617921</v>
      </c>
      <c r="AL337" s="17"/>
      <c r="AM337" s="17"/>
      <c r="AN337" s="17"/>
      <c r="AO337" s="17"/>
      <c r="AP337" s="28" t="str">
        <f t="shared" si="115"/>
        <v>20188</v>
      </c>
      <c r="AQ337" s="28" t="str">
        <f t="shared" si="116"/>
        <v>20188JPY</v>
      </c>
      <c r="AR337" s="206" t="str">
        <f t="shared" si="117"/>
        <v>YAMAHA_Mounter</v>
      </c>
      <c r="AS337" s="22">
        <f t="shared" si="118"/>
        <v>7</v>
      </c>
      <c r="AT337" s="24" t="str">
        <f t="shared" si="119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03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0"/>
        <v>870000</v>
      </c>
      <c r="AA338" s="13">
        <v>1.135</v>
      </c>
      <c r="AB338" s="21">
        <f t="shared" si="111"/>
        <v>873849.55752212403</v>
      </c>
      <c r="AC338" s="130">
        <f t="shared" si="112"/>
        <v>101191.77876106196</v>
      </c>
      <c r="AD338" s="169">
        <v>0.1158</v>
      </c>
      <c r="AE338" s="154">
        <f t="shared" si="113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4"/>
        <v>0.10468355339185161</v>
      </c>
      <c r="AL338" s="17"/>
      <c r="AM338" s="17"/>
      <c r="AN338" s="17"/>
      <c r="AO338" s="17"/>
      <c r="AP338" s="28" t="str">
        <f t="shared" si="115"/>
        <v>20198</v>
      </c>
      <c r="AQ338" s="28" t="str">
        <f t="shared" si="116"/>
        <v>20198RMB</v>
      </c>
      <c r="AR338" s="206" t="str">
        <f t="shared" si="117"/>
        <v>YAMAHA_Mounter</v>
      </c>
      <c r="AS338" s="22">
        <f t="shared" si="118"/>
        <v>0</v>
      </c>
      <c r="AT338" s="24" t="str">
        <f t="shared" si="119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03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0"/>
        <v>10500000</v>
      </c>
      <c r="AA339" s="13">
        <v>7.5700000000000003E-2</v>
      </c>
      <c r="AB339" s="21">
        <f t="shared" si="111"/>
        <v>794850</v>
      </c>
      <c r="AC339" s="130">
        <f t="shared" si="112"/>
        <v>83379.764999999999</v>
      </c>
      <c r="AD339" s="169">
        <v>0.10489999999999999</v>
      </c>
      <c r="AE339" s="154">
        <f t="shared" si="113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4"/>
        <v>0.13424587441904964</v>
      </c>
      <c r="AL339" s="17"/>
      <c r="AM339" s="17"/>
      <c r="AN339" s="17"/>
      <c r="AO339" s="17"/>
      <c r="AP339" s="28" t="str">
        <f t="shared" si="115"/>
        <v>20208</v>
      </c>
      <c r="AQ339" s="28" t="str">
        <f t="shared" si="116"/>
        <v>20208JPY</v>
      </c>
      <c r="AR339" s="206" t="str">
        <f t="shared" si="117"/>
        <v>YAMAHA_Mounter</v>
      </c>
      <c r="AS339" s="22">
        <f t="shared" si="118"/>
        <v>1</v>
      </c>
      <c r="AT339" s="24" t="str">
        <f t="shared" si="119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03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0"/>
        <v>10800000</v>
      </c>
      <c r="AA340" s="13">
        <v>7.4300000000000005E-2</v>
      </c>
      <c r="AB340" s="21">
        <f t="shared" si="111"/>
        <v>802440</v>
      </c>
      <c r="AC340" s="130">
        <f t="shared" si="112"/>
        <v>88188.156000000003</v>
      </c>
      <c r="AD340" s="169">
        <v>0.1099</v>
      </c>
      <c r="AE340" s="154">
        <f t="shared" si="113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4"/>
        <v>0.14813220831602228</v>
      </c>
      <c r="AL340" s="17"/>
      <c r="AM340" s="17"/>
      <c r="AN340" s="17"/>
      <c r="AO340" s="17"/>
      <c r="AP340" s="28" t="str">
        <f t="shared" si="115"/>
        <v>20205</v>
      </c>
      <c r="AQ340" s="28" t="str">
        <f t="shared" si="116"/>
        <v>20205JPY</v>
      </c>
      <c r="AR340" s="206" t="str">
        <f t="shared" si="117"/>
        <v>YAMAHA_Mounter</v>
      </c>
      <c r="AS340" s="22">
        <f t="shared" si="118"/>
        <v>1</v>
      </c>
      <c r="AT340" s="24" t="str">
        <f t="shared" si="119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03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0"/>
        <v>490000</v>
      </c>
      <c r="AA341" s="13">
        <v>1.08</v>
      </c>
      <c r="AB341" s="21">
        <f t="shared" si="111"/>
        <v>468318.58407079655</v>
      </c>
      <c r="AC341" s="130">
        <f t="shared" si="112"/>
        <v>66688.566371681431</v>
      </c>
      <c r="AD341" s="169">
        <v>0.1424</v>
      </c>
      <c r="AE341" s="154">
        <f t="shared" si="113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4"/>
        <v>0.15166211427595458</v>
      </c>
      <c r="AL341" s="17"/>
      <c r="AM341" s="17"/>
      <c r="AN341" s="17"/>
      <c r="AO341" s="17"/>
      <c r="AP341" s="28" t="str">
        <f t="shared" si="115"/>
        <v>202211</v>
      </c>
      <c r="AQ341" s="28" t="str">
        <f t="shared" si="116"/>
        <v>202211RMB</v>
      </c>
      <c r="AR341" s="206" t="str">
        <f t="shared" si="117"/>
        <v>YAMAHA_Mounter</v>
      </c>
      <c r="AS341" s="22">
        <f t="shared" si="118"/>
        <v>1</v>
      </c>
      <c r="AT341" s="24" t="str">
        <f t="shared" si="119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03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0"/>
        <v>1200000</v>
      </c>
      <c r="AA342" s="13">
        <v>1.095</v>
      </c>
      <c r="AB342" s="21">
        <f t="shared" si="111"/>
        <v>1162831.8584070797</v>
      </c>
      <c r="AC342" s="130">
        <f t="shared" si="112"/>
        <v>139539.82300884955</v>
      </c>
      <c r="AD342" s="169">
        <v>0.12</v>
      </c>
      <c r="AE342" s="154">
        <f t="shared" si="113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16602721.68141593</v>
      </c>
      <c r="AJ342" s="19">
        <f t="shared" si="105"/>
        <v>1923201.4867699118</v>
      </c>
      <c r="AK342" s="20">
        <f t="shared" si="114"/>
        <v>0.11583651907642503</v>
      </c>
      <c r="AL342" s="17"/>
      <c r="AM342" s="17"/>
      <c r="AN342" s="17"/>
      <c r="AO342" s="17"/>
      <c r="AP342" s="28" t="str">
        <f t="shared" si="115"/>
        <v>TBATBA</v>
      </c>
      <c r="AQ342" s="28" t="str">
        <f t="shared" si="116"/>
        <v>TBATBARMB</v>
      </c>
      <c r="AR342" s="206" t="str">
        <f t="shared" si="117"/>
        <v>YAMAHA_Mounter</v>
      </c>
      <c r="AS342" s="22" t="str">
        <f t="shared" si="118"/>
        <v/>
      </c>
      <c r="AT342" s="24" t="str">
        <f t="shared" si="119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03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0"/>
        <v>1200000</v>
      </c>
      <c r="AA343" s="13">
        <v>1.095</v>
      </c>
      <c r="AB343" s="21">
        <f t="shared" si="111"/>
        <v>1162831.8584070797</v>
      </c>
      <c r="AC343" s="130">
        <f t="shared" si="112"/>
        <v>139539.82300884955</v>
      </c>
      <c r="AD343" s="169">
        <v>0.12</v>
      </c>
      <c r="AE343" s="154">
        <f t="shared" si="113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16602721.68141593</v>
      </c>
      <c r="AJ343" s="19">
        <f t="shared" si="105"/>
        <v>1923201.4867699118</v>
      </c>
      <c r="AK343" s="20">
        <f t="shared" si="114"/>
        <v>0.11583651907642503</v>
      </c>
      <c r="AL343" s="17"/>
      <c r="AM343" s="17"/>
      <c r="AN343" s="17"/>
      <c r="AO343" s="17"/>
      <c r="AP343" s="28" t="str">
        <f t="shared" si="115"/>
        <v>TBATBA</v>
      </c>
      <c r="AQ343" s="28" t="str">
        <f t="shared" si="116"/>
        <v>TBATBARMB</v>
      </c>
      <c r="AR343" s="206" t="str">
        <f t="shared" si="117"/>
        <v>YAMAHA_Mounter</v>
      </c>
      <c r="AS343" s="22" t="str">
        <f t="shared" si="118"/>
        <v/>
      </c>
      <c r="AT343" s="24" t="str">
        <f t="shared" si="119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03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0"/>
        <v>275000</v>
      </c>
      <c r="AA344" s="13">
        <v>1.095</v>
      </c>
      <c r="AB344" s="21">
        <f t="shared" si="111"/>
        <v>266482.30088495574</v>
      </c>
      <c r="AC344" s="130">
        <f t="shared" si="112"/>
        <v>43543.207964601766</v>
      </c>
      <c r="AD344" s="169">
        <v>0.16339999999999999</v>
      </c>
      <c r="AE344" s="154">
        <f t="shared" si="113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4"/>
        <v>0.12943785838163113</v>
      </c>
      <c r="AL344" s="17"/>
      <c r="AM344" s="17"/>
      <c r="AN344" s="17"/>
      <c r="AO344" s="17"/>
      <c r="AP344" s="28" t="str">
        <f t="shared" si="115"/>
        <v>20199</v>
      </c>
      <c r="AQ344" s="28" t="str">
        <f t="shared" si="116"/>
        <v>20199RMB</v>
      </c>
      <c r="AR344" s="206" t="str">
        <f t="shared" si="117"/>
        <v>HELLER</v>
      </c>
      <c r="AS344" s="22">
        <f t="shared" si="118"/>
        <v>2</v>
      </c>
      <c r="AT344" s="24" t="str">
        <f t="shared" si="119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03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0"/>
        <v>1000000</v>
      </c>
      <c r="AA345" s="13">
        <v>1.095</v>
      </c>
      <c r="AB345" s="21">
        <f t="shared" si="111"/>
        <v>969026.54867256642</v>
      </c>
      <c r="AC345" s="130">
        <f t="shared" si="112"/>
        <v>79557.079646017708</v>
      </c>
      <c r="AD345" s="169">
        <v>8.2100000000000006E-2</v>
      </c>
      <c r="AE345" s="154">
        <f t="shared" si="113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4"/>
        <v>0.11239662168514358</v>
      </c>
      <c r="AL345" s="17"/>
      <c r="AM345" s="17"/>
      <c r="AN345" s="17"/>
      <c r="AO345" s="17"/>
      <c r="AP345" s="28" t="str">
        <f t="shared" si="115"/>
        <v>201910</v>
      </c>
      <c r="AQ345" s="28" t="str">
        <f t="shared" si="116"/>
        <v>201910RMB</v>
      </c>
      <c r="AR345" s="206" t="str">
        <f t="shared" si="117"/>
        <v>YAMAHA_Mounter</v>
      </c>
      <c r="AS345" s="22">
        <f t="shared" si="118"/>
        <v>1</v>
      </c>
      <c r="AT345" s="24" t="str">
        <f t="shared" si="119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03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0"/>
        <v>1000000</v>
      </c>
      <c r="AA346" s="13">
        <v>1.095</v>
      </c>
      <c r="AB346" s="21">
        <f t="shared" si="111"/>
        <v>969026.54867256642</v>
      </c>
      <c r="AC346" s="130">
        <f t="shared" si="112"/>
        <v>79557.079646017708</v>
      </c>
      <c r="AD346" s="169">
        <v>8.2100000000000006E-2</v>
      </c>
      <c r="AE346" s="154">
        <f t="shared" si="113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4"/>
        <v>0.11239662168514358</v>
      </c>
      <c r="AL346" s="17"/>
      <c r="AM346" s="17"/>
      <c r="AN346" s="17"/>
      <c r="AO346" s="17"/>
      <c r="AP346" s="28" t="str">
        <f t="shared" si="115"/>
        <v>201910</v>
      </c>
      <c r="AQ346" s="28" t="str">
        <f t="shared" si="116"/>
        <v>201910RMB</v>
      </c>
      <c r="AR346" s="206" t="str">
        <f t="shared" si="117"/>
        <v>YAMAHA_Mounter</v>
      </c>
      <c r="AS346" s="22">
        <f t="shared" si="118"/>
        <v>1</v>
      </c>
      <c r="AT346" s="24" t="str">
        <f t="shared" si="119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03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0"/>
        <v>975000</v>
      </c>
      <c r="AA347" s="13">
        <v>1.095</v>
      </c>
      <c r="AB347" s="21">
        <f t="shared" si="111"/>
        <v>944800.88495575229</v>
      </c>
      <c r="AC347" s="130">
        <f t="shared" si="112"/>
        <v>77568.15265486727</v>
      </c>
      <c r="AD347" s="169">
        <v>8.2100000000000006E-2</v>
      </c>
      <c r="AE347" s="154">
        <f t="shared" si="113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4"/>
        <v>0.11239662168514358</v>
      </c>
      <c r="AL347" s="17"/>
      <c r="AM347" s="17"/>
      <c r="AN347" s="17"/>
      <c r="AO347" s="17"/>
      <c r="AP347" s="28" t="str">
        <f t="shared" si="115"/>
        <v>201910</v>
      </c>
      <c r="AQ347" s="28" t="str">
        <f t="shared" si="116"/>
        <v>201910RMB</v>
      </c>
      <c r="AR347" s="206" t="str">
        <f t="shared" si="117"/>
        <v>YAMAHA_Mounter</v>
      </c>
      <c r="AS347" s="22">
        <f t="shared" si="118"/>
        <v>1</v>
      </c>
      <c r="AT347" s="24" t="str">
        <f t="shared" si="119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03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0"/>
        <v>900000</v>
      </c>
      <c r="AA348" s="13">
        <v>1.095</v>
      </c>
      <c r="AB348" s="21">
        <f t="shared" si="111"/>
        <v>872123.89380530978</v>
      </c>
      <c r="AC348" s="130">
        <f t="shared" si="112"/>
        <v>92968.407079646029</v>
      </c>
      <c r="AD348" s="169">
        <v>0.1066</v>
      </c>
      <c r="AE348" s="154">
        <f t="shared" si="113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4"/>
        <v>0.12943785838163113</v>
      </c>
      <c r="AL348" s="17"/>
      <c r="AM348" s="17"/>
      <c r="AN348" s="17"/>
      <c r="AO348" s="17"/>
      <c r="AP348" s="28" t="str">
        <f t="shared" si="115"/>
        <v>20199</v>
      </c>
      <c r="AQ348" s="28" t="str">
        <f t="shared" si="116"/>
        <v>20199RMB</v>
      </c>
      <c r="AR348" s="206" t="str">
        <f t="shared" si="117"/>
        <v>YAMAHA_Mounter</v>
      </c>
      <c r="AS348" s="22">
        <f t="shared" si="118"/>
        <v>1</v>
      </c>
      <c r="AT348" s="24" t="str">
        <f t="shared" si="119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03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0"/>
        <v>900000</v>
      </c>
      <c r="AA349" s="13">
        <v>1.095</v>
      </c>
      <c r="AB349" s="21">
        <f t="shared" si="111"/>
        <v>872123.89380530978</v>
      </c>
      <c r="AC349" s="130">
        <f t="shared" si="112"/>
        <v>92968.407079646029</v>
      </c>
      <c r="AD349" s="169">
        <v>0.1066</v>
      </c>
      <c r="AE349" s="154">
        <f t="shared" si="113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4"/>
        <v>0.12943785838163113</v>
      </c>
      <c r="AL349" s="17"/>
      <c r="AM349" s="17"/>
      <c r="AN349" s="17"/>
      <c r="AO349" s="17"/>
      <c r="AP349" s="28" t="str">
        <f t="shared" si="115"/>
        <v>20199</v>
      </c>
      <c r="AQ349" s="28" t="str">
        <f t="shared" si="116"/>
        <v>20199RMB</v>
      </c>
      <c r="AR349" s="206" t="str">
        <f t="shared" si="117"/>
        <v>YAMAHA_Mounter</v>
      </c>
      <c r="AS349" s="22">
        <f t="shared" si="118"/>
        <v>1</v>
      </c>
      <c r="AT349" s="24" t="str">
        <f t="shared" si="119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03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0"/>
        <v>750000</v>
      </c>
      <c r="AA350" s="13">
        <v>1.095</v>
      </c>
      <c r="AB350" s="21">
        <f t="shared" si="111"/>
        <v>726769.91150442488</v>
      </c>
      <c r="AC350" s="130">
        <f t="shared" si="112"/>
        <v>77473.672566371693</v>
      </c>
      <c r="AD350" s="169">
        <v>0.1066</v>
      </c>
      <c r="AE350" s="154">
        <f t="shared" si="113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4"/>
        <v>0.12943785838163113</v>
      </c>
      <c r="AL350" s="17"/>
      <c r="AM350" s="17"/>
      <c r="AN350" s="17"/>
      <c r="AO350" s="17"/>
      <c r="AP350" s="28" t="str">
        <f t="shared" si="115"/>
        <v>20199</v>
      </c>
      <c r="AQ350" s="28" t="str">
        <f t="shared" si="116"/>
        <v>20199RMB</v>
      </c>
      <c r="AR350" s="206" t="str">
        <f t="shared" si="117"/>
        <v>YAMAHA_Mounter</v>
      </c>
      <c r="AS350" s="22">
        <f t="shared" si="118"/>
        <v>1</v>
      </c>
      <c r="AT350" s="24" t="str">
        <f t="shared" si="119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03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0"/>
        <v>979000</v>
      </c>
      <c r="AA351" s="13">
        <v>1.175</v>
      </c>
      <c r="AB351" s="21">
        <f t="shared" si="111"/>
        <v>1017986.725663717</v>
      </c>
      <c r="AC351" s="130">
        <f t="shared" si="112"/>
        <v>122158.40707964604</v>
      </c>
      <c r="AD351" s="169">
        <v>0.12</v>
      </c>
      <c r="AE351" s="154">
        <f t="shared" si="113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477651199.57437885</v>
      </c>
      <c r="AJ351" s="19">
        <f t="shared" si="105"/>
        <v>56918800.518691957</v>
      </c>
      <c r="AK351" s="20">
        <f t="shared" si="114"/>
        <v>0.11916394341605475</v>
      </c>
      <c r="AL351" s="17"/>
      <c r="AM351" s="17"/>
      <c r="AN351" s="17"/>
      <c r="AO351" s="17"/>
      <c r="AP351" s="28" t="str">
        <f t="shared" si="115"/>
        <v>CancelCANCEL</v>
      </c>
      <c r="AQ351" s="28" t="str">
        <f t="shared" si="116"/>
        <v>CancelCANCELRMB</v>
      </c>
      <c r="AR351" s="206" t="str">
        <f t="shared" si="117"/>
        <v>YAMAHA_Mounter</v>
      </c>
      <c r="AS351" s="22" t="str">
        <f t="shared" si="118"/>
        <v/>
      </c>
      <c r="AT351" s="24" t="str">
        <f t="shared" si="119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03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0"/>
        <v>1225000</v>
      </c>
      <c r="AA352" s="13">
        <v>1.1950000000000001</v>
      </c>
      <c r="AB352" s="21">
        <f t="shared" si="111"/>
        <v>1295464.6017699116</v>
      </c>
      <c r="AC352" s="130">
        <f t="shared" si="112"/>
        <v>226706.30530973451</v>
      </c>
      <c r="AD352" s="169">
        <v>0.17499999999999999</v>
      </c>
      <c r="AE352" s="154">
        <f t="shared" si="113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4"/>
        <v>0.14586180158193709</v>
      </c>
      <c r="AL352" s="17"/>
      <c r="AM352" s="17"/>
      <c r="AN352" s="17"/>
      <c r="AO352" s="17"/>
      <c r="AP352" s="28" t="str">
        <f t="shared" si="115"/>
        <v>20225</v>
      </c>
      <c r="AQ352" s="28" t="str">
        <f t="shared" si="116"/>
        <v>20225RMB</v>
      </c>
      <c r="AR352" s="206" t="str">
        <f t="shared" si="117"/>
        <v>YAMAHA_Mounter</v>
      </c>
      <c r="AS352" s="22">
        <f t="shared" si="118"/>
        <v>4</v>
      </c>
      <c r="AT352" s="24" t="str">
        <f t="shared" si="119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03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0"/>
        <v>470000</v>
      </c>
      <c r="AA353" s="13">
        <v>1.2</v>
      </c>
      <c r="AB353" s="21">
        <f t="shared" si="111"/>
        <v>499115.04424778768</v>
      </c>
      <c r="AC353" s="130">
        <f t="shared" si="112"/>
        <v>59893.805309734518</v>
      </c>
      <c r="AD353" s="169">
        <v>0.12</v>
      </c>
      <c r="AE353" s="154">
        <f t="shared" si="113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477651199.57437885</v>
      </c>
      <c r="AJ353" s="19">
        <f t="shared" si="105"/>
        <v>56918800.518691957</v>
      </c>
      <c r="AK353" s="20">
        <f t="shared" si="114"/>
        <v>0.11916394341605475</v>
      </c>
      <c r="AL353" s="17"/>
      <c r="AM353" s="17"/>
      <c r="AN353" s="17"/>
      <c r="AO353" s="17"/>
      <c r="AP353" s="28" t="str">
        <f t="shared" si="115"/>
        <v>CancelCANCEL</v>
      </c>
      <c r="AQ353" s="28" t="str">
        <f t="shared" si="116"/>
        <v>CancelCANCELRMB</v>
      </c>
      <c r="AR353" s="206" t="str">
        <f t="shared" si="117"/>
        <v>YAMAHA_Mounter</v>
      </c>
      <c r="AS353" s="22" t="str">
        <f t="shared" si="118"/>
        <v/>
      </c>
      <c r="AT353" s="24" t="str">
        <f t="shared" si="119"/>
        <v/>
      </c>
    </row>
    <row r="354" spans="1:46" s="12" customFormat="1" ht="28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03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0"/>
        <v>154888.16</v>
      </c>
      <c r="AA354" s="13">
        <v>1.2</v>
      </c>
      <c r="AB354" s="21">
        <f t="shared" si="111"/>
        <v>164483.00176991153</v>
      </c>
      <c r="AC354" s="130">
        <f t="shared" si="112"/>
        <v>19737.960212389382</v>
      </c>
      <c r="AD354" s="169">
        <v>0.12</v>
      </c>
      <c r="AE354" s="154">
        <f t="shared" si="113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477651199.57437885</v>
      </c>
      <c r="AJ354" s="19">
        <f t="shared" si="105"/>
        <v>56918800.518691957</v>
      </c>
      <c r="AK354" s="20">
        <f t="shared" si="114"/>
        <v>0.11916394341605475</v>
      </c>
      <c r="AL354" s="17"/>
      <c r="AM354" s="17"/>
      <c r="AN354" s="17"/>
      <c r="AO354" s="17"/>
      <c r="AP354" s="28" t="str">
        <f t="shared" si="115"/>
        <v>CancelCANCEL</v>
      </c>
      <c r="AQ354" s="28" t="str">
        <f t="shared" si="116"/>
        <v>CancelCANCELRMB</v>
      </c>
      <c r="AR354" s="206" t="str">
        <f t="shared" si="117"/>
        <v>YAMAHA_Mounter</v>
      </c>
      <c r="AS354" s="22" t="str">
        <f t="shared" si="118"/>
        <v/>
      </c>
      <c r="AT354" s="24" t="str">
        <f t="shared" si="119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03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0"/>
        <v>1300000</v>
      </c>
      <c r="AA355" s="13">
        <v>1.095</v>
      </c>
      <c r="AB355" s="21">
        <f t="shared" si="111"/>
        <v>1259734.5132743362</v>
      </c>
      <c r="AC355" s="130">
        <f t="shared" si="112"/>
        <v>157088.89380530972</v>
      </c>
      <c r="AD355" s="169">
        <v>0.12470000000000001</v>
      </c>
      <c r="AE355" s="154">
        <f t="shared" si="113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4"/>
        <v>0.11239662168514358</v>
      </c>
      <c r="AL355" s="17"/>
      <c r="AM355" s="17"/>
      <c r="AN355" s="17"/>
      <c r="AO355" s="17"/>
      <c r="AP355" s="28" t="str">
        <f t="shared" si="115"/>
        <v>201910</v>
      </c>
      <c r="AQ355" s="28" t="str">
        <f t="shared" si="116"/>
        <v>201910RMB</v>
      </c>
      <c r="AR355" s="206" t="str">
        <f t="shared" si="117"/>
        <v>YAMAHA_Mounter</v>
      </c>
      <c r="AS355" s="22">
        <f t="shared" si="118"/>
        <v>1</v>
      </c>
      <c r="AT355" s="24" t="str">
        <f t="shared" si="119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03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0"/>
        <v>1300000</v>
      </c>
      <c r="AA356" s="13">
        <v>1.095</v>
      </c>
      <c r="AB356" s="21">
        <f t="shared" si="111"/>
        <v>1259734.5132743362</v>
      </c>
      <c r="AC356" s="130">
        <f t="shared" si="112"/>
        <v>157088.89380530972</v>
      </c>
      <c r="AD356" s="169">
        <v>0.12470000000000001</v>
      </c>
      <c r="AE356" s="154">
        <f t="shared" si="113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4"/>
        <v>0.11239662168514358</v>
      </c>
      <c r="AL356" s="17"/>
      <c r="AM356" s="17"/>
      <c r="AN356" s="17"/>
      <c r="AO356" s="17"/>
      <c r="AP356" s="28" t="str">
        <f t="shared" si="115"/>
        <v>201910</v>
      </c>
      <c r="AQ356" s="28" t="str">
        <f t="shared" si="116"/>
        <v>201910RMB</v>
      </c>
      <c r="AR356" s="206" t="str">
        <f t="shared" si="117"/>
        <v>YAMAHA_Mounter</v>
      </c>
      <c r="AS356" s="22">
        <f t="shared" si="118"/>
        <v>1</v>
      </c>
      <c r="AT356" s="24" t="str">
        <f t="shared" si="119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03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0"/>
        <v>993333.33</v>
      </c>
      <c r="AA357" s="13">
        <v>1.095</v>
      </c>
      <c r="AB357" s="21">
        <f t="shared" si="111"/>
        <v>962566.36845132743</v>
      </c>
      <c r="AC357" s="130">
        <f t="shared" si="112"/>
        <v>106556.09698756195</v>
      </c>
      <c r="AD357" s="169">
        <v>0.11070000000000001</v>
      </c>
      <c r="AE357" s="154">
        <f t="shared" si="113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4"/>
        <v>0.12943785838163113</v>
      </c>
      <c r="AL357" s="17"/>
      <c r="AM357" s="17"/>
      <c r="AN357" s="17"/>
      <c r="AO357" s="17"/>
      <c r="AP357" s="28" t="str">
        <f t="shared" si="115"/>
        <v>20199</v>
      </c>
      <c r="AQ357" s="28" t="str">
        <f t="shared" si="116"/>
        <v>20199RMB</v>
      </c>
      <c r="AR357" s="206" t="str">
        <f t="shared" si="117"/>
        <v>YAMAHA_Mounter</v>
      </c>
      <c r="AS357" s="22">
        <f t="shared" si="118"/>
        <v>1</v>
      </c>
      <c r="AT357" s="24" t="str">
        <f t="shared" si="119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03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0"/>
        <v>993333.33</v>
      </c>
      <c r="AA358" s="13">
        <v>1.095</v>
      </c>
      <c r="AB358" s="21">
        <f t="shared" si="111"/>
        <v>962566.36845132743</v>
      </c>
      <c r="AC358" s="130">
        <f t="shared" si="112"/>
        <v>106556.09698756195</v>
      </c>
      <c r="AD358" s="169">
        <v>0.11070000000000001</v>
      </c>
      <c r="AE358" s="154">
        <f t="shared" si="113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4"/>
        <v>0.12943785838163113</v>
      </c>
      <c r="AL358" s="17"/>
      <c r="AM358" s="17"/>
      <c r="AN358" s="17"/>
      <c r="AO358" s="17"/>
      <c r="AP358" s="28" t="str">
        <f t="shared" si="115"/>
        <v>20199</v>
      </c>
      <c r="AQ358" s="28" t="str">
        <f t="shared" si="116"/>
        <v>20199RMB</v>
      </c>
      <c r="AR358" s="206" t="str">
        <f t="shared" si="117"/>
        <v>YAMAHA_Mounter</v>
      </c>
      <c r="AS358" s="22">
        <f t="shared" si="118"/>
        <v>1</v>
      </c>
      <c r="AT358" s="24" t="str">
        <f t="shared" si="119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03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0"/>
        <v>993333.33</v>
      </c>
      <c r="AA359" s="13">
        <v>1.095</v>
      </c>
      <c r="AB359" s="21">
        <f t="shared" si="111"/>
        <v>962566.36845132743</v>
      </c>
      <c r="AC359" s="130">
        <f t="shared" si="112"/>
        <v>106556.09698756195</v>
      </c>
      <c r="AD359" s="169">
        <v>0.11070000000000001</v>
      </c>
      <c r="AE359" s="154">
        <f t="shared" si="113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4"/>
        <v>0.12943785838163113</v>
      </c>
      <c r="AL359" s="17"/>
      <c r="AM359" s="17"/>
      <c r="AN359" s="17"/>
      <c r="AO359" s="17"/>
      <c r="AP359" s="28" t="str">
        <f t="shared" si="115"/>
        <v>20199</v>
      </c>
      <c r="AQ359" s="28" t="str">
        <f t="shared" si="116"/>
        <v>20199RMB</v>
      </c>
      <c r="AR359" s="206" t="str">
        <f t="shared" si="117"/>
        <v>YAMAHA_Mounter</v>
      </c>
      <c r="AS359" s="22">
        <f t="shared" si="118"/>
        <v>1</v>
      </c>
      <c r="AT359" s="24" t="str">
        <f t="shared" si="119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03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0"/>
        <v>650000</v>
      </c>
      <c r="AA360" s="13">
        <v>1.095</v>
      </c>
      <c r="AB360" s="21">
        <f t="shared" si="111"/>
        <v>629867.25663716812</v>
      </c>
      <c r="AC360" s="130">
        <f t="shared" si="112"/>
        <v>69726.305309734511</v>
      </c>
      <c r="AD360" s="169">
        <v>0.11070000000000001</v>
      </c>
      <c r="AE360" s="154">
        <f t="shared" si="113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4"/>
        <v>0.12943785838163113</v>
      </c>
      <c r="AL360" s="17"/>
      <c r="AM360" s="17"/>
      <c r="AN360" s="17"/>
      <c r="AO360" s="17"/>
      <c r="AP360" s="28" t="str">
        <f t="shared" si="115"/>
        <v>20199</v>
      </c>
      <c r="AQ360" s="28" t="str">
        <f t="shared" si="116"/>
        <v>20199RMB</v>
      </c>
      <c r="AR360" s="206" t="str">
        <f t="shared" si="117"/>
        <v>YAMAHA_Mounter</v>
      </c>
      <c r="AS360" s="22">
        <f t="shared" si="118"/>
        <v>1</v>
      </c>
      <c r="AT360" s="24" t="str">
        <f t="shared" si="119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03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0"/>
        <v>650000</v>
      </c>
      <c r="AA361" s="13">
        <v>1.095</v>
      </c>
      <c r="AB361" s="21">
        <f t="shared" si="111"/>
        <v>629867.25663716812</v>
      </c>
      <c r="AC361" s="130">
        <f t="shared" si="112"/>
        <v>69726.305309734511</v>
      </c>
      <c r="AD361" s="169">
        <v>0.11070000000000001</v>
      </c>
      <c r="AE361" s="154">
        <f t="shared" si="113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4"/>
        <v>0.12943785838163113</v>
      </c>
      <c r="AL361" s="17"/>
      <c r="AM361" s="17"/>
      <c r="AN361" s="17"/>
      <c r="AO361" s="17"/>
      <c r="AP361" s="28" t="str">
        <f t="shared" si="115"/>
        <v>20199</v>
      </c>
      <c r="AQ361" s="28" t="str">
        <f t="shared" si="116"/>
        <v>20199RMB</v>
      </c>
      <c r="AR361" s="206" t="str">
        <f t="shared" si="117"/>
        <v>YAMAHA_Mounter</v>
      </c>
      <c r="AS361" s="22">
        <f t="shared" si="118"/>
        <v>1</v>
      </c>
      <c r="AT361" s="24" t="str">
        <f t="shared" si="119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03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0"/>
        <v>650000</v>
      </c>
      <c r="AA362" s="13">
        <v>1.095</v>
      </c>
      <c r="AB362" s="21">
        <f t="shared" si="111"/>
        <v>629867.25663716812</v>
      </c>
      <c r="AC362" s="130">
        <f t="shared" si="112"/>
        <v>69726.305309734511</v>
      </c>
      <c r="AD362" s="169">
        <v>0.11070000000000001</v>
      </c>
      <c r="AE362" s="154">
        <f t="shared" si="113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4"/>
        <v>0.12943785838163113</v>
      </c>
      <c r="AL362" s="17"/>
      <c r="AM362" s="17"/>
      <c r="AN362" s="17"/>
      <c r="AO362" s="17"/>
      <c r="AP362" s="28" t="str">
        <f t="shared" si="115"/>
        <v>20199</v>
      </c>
      <c r="AQ362" s="28" t="str">
        <f t="shared" si="116"/>
        <v>20199RMB</v>
      </c>
      <c r="AR362" s="206" t="str">
        <f t="shared" si="117"/>
        <v>YAMAHA_Mounter</v>
      </c>
      <c r="AS362" s="22">
        <f t="shared" si="118"/>
        <v>1</v>
      </c>
      <c r="AT362" s="24" t="str">
        <f t="shared" si="119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03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0"/>
        <v>650000</v>
      </c>
      <c r="AA363" s="13">
        <v>1.095</v>
      </c>
      <c r="AB363" s="21">
        <f t="shared" si="111"/>
        <v>629867.25663716812</v>
      </c>
      <c r="AC363" s="130">
        <f t="shared" si="112"/>
        <v>69726.305309734511</v>
      </c>
      <c r="AD363" s="169">
        <v>0.11070000000000001</v>
      </c>
      <c r="AE363" s="154">
        <f t="shared" si="113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4"/>
        <v>0.12943785838163113</v>
      </c>
      <c r="AL363" s="17"/>
      <c r="AM363" s="17"/>
      <c r="AN363" s="17"/>
      <c r="AO363" s="17"/>
      <c r="AP363" s="28" t="str">
        <f t="shared" si="115"/>
        <v>20199</v>
      </c>
      <c r="AQ363" s="28" t="str">
        <f t="shared" si="116"/>
        <v>20199RMB</v>
      </c>
      <c r="AR363" s="206" t="str">
        <f t="shared" si="117"/>
        <v>YAMAHA_Mounter</v>
      </c>
      <c r="AS363" s="22">
        <f t="shared" si="118"/>
        <v>1</v>
      </c>
      <c r="AT363" s="24" t="str">
        <f t="shared" si="119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03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0"/>
        <v>650000</v>
      </c>
      <c r="AA364" s="13">
        <v>1.095</v>
      </c>
      <c r="AB364" s="21">
        <f t="shared" si="111"/>
        <v>629867.25663716812</v>
      </c>
      <c r="AC364" s="130">
        <f t="shared" si="112"/>
        <v>69726.305309734511</v>
      </c>
      <c r="AD364" s="169">
        <v>0.11070000000000001</v>
      </c>
      <c r="AE364" s="154">
        <f t="shared" si="113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4"/>
        <v>0.12943785838163113</v>
      </c>
      <c r="AL364" s="17"/>
      <c r="AM364" s="17"/>
      <c r="AN364" s="17"/>
      <c r="AO364" s="17"/>
      <c r="AP364" s="28" t="str">
        <f t="shared" si="115"/>
        <v>20199</v>
      </c>
      <c r="AQ364" s="28" t="str">
        <f t="shared" si="116"/>
        <v>20199RMB</v>
      </c>
      <c r="AR364" s="206" t="str">
        <f t="shared" si="117"/>
        <v>YAMAHA_Mounter</v>
      </c>
      <c r="AS364" s="22">
        <f t="shared" si="118"/>
        <v>1</v>
      </c>
      <c r="AT364" s="24" t="str">
        <f t="shared" si="119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03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0">IF(W365="RMB","1.13", "1")</f>
        <v>1</v>
      </c>
      <c r="Z365" s="18">
        <f t="shared" si="110"/>
        <v>12000000</v>
      </c>
      <c r="AA365" s="13">
        <v>7.2400000000000006E-2</v>
      </c>
      <c r="AB365" s="21">
        <f t="shared" si="111"/>
        <v>868800.00000000012</v>
      </c>
      <c r="AC365" s="130">
        <f t="shared" si="112"/>
        <v>85229.280000000013</v>
      </c>
      <c r="AD365" s="169">
        <v>9.8100000000000007E-2</v>
      </c>
      <c r="AE365" s="154">
        <f t="shared" si="113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4"/>
        <v>0.15670322321692506</v>
      </c>
      <c r="AL365" s="17"/>
      <c r="AM365" s="17"/>
      <c r="AN365" s="17"/>
      <c r="AO365" s="17"/>
      <c r="AP365" s="28" t="str">
        <f t="shared" si="115"/>
        <v>20218</v>
      </c>
      <c r="AQ365" s="28" t="str">
        <f t="shared" si="116"/>
        <v>20218JPY</v>
      </c>
      <c r="AR365" s="206" t="str">
        <f t="shared" si="117"/>
        <v>YAMAHA_Mounter</v>
      </c>
      <c r="AS365" s="22">
        <f t="shared" si="118"/>
        <v>2</v>
      </c>
      <c r="AT365" s="24" t="str">
        <f t="shared" si="119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03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0"/>
        <v>1</v>
      </c>
      <c r="Z366" s="18">
        <f t="shared" si="110"/>
        <v>12000000</v>
      </c>
      <c r="AA366" s="13">
        <v>7.2400000000000006E-2</v>
      </c>
      <c r="AB366" s="21">
        <f t="shared" si="111"/>
        <v>868800.00000000012</v>
      </c>
      <c r="AC366" s="130">
        <f t="shared" si="112"/>
        <v>85229.280000000013</v>
      </c>
      <c r="AD366" s="169">
        <v>9.8100000000000007E-2</v>
      </c>
      <c r="AE366" s="154">
        <f t="shared" si="113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4"/>
        <v>0.15670322321692506</v>
      </c>
      <c r="AL366" s="17"/>
      <c r="AM366" s="17"/>
      <c r="AN366" s="17"/>
      <c r="AO366" s="17"/>
      <c r="AP366" s="28" t="str">
        <f t="shared" si="115"/>
        <v>20218</v>
      </c>
      <c r="AQ366" s="28" t="str">
        <f t="shared" si="116"/>
        <v>20218JPY</v>
      </c>
      <c r="AR366" s="206" t="str">
        <f t="shared" si="117"/>
        <v>YAMAHA_Mounter</v>
      </c>
      <c r="AS366" s="22">
        <f t="shared" si="118"/>
        <v>2</v>
      </c>
      <c r="AT366" s="24" t="str">
        <f t="shared" si="119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03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0"/>
        <v>1</v>
      </c>
      <c r="Z367" s="18">
        <f t="shared" si="110"/>
        <v>12000000</v>
      </c>
      <c r="AA367" s="13">
        <v>7.2400000000000006E-2</v>
      </c>
      <c r="AB367" s="21">
        <f t="shared" si="111"/>
        <v>868800.00000000012</v>
      </c>
      <c r="AC367" s="130">
        <f t="shared" si="112"/>
        <v>85229.280000000013</v>
      </c>
      <c r="AD367" s="169">
        <v>9.8100000000000007E-2</v>
      </c>
      <c r="AE367" s="154">
        <f t="shared" si="113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4"/>
        <v>0.15670322321692506</v>
      </c>
      <c r="AL367" s="17"/>
      <c r="AM367" s="17"/>
      <c r="AN367" s="17"/>
      <c r="AO367" s="17"/>
      <c r="AP367" s="28" t="str">
        <f t="shared" si="115"/>
        <v>20218</v>
      </c>
      <c r="AQ367" s="28" t="str">
        <f t="shared" si="116"/>
        <v>20218JPY</v>
      </c>
      <c r="AR367" s="206" t="str">
        <f t="shared" si="117"/>
        <v>YAMAHA_Mounter</v>
      </c>
      <c r="AS367" s="22">
        <f t="shared" si="118"/>
        <v>2</v>
      </c>
      <c r="AT367" s="24" t="str">
        <f t="shared" si="119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03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0"/>
        <v>1</v>
      </c>
      <c r="Z368" s="18">
        <f t="shared" si="110"/>
        <v>8980000</v>
      </c>
      <c r="AA368" s="13">
        <v>7.2400000000000006E-2</v>
      </c>
      <c r="AB368" s="21">
        <f t="shared" si="111"/>
        <v>650152</v>
      </c>
      <c r="AC368" s="130">
        <f t="shared" si="112"/>
        <v>63779.911200000002</v>
      </c>
      <c r="AD368" s="169">
        <v>9.8100000000000007E-2</v>
      </c>
      <c r="AE368" s="154">
        <f t="shared" si="113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4"/>
        <v>0.15670322321692506</v>
      </c>
      <c r="AL368" s="17"/>
      <c r="AM368" s="17"/>
      <c r="AN368" s="17"/>
      <c r="AO368" s="17"/>
      <c r="AP368" s="28" t="str">
        <f t="shared" si="115"/>
        <v>20218</v>
      </c>
      <c r="AQ368" s="28" t="str">
        <f t="shared" si="116"/>
        <v>20218JPY</v>
      </c>
      <c r="AR368" s="206" t="str">
        <f t="shared" si="117"/>
        <v>YAMAHA_Mounter</v>
      </c>
      <c r="AS368" s="22">
        <f t="shared" si="118"/>
        <v>2</v>
      </c>
      <c r="AT368" s="24" t="str">
        <f t="shared" si="119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03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0"/>
        <v>1</v>
      </c>
      <c r="Z369" s="18">
        <f t="shared" si="110"/>
        <v>12000000</v>
      </c>
      <c r="AA369" s="13">
        <v>7.0000000000000007E-2</v>
      </c>
      <c r="AB369" s="21">
        <f t="shared" si="111"/>
        <v>840000.00000000012</v>
      </c>
      <c r="AC369" s="130">
        <f t="shared" si="112"/>
        <v>82404.000000000015</v>
      </c>
      <c r="AD369" s="169">
        <v>9.8100000000000007E-2</v>
      </c>
      <c r="AE369" s="154">
        <f t="shared" si="113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4"/>
        <v>0.11027140718984871</v>
      </c>
      <c r="AL369" s="17"/>
      <c r="AM369" s="17"/>
      <c r="AN369" s="17"/>
      <c r="AO369" s="17"/>
      <c r="AP369" s="28" t="str">
        <f t="shared" si="115"/>
        <v>202111</v>
      </c>
      <c r="AQ369" s="28" t="str">
        <f t="shared" si="116"/>
        <v>202111JPY</v>
      </c>
      <c r="AR369" s="206" t="str">
        <f t="shared" si="117"/>
        <v>YAMAHA_Mounter</v>
      </c>
      <c r="AS369" s="22">
        <f t="shared" si="118"/>
        <v>5</v>
      </c>
      <c r="AT369" s="24" t="str">
        <f t="shared" si="119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03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0"/>
        <v>1</v>
      </c>
      <c r="Z370" s="18">
        <f t="shared" si="110"/>
        <v>12000000</v>
      </c>
      <c r="AA370" s="13">
        <v>7.0000000000000007E-2</v>
      </c>
      <c r="AB370" s="21">
        <f t="shared" si="111"/>
        <v>840000.00000000012</v>
      </c>
      <c r="AC370" s="130">
        <f t="shared" si="112"/>
        <v>82404.000000000015</v>
      </c>
      <c r="AD370" s="169">
        <v>9.8100000000000007E-2</v>
      </c>
      <c r="AE370" s="154">
        <f t="shared" si="113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4"/>
        <v>0.11027140718984871</v>
      </c>
      <c r="AL370" s="17"/>
      <c r="AM370" s="17"/>
      <c r="AN370" s="17"/>
      <c r="AO370" s="17"/>
      <c r="AP370" s="28" t="str">
        <f t="shared" si="115"/>
        <v>202111</v>
      </c>
      <c r="AQ370" s="28" t="str">
        <f t="shared" si="116"/>
        <v>202111JPY</v>
      </c>
      <c r="AR370" s="206" t="str">
        <f t="shared" si="117"/>
        <v>YAMAHA_Mounter</v>
      </c>
      <c r="AS370" s="22">
        <f t="shared" si="118"/>
        <v>5</v>
      </c>
      <c r="AT370" s="24" t="str">
        <f t="shared" si="119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03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0"/>
        <v>1</v>
      </c>
      <c r="Z371" s="18">
        <f t="shared" si="110"/>
        <v>12000000</v>
      </c>
      <c r="AA371" s="13">
        <v>7.0000000000000007E-2</v>
      </c>
      <c r="AB371" s="21">
        <f t="shared" si="111"/>
        <v>840000.00000000012</v>
      </c>
      <c r="AC371" s="130">
        <f t="shared" si="112"/>
        <v>82404.000000000015</v>
      </c>
      <c r="AD371" s="169">
        <v>9.8100000000000007E-2</v>
      </c>
      <c r="AE371" s="154">
        <f t="shared" si="113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4"/>
        <v>0.1517070412191521</v>
      </c>
      <c r="AL371" s="17"/>
      <c r="AM371" s="17"/>
      <c r="AN371" s="17"/>
      <c r="AO371" s="17"/>
      <c r="AP371" s="28" t="str">
        <f t="shared" si="115"/>
        <v>202112</v>
      </c>
      <c r="AQ371" s="28" t="str">
        <f t="shared" si="116"/>
        <v>202112JPY</v>
      </c>
      <c r="AR371" s="206" t="str">
        <f t="shared" si="117"/>
        <v>YAMAHA_Mounter</v>
      </c>
      <c r="AS371" s="22">
        <f t="shared" si="118"/>
        <v>6</v>
      </c>
      <c r="AT371" s="24" t="str">
        <f t="shared" si="119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03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0"/>
        <v>1</v>
      </c>
      <c r="Z372" s="18">
        <f t="shared" si="110"/>
        <v>12000000</v>
      </c>
      <c r="AA372" s="13">
        <v>7.0000000000000007E-2</v>
      </c>
      <c r="AB372" s="21">
        <f t="shared" si="111"/>
        <v>840000.00000000012</v>
      </c>
      <c r="AC372" s="130">
        <f t="shared" si="112"/>
        <v>82404.000000000015</v>
      </c>
      <c r="AD372" s="169">
        <v>9.8100000000000007E-2</v>
      </c>
      <c r="AE372" s="154">
        <f t="shared" si="113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4"/>
        <v>0.1517070412191521</v>
      </c>
      <c r="AL372" s="17"/>
      <c r="AM372" s="17"/>
      <c r="AN372" s="17"/>
      <c r="AO372" s="17"/>
      <c r="AP372" s="28" t="str">
        <f t="shared" si="115"/>
        <v>202112</v>
      </c>
      <c r="AQ372" s="28" t="str">
        <f t="shared" si="116"/>
        <v>202112JPY</v>
      </c>
      <c r="AR372" s="206" t="str">
        <f t="shared" si="117"/>
        <v>YAMAHA_Mounter</v>
      </c>
      <c r="AS372" s="22">
        <f t="shared" si="118"/>
        <v>6</v>
      </c>
      <c r="AT372" s="24" t="str">
        <f t="shared" si="119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03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0"/>
        <v>1</v>
      </c>
      <c r="Z373" s="18">
        <f t="shared" si="110"/>
        <v>20000000</v>
      </c>
      <c r="AA373" s="13">
        <v>5.4899999999999997E-2</v>
      </c>
      <c r="AB373" s="21">
        <f t="shared" si="111"/>
        <v>1098000</v>
      </c>
      <c r="AC373" s="130">
        <f t="shared" si="112"/>
        <v>92781</v>
      </c>
      <c r="AD373" s="169">
        <v>8.4500000000000006E-2</v>
      </c>
      <c r="AE373" s="154">
        <f t="shared" si="113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4"/>
        <v>0.12032530077218917</v>
      </c>
      <c r="AL373" s="17"/>
      <c r="AM373" s="17"/>
      <c r="AN373" s="17"/>
      <c r="AO373" s="17"/>
      <c r="AP373" s="28" t="str">
        <f t="shared" si="115"/>
        <v>20239</v>
      </c>
      <c r="AQ373" s="28" t="str">
        <f t="shared" si="116"/>
        <v>20239JPY</v>
      </c>
      <c r="AR373" s="206" t="str">
        <f t="shared" si="117"/>
        <v>YAMAHA_Mounter</v>
      </c>
      <c r="AS373" s="22">
        <f t="shared" si="118"/>
        <v>0</v>
      </c>
      <c r="AT373" s="24" t="str">
        <f t="shared" si="119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03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0"/>
        <v>1</v>
      </c>
      <c r="Z374" s="18">
        <f t="shared" si="110"/>
        <v>20000000</v>
      </c>
      <c r="AA374" s="13">
        <v>5.4899999999999997E-2</v>
      </c>
      <c r="AB374" s="21">
        <f t="shared" si="111"/>
        <v>1098000</v>
      </c>
      <c r="AC374" s="130">
        <f t="shared" si="112"/>
        <v>92781</v>
      </c>
      <c r="AD374" s="169">
        <v>8.4500000000000006E-2</v>
      </c>
      <c r="AE374" s="154">
        <f t="shared" si="113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4"/>
        <v>0.12032530077218917</v>
      </c>
      <c r="AL374" s="17"/>
      <c r="AM374" s="17"/>
      <c r="AN374" s="17"/>
      <c r="AO374" s="17"/>
      <c r="AP374" s="28" t="str">
        <f t="shared" si="115"/>
        <v>20239</v>
      </c>
      <c r="AQ374" s="28" t="str">
        <f t="shared" si="116"/>
        <v>20239JPY</v>
      </c>
      <c r="AR374" s="206" t="str">
        <f t="shared" si="117"/>
        <v>YAMAHA_Mounter</v>
      </c>
      <c r="AS374" s="22">
        <f t="shared" si="118"/>
        <v>0</v>
      </c>
      <c r="AT374" s="24" t="str">
        <f t="shared" si="119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03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0"/>
        <v>1</v>
      </c>
      <c r="Z375" s="18">
        <f t="shared" si="110"/>
        <v>8800000</v>
      </c>
      <c r="AA375" s="13">
        <v>5.4899999999999997E-2</v>
      </c>
      <c r="AB375" s="21">
        <f t="shared" si="111"/>
        <v>483120</v>
      </c>
      <c r="AC375" s="130">
        <f t="shared" si="112"/>
        <v>40823.64</v>
      </c>
      <c r="AD375" s="169">
        <v>8.4500000000000006E-2</v>
      </c>
      <c r="AE375" s="154">
        <f t="shared" si="113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4"/>
        <v>0.12032530077218917</v>
      </c>
      <c r="AL375" s="17"/>
      <c r="AM375" s="17"/>
      <c r="AN375" s="17"/>
      <c r="AO375" s="17"/>
      <c r="AP375" s="28" t="str">
        <f t="shared" si="115"/>
        <v>20239</v>
      </c>
      <c r="AQ375" s="28" t="str">
        <f t="shared" si="116"/>
        <v>20239JPY</v>
      </c>
      <c r="AR375" s="206" t="str">
        <f t="shared" si="117"/>
        <v>YAMAHA_Mounter</v>
      </c>
      <c r="AS375" s="22">
        <f t="shared" si="118"/>
        <v>0</v>
      </c>
      <c r="AT375" s="24" t="str">
        <f t="shared" si="119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03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0"/>
        <v>1</v>
      </c>
      <c r="Z376" s="18">
        <f t="shared" si="110"/>
        <v>8800000</v>
      </c>
      <c r="AA376" s="13">
        <v>5.4899999999999997E-2</v>
      </c>
      <c r="AB376" s="21">
        <f t="shared" si="111"/>
        <v>483120</v>
      </c>
      <c r="AC376" s="130">
        <f t="shared" si="112"/>
        <v>40823.64</v>
      </c>
      <c r="AD376" s="169">
        <v>8.4500000000000006E-2</v>
      </c>
      <c r="AE376" s="154">
        <f t="shared" si="113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4"/>
        <v>0.12032530077218917</v>
      </c>
      <c r="AL376" s="17"/>
      <c r="AM376" s="17"/>
      <c r="AN376" s="17"/>
      <c r="AO376" s="17"/>
      <c r="AP376" s="28" t="str">
        <f t="shared" si="115"/>
        <v>20239</v>
      </c>
      <c r="AQ376" s="28" t="str">
        <f t="shared" si="116"/>
        <v>20239JPY</v>
      </c>
      <c r="AR376" s="206" t="str">
        <f t="shared" si="117"/>
        <v>YAMAHA_Mounter</v>
      </c>
      <c r="AS376" s="22">
        <f t="shared" si="118"/>
        <v>0</v>
      </c>
      <c r="AT376" s="24" t="str">
        <f t="shared" si="119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03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0"/>
        <v>1</v>
      </c>
      <c r="Z377" s="18">
        <f t="shared" si="110"/>
        <v>11000000</v>
      </c>
      <c r="AA377" s="13">
        <v>7.2099999999999997E-2</v>
      </c>
      <c r="AB377" s="21">
        <f t="shared" si="111"/>
        <v>793100</v>
      </c>
      <c r="AC377" s="130">
        <f t="shared" si="112"/>
        <v>64161.79</v>
      </c>
      <c r="AD377" s="169">
        <v>8.09E-2</v>
      </c>
      <c r="AE377" s="154">
        <f t="shared" si="113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4"/>
        <v>0.13679824337660537</v>
      </c>
      <c r="AL377" s="17"/>
      <c r="AM377" s="17"/>
      <c r="AN377" s="17"/>
      <c r="AO377" s="17"/>
      <c r="AP377" s="28" t="str">
        <f t="shared" si="115"/>
        <v>20216</v>
      </c>
      <c r="AQ377" s="28" t="str">
        <f t="shared" si="116"/>
        <v>20216JPY</v>
      </c>
      <c r="AR377" s="206" t="str">
        <f t="shared" si="117"/>
        <v>YAMAHA_Mounter</v>
      </c>
      <c r="AS377" s="22">
        <f t="shared" si="118"/>
        <v>3</v>
      </c>
      <c r="AT377" s="24" t="str">
        <f t="shared" si="119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03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0"/>
        <v>1</v>
      </c>
      <c r="Z378" s="18">
        <f t="shared" si="110"/>
        <v>11000000</v>
      </c>
      <c r="AA378" s="13">
        <v>7.2099999999999997E-2</v>
      </c>
      <c r="AB378" s="21">
        <f t="shared" si="111"/>
        <v>793100</v>
      </c>
      <c r="AC378" s="130">
        <f t="shared" si="112"/>
        <v>64161.79</v>
      </c>
      <c r="AD378" s="169">
        <v>8.09E-2</v>
      </c>
      <c r="AE378" s="154">
        <f t="shared" si="113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4"/>
        <v>0.13679824337660537</v>
      </c>
      <c r="AL378" s="17"/>
      <c r="AM378" s="17"/>
      <c r="AN378" s="17"/>
      <c r="AO378" s="17"/>
      <c r="AP378" s="28" t="str">
        <f t="shared" si="115"/>
        <v>20216</v>
      </c>
      <c r="AQ378" s="28" t="str">
        <f t="shared" si="116"/>
        <v>20216JPY</v>
      </c>
      <c r="AR378" s="206" t="str">
        <f t="shared" si="117"/>
        <v>YAMAHA_Mounter</v>
      </c>
      <c r="AS378" s="22">
        <f t="shared" si="118"/>
        <v>3</v>
      </c>
      <c r="AT378" s="24" t="str">
        <f t="shared" si="119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03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0"/>
        <v>1</v>
      </c>
      <c r="Z379" s="18">
        <f t="shared" si="110"/>
        <v>11000000</v>
      </c>
      <c r="AA379" s="13">
        <v>7.2099999999999997E-2</v>
      </c>
      <c r="AB379" s="21">
        <f t="shared" si="111"/>
        <v>793100</v>
      </c>
      <c r="AC379" s="130">
        <f t="shared" si="112"/>
        <v>64161.79</v>
      </c>
      <c r="AD379" s="169">
        <v>8.09E-2</v>
      </c>
      <c r="AE379" s="154">
        <f t="shared" si="113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4"/>
        <v>0.13679824337660537</v>
      </c>
      <c r="AL379" s="17"/>
      <c r="AM379" s="17"/>
      <c r="AN379" s="17"/>
      <c r="AO379" s="17"/>
      <c r="AP379" s="28" t="str">
        <f t="shared" si="115"/>
        <v>20216</v>
      </c>
      <c r="AQ379" s="28" t="str">
        <f t="shared" si="116"/>
        <v>20216JPY</v>
      </c>
      <c r="AR379" s="206" t="str">
        <f t="shared" si="117"/>
        <v>YAMAHA_Mounter</v>
      </c>
      <c r="AS379" s="22">
        <f t="shared" si="118"/>
        <v>3</v>
      </c>
      <c r="AT379" s="24" t="str">
        <f t="shared" si="119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03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0"/>
        <v>1</v>
      </c>
      <c r="Z380" s="18">
        <f t="shared" si="110"/>
        <v>11000000</v>
      </c>
      <c r="AA380" s="13">
        <v>7.2099999999999997E-2</v>
      </c>
      <c r="AB380" s="21">
        <f t="shared" si="111"/>
        <v>793100</v>
      </c>
      <c r="AC380" s="130">
        <f t="shared" si="112"/>
        <v>64161.79</v>
      </c>
      <c r="AD380" s="169">
        <v>8.09E-2</v>
      </c>
      <c r="AE380" s="154">
        <f t="shared" si="113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4"/>
        <v>0.13679824337660537</v>
      </c>
      <c r="AL380" s="17"/>
      <c r="AM380" s="17"/>
      <c r="AN380" s="17"/>
      <c r="AO380" s="17"/>
      <c r="AP380" s="28" t="str">
        <f t="shared" si="115"/>
        <v>20216</v>
      </c>
      <c r="AQ380" s="28" t="str">
        <f t="shared" si="116"/>
        <v>20216JPY</v>
      </c>
      <c r="AR380" s="206" t="str">
        <f t="shared" si="117"/>
        <v>YAMAHA_Mounter</v>
      </c>
      <c r="AS380" s="22">
        <f t="shared" si="118"/>
        <v>3</v>
      </c>
      <c r="AT380" s="24" t="str">
        <f t="shared" si="119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03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0"/>
        <v>1</v>
      </c>
      <c r="Z381" s="18">
        <f t="shared" si="110"/>
        <v>11000000</v>
      </c>
      <c r="AA381" s="13">
        <v>7.2099999999999997E-2</v>
      </c>
      <c r="AB381" s="21">
        <f t="shared" si="111"/>
        <v>793100</v>
      </c>
      <c r="AC381" s="130">
        <f t="shared" si="112"/>
        <v>64161.79</v>
      </c>
      <c r="AD381" s="169">
        <v>8.09E-2</v>
      </c>
      <c r="AE381" s="154">
        <f t="shared" si="113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4"/>
        <v>0.13679824337660537</v>
      </c>
      <c r="AL381" s="17"/>
      <c r="AM381" s="17"/>
      <c r="AN381" s="17"/>
      <c r="AO381" s="17"/>
      <c r="AP381" s="28" t="str">
        <f t="shared" si="115"/>
        <v>20216</v>
      </c>
      <c r="AQ381" s="28" t="str">
        <f t="shared" si="116"/>
        <v>20216JPY</v>
      </c>
      <c r="AR381" s="206" t="str">
        <f t="shared" si="117"/>
        <v>YAMAHA_Mounter</v>
      </c>
      <c r="AS381" s="22">
        <f t="shared" si="118"/>
        <v>3</v>
      </c>
      <c r="AT381" s="24" t="str">
        <f t="shared" si="119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03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0"/>
        <v>1</v>
      </c>
      <c r="Z382" s="18">
        <f t="shared" si="110"/>
        <v>11000000</v>
      </c>
      <c r="AA382" s="13">
        <v>7.2099999999999997E-2</v>
      </c>
      <c r="AB382" s="21">
        <f t="shared" si="111"/>
        <v>793100</v>
      </c>
      <c r="AC382" s="130">
        <f t="shared" si="112"/>
        <v>64161.79</v>
      </c>
      <c r="AD382" s="169">
        <v>8.09E-2</v>
      </c>
      <c r="AE382" s="154">
        <f t="shared" si="113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4"/>
        <v>0.13679824337660537</v>
      </c>
      <c r="AL382" s="17"/>
      <c r="AM382" s="17"/>
      <c r="AN382" s="17"/>
      <c r="AO382" s="17"/>
      <c r="AP382" s="28" t="str">
        <f t="shared" si="115"/>
        <v>20216</v>
      </c>
      <c r="AQ382" s="28" t="str">
        <f t="shared" si="116"/>
        <v>20216JPY</v>
      </c>
      <c r="AR382" s="206" t="str">
        <f t="shared" si="117"/>
        <v>YAMAHA_Mounter</v>
      </c>
      <c r="AS382" s="22">
        <f t="shared" si="118"/>
        <v>3</v>
      </c>
      <c r="AT382" s="24" t="str">
        <f t="shared" si="119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03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0"/>
        <v>1</v>
      </c>
      <c r="Z383" s="18">
        <f t="shared" si="110"/>
        <v>11000000</v>
      </c>
      <c r="AA383" s="13">
        <v>7.2099999999999997E-2</v>
      </c>
      <c r="AB383" s="21">
        <f t="shared" si="111"/>
        <v>793100</v>
      </c>
      <c r="AC383" s="130">
        <f t="shared" si="112"/>
        <v>64161.79</v>
      </c>
      <c r="AD383" s="169">
        <v>8.09E-2</v>
      </c>
      <c r="AE383" s="154">
        <f t="shared" si="113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4"/>
        <v>0.13679824337660537</v>
      </c>
      <c r="AL383" s="17"/>
      <c r="AM383" s="17"/>
      <c r="AN383" s="17"/>
      <c r="AO383" s="17"/>
      <c r="AP383" s="28" t="str">
        <f t="shared" si="115"/>
        <v>20216</v>
      </c>
      <c r="AQ383" s="28" t="str">
        <f t="shared" si="116"/>
        <v>20216JPY</v>
      </c>
      <c r="AR383" s="206" t="str">
        <f t="shared" si="117"/>
        <v>YAMAHA_Mounter</v>
      </c>
      <c r="AS383" s="22">
        <f t="shared" si="118"/>
        <v>3</v>
      </c>
      <c r="AT383" s="24" t="str">
        <f t="shared" si="119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03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0"/>
        <v>1</v>
      </c>
      <c r="Z384" s="18">
        <f t="shared" si="110"/>
        <v>11000000</v>
      </c>
      <c r="AA384" s="13">
        <v>7.2099999999999997E-2</v>
      </c>
      <c r="AB384" s="21">
        <f t="shared" si="111"/>
        <v>793100</v>
      </c>
      <c r="AC384" s="130">
        <f t="shared" si="112"/>
        <v>64161.79</v>
      </c>
      <c r="AD384" s="169">
        <v>8.09E-2</v>
      </c>
      <c r="AE384" s="154">
        <f t="shared" si="113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4"/>
        <v>0.13679824337660537</v>
      </c>
      <c r="AL384" s="17"/>
      <c r="AM384" s="17"/>
      <c r="AN384" s="17"/>
      <c r="AO384" s="17"/>
      <c r="AP384" s="28" t="str">
        <f t="shared" si="115"/>
        <v>20216</v>
      </c>
      <c r="AQ384" s="28" t="str">
        <f t="shared" si="116"/>
        <v>20216JPY</v>
      </c>
      <c r="AR384" s="206" t="str">
        <f t="shared" si="117"/>
        <v>YAMAHA_Mounter</v>
      </c>
      <c r="AS384" s="22">
        <f t="shared" si="118"/>
        <v>3</v>
      </c>
      <c r="AT384" s="24" t="str">
        <f t="shared" si="119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03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0"/>
        <v>1</v>
      </c>
      <c r="Z385" s="18">
        <f t="shared" si="110"/>
        <v>11000000</v>
      </c>
      <c r="AA385" s="13">
        <v>7.2099999999999997E-2</v>
      </c>
      <c r="AB385" s="21">
        <f t="shared" si="111"/>
        <v>793100</v>
      </c>
      <c r="AC385" s="130">
        <f t="shared" si="112"/>
        <v>65510.060000000005</v>
      </c>
      <c r="AD385" s="169">
        <v>8.2600000000000007E-2</v>
      </c>
      <c r="AE385" s="154">
        <f t="shared" si="113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4"/>
        <v>0.13679824337660537</v>
      </c>
      <c r="AL385" s="17"/>
      <c r="AM385" s="17"/>
      <c r="AN385" s="17"/>
      <c r="AO385" s="17"/>
      <c r="AP385" s="28" t="str">
        <f t="shared" si="115"/>
        <v>20216</v>
      </c>
      <c r="AQ385" s="28" t="str">
        <f t="shared" si="116"/>
        <v>20216JPY</v>
      </c>
      <c r="AR385" s="206" t="str">
        <f t="shared" si="117"/>
        <v>YAMAHA_Mounter</v>
      </c>
      <c r="AS385" s="22">
        <f t="shared" si="118"/>
        <v>3</v>
      </c>
      <c r="AT385" s="24" t="str">
        <f t="shared" si="119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ref="P386:P449" si="121">IF(M386="","",IF(AND(N386&gt;0,L386&lt;&gt;""),"MAIN UNIT",IF(AND(O386&gt;0,L386&lt;&gt;""),"SERVICE/ PARTS","C66 SERVICE/OTHERS")))</f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0"/>
        <v>1</v>
      </c>
      <c r="Z386" s="18">
        <f t="shared" si="110"/>
        <v>11000000</v>
      </c>
      <c r="AA386" s="13">
        <v>7.2099999999999997E-2</v>
      </c>
      <c r="AB386" s="21">
        <f t="shared" si="111"/>
        <v>793100</v>
      </c>
      <c r="AC386" s="130">
        <f t="shared" si="112"/>
        <v>65510.060000000005</v>
      </c>
      <c r="AD386" s="169">
        <v>8.2600000000000007E-2</v>
      </c>
      <c r="AE386" s="154">
        <f t="shared" si="113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4"/>
        <v>0.13679824337660537</v>
      </c>
      <c r="AL386" s="17"/>
      <c r="AM386" s="17"/>
      <c r="AN386" s="17"/>
      <c r="AO386" s="17"/>
      <c r="AP386" s="28" t="str">
        <f t="shared" si="115"/>
        <v>20216</v>
      </c>
      <c r="AQ386" s="28" t="str">
        <f t="shared" si="116"/>
        <v>20216JPY</v>
      </c>
      <c r="AR386" s="206" t="str">
        <f t="shared" si="117"/>
        <v>YAMAHA_Mounter</v>
      </c>
      <c r="AS386" s="22">
        <f t="shared" si="118"/>
        <v>3</v>
      </c>
      <c r="AT386" s="24" t="str">
        <f t="shared" si="119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21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0"/>
        <v>1</v>
      </c>
      <c r="Z387" s="18">
        <f t="shared" si="110"/>
        <v>11000000</v>
      </c>
      <c r="AA387" s="13">
        <v>7.2099999999999997E-2</v>
      </c>
      <c r="AB387" s="21">
        <f t="shared" si="111"/>
        <v>793100</v>
      </c>
      <c r="AC387" s="130">
        <f t="shared" si="112"/>
        <v>65510.060000000005</v>
      </c>
      <c r="AD387" s="169">
        <v>8.2600000000000007E-2</v>
      </c>
      <c r="AE387" s="154">
        <f t="shared" si="113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4"/>
        <v>0.13679824337660537</v>
      </c>
      <c r="AL387" s="17"/>
      <c r="AM387" s="17"/>
      <c r="AN387" s="17"/>
      <c r="AO387" s="17"/>
      <c r="AP387" s="28" t="str">
        <f t="shared" si="115"/>
        <v>20216</v>
      </c>
      <c r="AQ387" s="28" t="str">
        <f t="shared" si="116"/>
        <v>20216JPY</v>
      </c>
      <c r="AR387" s="206" t="str">
        <f t="shared" si="117"/>
        <v>YAMAHA_Mounter</v>
      </c>
      <c r="AS387" s="22">
        <f t="shared" si="118"/>
        <v>3</v>
      </c>
      <c r="AT387" s="24" t="str">
        <f t="shared" si="119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21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0"/>
        <v>1</v>
      </c>
      <c r="Z388" s="18">
        <f t="shared" si="110"/>
        <v>11000000</v>
      </c>
      <c r="AA388" s="13">
        <v>7.2099999999999997E-2</v>
      </c>
      <c r="AB388" s="21">
        <f t="shared" si="111"/>
        <v>793100</v>
      </c>
      <c r="AC388" s="130">
        <f t="shared" si="112"/>
        <v>65510.060000000005</v>
      </c>
      <c r="AD388" s="169">
        <v>8.2600000000000007E-2</v>
      </c>
      <c r="AE388" s="154">
        <f t="shared" si="113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4"/>
        <v>0.13679824337660537</v>
      </c>
      <c r="AL388" s="17"/>
      <c r="AM388" s="17"/>
      <c r="AN388" s="17"/>
      <c r="AO388" s="17"/>
      <c r="AP388" s="28" t="str">
        <f t="shared" si="115"/>
        <v>20216</v>
      </c>
      <c r="AQ388" s="28" t="str">
        <f t="shared" si="116"/>
        <v>20216JPY</v>
      </c>
      <c r="AR388" s="206" t="str">
        <f t="shared" si="117"/>
        <v>YAMAHA_Mounter</v>
      </c>
      <c r="AS388" s="22">
        <f t="shared" si="118"/>
        <v>3</v>
      </c>
      <c r="AT388" s="24" t="str">
        <f t="shared" si="119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21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0"/>
        <v>1</v>
      </c>
      <c r="Z389" s="18">
        <f t="shared" si="110"/>
        <v>11000000</v>
      </c>
      <c r="AA389" s="13">
        <v>7.2099999999999997E-2</v>
      </c>
      <c r="AB389" s="21">
        <f t="shared" si="111"/>
        <v>793100</v>
      </c>
      <c r="AC389" s="130">
        <f t="shared" si="112"/>
        <v>65510.060000000005</v>
      </c>
      <c r="AD389" s="169">
        <v>8.2600000000000007E-2</v>
      </c>
      <c r="AE389" s="154">
        <f t="shared" si="113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4"/>
        <v>0.13679824337660537</v>
      </c>
      <c r="AL389" s="17"/>
      <c r="AM389" s="17"/>
      <c r="AN389" s="17"/>
      <c r="AO389" s="17"/>
      <c r="AP389" s="28" t="str">
        <f t="shared" si="115"/>
        <v>20216</v>
      </c>
      <c r="AQ389" s="28" t="str">
        <f t="shared" si="116"/>
        <v>20216JPY</v>
      </c>
      <c r="AR389" s="206" t="str">
        <f t="shared" si="117"/>
        <v>YAMAHA_Mounter</v>
      </c>
      <c r="AS389" s="22">
        <f t="shared" si="118"/>
        <v>3</v>
      </c>
      <c r="AT389" s="24" t="str">
        <f t="shared" si="119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si="121"/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0"/>
        <v>1</v>
      </c>
      <c r="Z390" s="18">
        <f t="shared" ref="Z390:Z453" si="127">IF(X390="","",X390*MAX(O390,N390))</f>
        <v>11000000</v>
      </c>
      <c r="AA390" s="13">
        <v>7.2099999999999997E-2</v>
      </c>
      <c r="AB390" s="21">
        <f t="shared" ref="AB390:AB453" si="128">IF(AND(R390&lt;&gt;"C66",R390&lt;&gt;""),Z390/Y390*AA390,"")</f>
        <v>793100</v>
      </c>
      <c r="AC390" s="130">
        <f t="shared" ref="AC390:AC453" si="129">IF(R390&lt;&gt;"",AB390*AD390,"")</f>
        <v>65510.060000000005</v>
      </c>
      <c r="AD390" s="169">
        <v>8.2600000000000007E-2</v>
      </c>
      <c r="AE390" s="154">
        <f t="shared" ref="AE390:AE453" si="130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1">IF(AJ390&gt;0,AJ390/AI390,"")</f>
        <v>0.13679824337660537</v>
      </c>
      <c r="AL390" s="17"/>
      <c r="AM390" s="17"/>
      <c r="AN390" s="17"/>
      <c r="AO390" s="17"/>
      <c r="AP390" s="28" t="str">
        <f t="shared" ref="AP390:AP453" si="132">IF(F390="","",F390&amp;G390)</f>
        <v>20216</v>
      </c>
      <c r="AQ390" s="28" t="str">
        <f t="shared" ref="AQ390:AQ453" si="133">IF(W390="","",F390&amp;G390&amp;W390)</f>
        <v>20216JPY</v>
      </c>
      <c r="AR390" s="206" t="str">
        <f t="shared" ref="AR390:AR453" si="134">IFERROR(IF(AND(M390="YAMAHA", R390="C28"), "YAMAHA_Non_Mounter", IF(AND(M390="YAMAHA", R390="C49"), "YAMAHA_Mounter", M390)),"")</f>
        <v>YAMAHA_Mounter</v>
      </c>
      <c r="AS390" s="22">
        <f t="shared" ref="AS390:AS453" si="135">IFERROR(IF(OR(G390="TBA", G390=""), "", DATEDIF(DATE(B390, C390, 1), DATE(F390, G390, 1), "M")),"")</f>
        <v>3</v>
      </c>
      <c r="AT390" s="24" t="str">
        <f t="shared" ref="AT390:AT453" si="136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1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0"/>
        <v>1</v>
      </c>
      <c r="Z391" s="18">
        <f t="shared" si="127"/>
        <v>11000000</v>
      </c>
      <c r="AA391" s="13">
        <v>7.2099999999999997E-2</v>
      </c>
      <c r="AB391" s="21">
        <f t="shared" si="128"/>
        <v>793100</v>
      </c>
      <c r="AC391" s="130">
        <f t="shared" si="129"/>
        <v>65510.060000000005</v>
      </c>
      <c r="AD391" s="169">
        <v>8.2600000000000007E-2</v>
      </c>
      <c r="AE391" s="154">
        <f t="shared" si="130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1"/>
        <v>0.13679824337660537</v>
      </c>
      <c r="AL391" s="17"/>
      <c r="AM391" s="17"/>
      <c r="AN391" s="17"/>
      <c r="AO391" s="17"/>
      <c r="AP391" s="28" t="str">
        <f t="shared" si="132"/>
        <v>20216</v>
      </c>
      <c r="AQ391" s="28" t="str">
        <f t="shared" si="133"/>
        <v>20216JPY</v>
      </c>
      <c r="AR391" s="206" t="str">
        <f t="shared" si="134"/>
        <v>YAMAHA_Mounter</v>
      </c>
      <c r="AS391" s="22">
        <f t="shared" si="135"/>
        <v>3</v>
      </c>
      <c r="AT391" s="24" t="str">
        <f t="shared" si="136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1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0"/>
        <v>1</v>
      </c>
      <c r="Z392" s="18">
        <f t="shared" si="127"/>
        <v>11000000</v>
      </c>
      <c r="AA392" s="13">
        <v>7.2099999999999997E-2</v>
      </c>
      <c r="AB392" s="21">
        <f t="shared" si="128"/>
        <v>793100</v>
      </c>
      <c r="AC392" s="130">
        <f t="shared" si="129"/>
        <v>65510.060000000005</v>
      </c>
      <c r="AD392" s="169">
        <v>8.2600000000000007E-2</v>
      </c>
      <c r="AE392" s="154">
        <f t="shared" si="130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1"/>
        <v>0.13679824337660537</v>
      </c>
      <c r="AL392" s="17"/>
      <c r="AM392" s="17"/>
      <c r="AN392" s="17"/>
      <c r="AO392" s="17"/>
      <c r="AP392" s="28" t="str">
        <f t="shared" si="132"/>
        <v>20216</v>
      </c>
      <c r="AQ392" s="28" t="str">
        <f t="shared" si="133"/>
        <v>20216JPY</v>
      </c>
      <c r="AR392" s="206" t="str">
        <f t="shared" si="134"/>
        <v>YAMAHA_Mounter</v>
      </c>
      <c r="AS392" s="22">
        <f t="shared" si="135"/>
        <v>3</v>
      </c>
      <c r="AT392" s="24" t="str">
        <f t="shared" si="136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1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0"/>
        <v>1</v>
      </c>
      <c r="Z393" s="18">
        <f t="shared" si="127"/>
        <v>6900000</v>
      </c>
      <c r="AA393" s="13">
        <v>7.2099999999999997E-2</v>
      </c>
      <c r="AB393" s="21">
        <f t="shared" si="128"/>
        <v>497490</v>
      </c>
      <c r="AC393" s="130">
        <f t="shared" si="129"/>
        <v>40246.940999999999</v>
      </c>
      <c r="AD393" s="169">
        <v>8.09E-2</v>
      </c>
      <c r="AE393" s="154">
        <f t="shared" si="130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1"/>
        <v>0.13679824337660537</v>
      </c>
      <c r="AL393" s="17"/>
      <c r="AM393" s="17"/>
      <c r="AN393" s="17"/>
      <c r="AO393" s="17"/>
      <c r="AP393" s="28" t="str">
        <f t="shared" si="132"/>
        <v>20216</v>
      </c>
      <c r="AQ393" s="28" t="str">
        <f t="shared" si="133"/>
        <v>20216JPY</v>
      </c>
      <c r="AR393" s="206" t="str">
        <f t="shared" si="134"/>
        <v>YAMAHA_Mounter</v>
      </c>
      <c r="AS393" s="22">
        <f t="shared" si="135"/>
        <v>3</v>
      </c>
      <c r="AT393" s="24" t="str">
        <f t="shared" si="136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1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0"/>
        <v>1</v>
      </c>
      <c r="Z394" s="18">
        <f t="shared" si="127"/>
        <v>6900000</v>
      </c>
      <c r="AA394" s="13">
        <v>7.2099999999999997E-2</v>
      </c>
      <c r="AB394" s="21">
        <f t="shared" si="128"/>
        <v>497490</v>
      </c>
      <c r="AC394" s="130">
        <f t="shared" si="129"/>
        <v>40246.940999999999</v>
      </c>
      <c r="AD394" s="169">
        <v>8.09E-2</v>
      </c>
      <c r="AE394" s="154">
        <f t="shared" si="130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1"/>
        <v>0.13679824337660537</v>
      </c>
      <c r="AL394" s="17"/>
      <c r="AM394" s="17"/>
      <c r="AN394" s="17"/>
      <c r="AO394" s="17"/>
      <c r="AP394" s="28" t="str">
        <f t="shared" si="132"/>
        <v>20216</v>
      </c>
      <c r="AQ394" s="28" t="str">
        <f t="shared" si="133"/>
        <v>20216JPY</v>
      </c>
      <c r="AR394" s="206" t="str">
        <f t="shared" si="134"/>
        <v>YAMAHA_Mounter</v>
      </c>
      <c r="AS394" s="22">
        <f t="shared" si="135"/>
        <v>3</v>
      </c>
      <c r="AT394" s="24" t="str">
        <f t="shared" si="136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1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0"/>
        <v>1</v>
      </c>
      <c r="Z395" s="18">
        <f t="shared" si="127"/>
        <v>6900000</v>
      </c>
      <c r="AA395" s="13">
        <v>7.2099999999999997E-2</v>
      </c>
      <c r="AB395" s="21">
        <f t="shared" si="128"/>
        <v>497490</v>
      </c>
      <c r="AC395" s="130">
        <f t="shared" si="129"/>
        <v>41092.674000000006</v>
      </c>
      <c r="AD395" s="169">
        <v>8.2600000000000007E-2</v>
      </c>
      <c r="AE395" s="154">
        <f t="shared" si="130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1"/>
        <v>0.13679824337660537</v>
      </c>
      <c r="AL395" s="17"/>
      <c r="AM395" s="17"/>
      <c r="AN395" s="17"/>
      <c r="AO395" s="17"/>
      <c r="AP395" s="28" t="str">
        <f t="shared" si="132"/>
        <v>20216</v>
      </c>
      <c r="AQ395" s="28" t="str">
        <f t="shared" si="133"/>
        <v>20216JPY</v>
      </c>
      <c r="AR395" s="206" t="str">
        <f t="shared" si="134"/>
        <v>YAMAHA_Mounter</v>
      </c>
      <c r="AS395" s="22">
        <f t="shared" si="135"/>
        <v>3</v>
      </c>
      <c r="AT395" s="24" t="str">
        <f t="shared" si="136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1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7"/>
        <v>934800</v>
      </c>
      <c r="AA396" s="13">
        <v>1.135</v>
      </c>
      <c r="AB396" s="21">
        <f t="shared" si="128"/>
        <v>938936.28318584082</v>
      </c>
      <c r="AC396" s="130">
        <f t="shared" si="129"/>
        <v>65631.646194690271</v>
      </c>
      <c r="AD396" s="169">
        <v>6.9900000000000004E-2</v>
      </c>
      <c r="AE396" s="154">
        <f t="shared" si="130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1"/>
        <v>0.13071226364205143</v>
      </c>
      <c r="AL396" s="17"/>
      <c r="AM396" s="17"/>
      <c r="AN396" s="17"/>
      <c r="AO396" s="17"/>
      <c r="AP396" s="28" t="str">
        <f t="shared" si="132"/>
        <v>20197</v>
      </c>
      <c r="AQ396" s="28" t="str">
        <f t="shared" si="133"/>
        <v>20197RMB</v>
      </c>
      <c r="AR396" s="206" t="str">
        <f t="shared" si="134"/>
        <v>YAMAHA_Mounter</v>
      </c>
      <c r="AS396" s="22">
        <f t="shared" si="135"/>
        <v>0</v>
      </c>
      <c r="AT396" s="24" t="str">
        <f t="shared" si="136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1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37">IF(W397="RMB","1.13", "1")</f>
        <v>1</v>
      </c>
      <c r="Z397" s="18">
        <f t="shared" si="127"/>
        <v>16270000</v>
      </c>
      <c r="AA397" s="13">
        <v>7.4899999999999994E-2</v>
      </c>
      <c r="AB397" s="21">
        <f t="shared" si="128"/>
        <v>1218623</v>
      </c>
      <c r="AC397" s="130">
        <f t="shared" si="129"/>
        <v>197416.92600000001</v>
      </c>
      <c r="AD397" s="169">
        <v>0.16200000000000001</v>
      </c>
      <c r="AE397" s="154">
        <f t="shared" si="130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1"/>
        <v>0.12142827497242578</v>
      </c>
      <c r="AL397" s="17"/>
      <c r="AM397" s="17"/>
      <c r="AN397" s="17"/>
      <c r="AO397" s="17"/>
      <c r="AP397" s="28" t="str">
        <f t="shared" si="132"/>
        <v>202010</v>
      </c>
      <c r="AQ397" s="28" t="str">
        <f t="shared" si="133"/>
        <v>202010JPY</v>
      </c>
      <c r="AR397" s="206" t="str">
        <f t="shared" si="134"/>
        <v>YAMAHA_Mounter</v>
      </c>
      <c r="AS397" s="22">
        <f t="shared" si="135"/>
        <v>1</v>
      </c>
      <c r="AT397" s="24" t="str">
        <f t="shared" si="136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1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37"/>
        <v>1</v>
      </c>
      <c r="Z398" s="18">
        <f t="shared" si="127"/>
        <v>11730000</v>
      </c>
      <c r="AA398" s="13">
        <v>6.9199999999999998E-2</v>
      </c>
      <c r="AB398" s="21">
        <f t="shared" si="128"/>
        <v>811716</v>
      </c>
      <c r="AC398" s="130">
        <f t="shared" si="129"/>
        <v>147326.454</v>
      </c>
      <c r="AD398" s="169">
        <v>0.18149999999999999</v>
      </c>
      <c r="AE398" s="154">
        <f t="shared" si="130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1"/>
        <v>0.12968149510667554</v>
      </c>
      <c r="AL398" s="17"/>
      <c r="AM398" s="17"/>
      <c r="AN398" s="17"/>
      <c r="AO398" s="17"/>
      <c r="AP398" s="28" t="str">
        <f t="shared" si="132"/>
        <v>20221</v>
      </c>
      <c r="AQ398" s="28" t="str">
        <f t="shared" si="133"/>
        <v>20221JPY</v>
      </c>
      <c r="AR398" s="206" t="str">
        <f t="shared" si="134"/>
        <v>YAMAHA_Mounter</v>
      </c>
      <c r="AS398" s="22">
        <f t="shared" si="135"/>
        <v>8</v>
      </c>
      <c r="AT398" s="24" t="str">
        <f t="shared" si="136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1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37"/>
        <v>1</v>
      </c>
      <c r="Z399" s="18">
        <f t="shared" si="127"/>
        <v>15000000</v>
      </c>
      <c r="AA399" s="13">
        <v>5.8700000000000002E-2</v>
      </c>
      <c r="AB399" s="21">
        <f t="shared" si="128"/>
        <v>880500</v>
      </c>
      <c r="AC399" s="130">
        <f t="shared" si="129"/>
        <v>144402</v>
      </c>
      <c r="AD399" s="169">
        <v>0.16400000000000001</v>
      </c>
      <c r="AE399" s="154">
        <f t="shared" si="130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1"/>
        <v>0.14613378412599562</v>
      </c>
      <c r="AL399" s="17"/>
      <c r="AM399" s="17"/>
      <c r="AN399" s="17"/>
      <c r="AO399" s="17"/>
      <c r="AP399" s="28" t="str">
        <f t="shared" si="132"/>
        <v>20227</v>
      </c>
      <c r="AQ399" s="28" t="str">
        <f t="shared" si="133"/>
        <v>20227JPY</v>
      </c>
      <c r="AR399" s="206" t="str">
        <f t="shared" si="134"/>
        <v>YAMAHA_Mounter</v>
      </c>
      <c r="AS399" s="22">
        <f t="shared" si="135"/>
        <v>2</v>
      </c>
      <c r="AT399" s="24" t="str">
        <f t="shared" si="136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1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37"/>
        <v>1</v>
      </c>
      <c r="Z400" s="18">
        <f t="shared" si="127"/>
        <v>10400000</v>
      </c>
      <c r="AA400" s="13">
        <v>5.8700000000000002E-2</v>
      </c>
      <c r="AB400" s="21">
        <f t="shared" si="128"/>
        <v>610480</v>
      </c>
      <c r="AC400" s="130">
        <f t="shared" si="129"/>
        <v>100118.72</v>
      </c>
      <c r="AD400" s="169">
        <v>0.16400000000000001</v>
      </c>
      <c r="AE400" s="154">
        <f t="shared" si="130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1"/>
        <v>0.14613378412599562</v>
      </c>
      <c r="AL400" s="17"/>
      <c r="AM400" s="17"/>
      <c r="AN400" s="17"/>
      <c r="AO400" s="17"/>
      <c r="AP400" s="28" t="str">
        <f t="shared" si="132"/>
        <v>20227</v>
      </c>
      <c r="AQ400" s="28" t="str">
        <f t="shared" si="133"/>
        <v>20227JPY</v>
      </c>
      <c r="AR400" s="206" t="str">
        <f t="shared" si="134"/>
        <v>YAMAHA_Mounter</v>
      </c>
      <c r="AS400" s="22">
        <f t="shared" si="135"/>
        <v>2</v>
      </c>
      <c r="AT400" s="24" t="str">
        <f t="shared" si="136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1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37"/>
        <v>1</v>
      </c>
      <c r="Z401" s="18">
        <f t="shared" si="127"/>
        <v>15000000</v>
      </c>
      <c r="AA401" s="13">
        <v>5.5199999999999999E-2</v>
      </c>
      <c r="AB401" s="21">
        <f t="shared" si="128"/>
        <v>828000</v>
      </c>
      <c r="AC401" s="130">
        <f t="shared" si="129"/>
        <v>144154.80000000002</v>
      </c>
      <c r="AD401" s="169">
        <v>0.1741</v>
      </c>
      <c r="AE401" s="154">
        <f t="shared" si="130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1"/>
        <v>0.12327425538313459</v>
      </c>
      <c r="AL401" s="17"/>
      <c r="AM401" s="17"/>
      <c r="AN401" s="17"/>
      <c r="AO401" s="17"/>
      <c r="AP401" s="28" t="str">
        <f t="shared" si="132"/>
        <v>20237</v>
      </c>
      <c r="AQ401" s="28" t="str">
        <f t="shared" si="133"/>
        <v>20237JPY</v>
      </c>
      <c r="AR401" s="206" t="str">
        <f t="shared" si="134"/>
        <v>YAMAHA_Mounter</v>
      </c>
      <c r="AS401" s="22">
        <f t="shared" si="135"/>
        <v>1</v>
      </c>
      <c r="AT401" s="24" t="str">
        <f t="shared" si="136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1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37"/>
        <v>1</v>
      </c>
      <c r="Z402" s="18">
        <f t="shared" si="127"/>
        <v>15000000</v>
      </c>
      <c r="AA402" s="13">
        <v>5.5199999999999999E-2</v>
      </c>
      <c r="AB402" s="21">
        <f t="shared" si="128"/>
        <v>828000</v>
      </c>
      <c r="AC402" s="130">
        <f t="shared" si="129"/>
        <v>144154.80000000002</v>
      </c>
      <c r="AD402" s="169">
        <v>0.1741</v>
      </c>
      <c r="AE402" s="154">
        <f t="shared" si="130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1"/>
        <v>0.12327425538313459</v>
      </c>
      <c r="AL402" s="17"/>
      <c r="AM402" s="17"/>
      <c r="AN402" s="17"/>
      <c r="AO402" s="17"/>
      <c r="AP402" s="28" t="str">
        <f t="shared" si="132"/>
        <v>20237</v>
      </c>
      <c r="AQ402" s="28" t="str">
        <f t="shared" si="133"/>
        <v>20237JPY</v>
      </c>
      <c r="AR402" s="206" t="str">
        <f t="shared" si="134"/>
        <v>YAMAHA_Mounter</v>
      </c>
      <c r="AS402" s="22">
        <f t="shared" si="135"/>
        <v>1</v>
      </c>
      <c r="AT402" s="24" t="str">
        <f t="shared" si="136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1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37"/>
        <v>1</v>
      </c>
      <c r="Z403" s="18">
        <f t="shared" si="127"/>
        <v>10000000</v>
      </c>
      <c r="AA403" s="13">
        <v>5.5199999999999999E-2</v>
      </c>
      <c r="AB403" s="21">
        <f t="shared" si="128"/>
        <v>552000</v>
      </c>
      <c r="AC403" s="130">
        <f t="shared" si="129"/>
        <v>96103.2</v>
      </c>
      <c r="AD403" s="169">
        <v>0.1741</v>
      </c>
      <c r="AE403" s="154">
        <f t="shared" si="130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1"/>
        <v>0.12327425538313459</v>
      </c>
      <c r="AL403" s="17"/>
      <c r="AM403" s="17"/>
      <c r="AN403" s="17"/>
      <c r="AO403" s="17"/>
      <c r="AP403" s="28" t="str">
        <f t="shared" si="132"/>
        <v>20237</v>
      </c>
      <c r="AQ403" s="28" t="str">
        <f t="shared" si="133"/>
        <v>20237JPY</v>
      </c>
      <c r="AR403" s="206" t="str">
        <f t="shared" si="134"/>
        <v>YAMAHA_Mounter</v>
      </c>
      <c r="AS403" s="22">
        <f t="shared" si="135"/>
        <v>1</v>
      </c>
      <c r="AT403" s="24" t="str">
        <f t="shared" si="136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1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37"/>
        <v>1.13</v>
      </c>
      <c r="Z404" s="18">
        <f t="shared" si="127"/>
        <v>785800</v>
      </c>
      <c r="AA404" s="13">
        <v>1.1299999999999999</v>
      </c>
      <c r="AB404" s="21">
        <f t="shared" si="128"/>
        <v>785800</v>
      </c>
      <c r="AC404" s="130">
        <f t="shared" si="129"/>
        <v>114098.16</v>
      </c>
      <c r="AD404" s="169">
        <v>0.1452</v>
      </c>
      <c r="AE404" s="154">
        <f t="shared" si="130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1"/>
        <v>0.14030125523967318</v>
      </c>
      <c r="AL404" s="17"/>
      <c r="AM404" s="17"/>
      <c r="AN404" s="17"/>
      <c r="AO404" s="17"/>
      <c r="AP404" s="28" t="str">
        <f t="shared" si="132"/>
        <v>20233</v>
      </c>
      <c r="AQ404" s="28" t="str">
        <f t="shared" si="133"/>
        <v>20233RMB</v>
      </c>
      <c r="AR404" s="206" t="str">
        <f t="shared" si="134"/>
        <v>YAMAHA_Mounter</v>
      </c>
      <c r="AS404" s="22">
        <f t="shared" si="135"/>
        <v>1</v>
      </c>
      <c r="AT404" s="24" t="str">
        <f t="shared" si="136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1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7"/>
        <v>891952</v>
      </c>
      <c r="AA405" s="13">
        <v>1.18</v>
      </c>
      <c r="AB405" s="21">
        <f t="shared" si="128"/>
        <v>907330.48275862075</v>
      </c>
      <c r="AC405" s="130">
        <f t="shared" si="129"/>
        <v>119949.08982068967</v>
      </c>
      <c r="AD405" s="169">
        <v>0.13220000000000001</v>
      </c>
      <c r="AE405" s="154">
        <f t="shared" si="130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1"/>
        <v>0.13314606898547499</v>
      </c>
      <c r="AL405" s="17"/>
      <c r="AM405" s="17"/>
      <c r="AN405" s="17"/>
      <c r="AO405" s="17"/>
      <c r="AP405" s="28" t="str">
        <f t="shared" si="132"/>
        <v>20187</v>
      </c>
      <c r="AQ405" s="28" t="str">
        <f t="shared" si="133"/>
        <v>20187RMB</v>
      </c>
      <c r="AR405" s="206" t="str">
        <f t="shared" si="134"/>
        <v>YAMAHA_Mounter</v>
      </c>
      <c r="AS405" s="22">
        <f t="shared" si="135"/>
        <v>3</v>
      </c>
      <c r="AT405" s="24" t="str">
        <f t="shared" si="136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1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7"/>
        <v>1168048</v>
      </c>
      <c r="AA406" s="13">
        <v>1.18</v>
      </c>
      <c r="AB406" s="21">
        <f t="shared" si="128"/>
        <v>1188186.7586206896</v>
      </c>
      <c r="AC406" s="130">
        <f t="shared" si="129"/>
        <v>157078.28948965517</v>
      </c>
      <c r="AD406" s="169">
        <v>0.13220000000000001</v>
      </c>
      <c r="AE406" s="154">
        <f t="shared" si="130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1"/>
        <v>0.13314606898547499</v>
      </c>
      <c r="AL406" s="17"/>
      <c r="AM406" s="17"/>
      <c r="AN406" s="17"/>
      <c r="AO406" s="17"/>
      <c r="AP406" s="28" t="str">
        <f t="shared" si="132"/>
        <v>20187</v>
      </c>
      <c r="AQ406" s="28" t="str">
        <f t="shared" si="133"/>
        <v>20187RMB</v>
      </c>
      <c r="AR406" s="206" t="str">
        <f t="shared" si="134"/>
        <v>YAMAHA_Mounter</v>
      </c>
      <c r="AS406" s="22">
        <f t="shared" si="135"/>
        <v>3</v>
      </c>
      <c r="AT406" s="24" t="str">
        <f t="shared" si="136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1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7"/>
        <v>1217968</v>
      </c>
      <c r="AA407" s="13">
        <v>1.089</v>
      </c>
      <c r="AB407" s="21">
        <f t="shared" si="128"/>
        <v>1173776.2407079646</v>
      </c>
      <c r="AC407" s="130">
        <f t="shared" si="129"/>
        <v>189799.6181224779</v>
      </c>
      <c r="AD407" s="169">
        <v>0.16170000000000001</v>
      </c>
      <c r="AE407" s="154">
        <f t="shared" si="130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1"/>
        <v>0.12819972531798121</v>
      </c>
      <c r="AL407" s="17"/>
      <c r="AM407" s="17"/>
      <c r="AN407" s="17"/>
      <c r="AO407" s="17"/>
      <c r="AP407" s="28" t="str">
        <f t="shared" si="132"/>
        <v>20206</v>
      </c>
      <c r="AQ407" s="28" t="str">
        <f t="shared" si="133"/>
        <v>20206RMB</v>
      </c>
      <c r="AR407" s="206" t="str">
        <f t="shared" si="134"/>
        <v>YAMAHA_Mounter</v>
      </c>
      <c r="AS407" s="22">
        <f t="shared" si="135"/>
        <v>3</v>
      </c>
      <c r="AT407" s="24" t="str">
        <f t="shared" si="136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1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7"/>
        <v>879563</v>
      </c>
      <c r="AA408" s="13">
        <v>1.089</v>
      </c>
      <c r="AB408" s="21">
        <f t="shared" si="128"/>
        <v>847649.6522123894</v>
      </c>
      <c r="AC408" s="130">
        <f t="shared" si="129"/>
        <v>137064.94876274338</v>
      </c>
      <c r="AD408" s="169">
        <v>0.16170000000000001</v>
      </c>
      <c r="AE408" s="154">
        <f t="shared" si="130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1"/>
        <v>0.12819972531798121</v>
      </c>
      <c r="AL408" s="17"/>
      <c r="AM408" s="17"/>
      <c r="AN408" s="17"/>
      <c r="AO408" s="17"/>
      <c r="AP408" s="28" t="str">
        <f t="shared" si="132"/>
        <v>20206</v>
      </c>
      <c r="AQ408" s="28" t="str">
        <f t="shared" si="133"/>
        <v>20206RMB</v>
      </c>
      <c r="AR408" s="206" t="str">
        <f t="shared" si="134"/>
        <v>YAMAHA_Mounter</v>
      </c>
      <c r="AS408" s="22">
        <f t="shared" si="135"/>
        <v>3</v>
      </c>
      <c r="AT408" s="24" t="str">
        <f t="shared" si="136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1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7"/>
        <v>1261000</v>
      </c>
      <c r="AA409" s="13">
        <v>1.0920000000000001</v>
      </c>
      <c r="AB409" s="21">
        <f t="shared" si="128"/>
        <v>1218594.6902654869</v>
      </c>
      <c r="AC409" s="130">
        <f t="shared" si="129"/>
        <v>276255.41628318588</v>
      </c>
      <c r="AD409" s="169">
        <v>0.22670000000000001</v>
      </c>
      <c r="AE409" s="154">
        <f t="shared" si="130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1"/>
        <v>0.18161388835511752</v>
      </c>
      <c r="AL409" s="17"/>
      <c r="AM409" s="17"/>
      <c r="AN409" s="17"/>
      <c r="AO409" s="17"/>
      <c r="AP409" s="28" t="str">
        <f t="shared" si="132"/>
        <v>20238</v>
      </c>
      <c r="AQ409" s="28" t="str">
        <f t="shared" si="133"/>
        <v>20238RMB</v>
      </c>
      <c r="AR409" s="206" t="str">
        <f t="shared" si="134"/>
        <v>YAMAHA_Mounter</v>
      </c>
      <c r="AS409" s="22">
        <f t="shared" si="135"/>
        <v>4</v>
      </c>
      <c r="AT409" s="24" t="str">
        <f t="shared" si="136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1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7"/>
        <v>1261000</v>
      </c>
      <c r="AA410" s="13">
        <v>1.0920000000000001</v>
      </c>
      <c r="AB410" s="21">
        <f t="shared" si="128"/>
        <v>1218594.6902654869</v>
      </c>
      <c r="AC410" s="130">
        <f t="shared" si="129"/>
        <v>276255.41628318588</v>
      </c>
      <c r="AD410" s="169">
        <v>0.22670000000000001</v>
      </c>
      <c r="AE410" s="154">
        <f t="shared" si="130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1"/>
        <v>0.18161388835511752</v>
      </c>
      <c r="AL410" s="17"/>
      <c r="AM410" s="17"/>
      <c r="AN410" s="17"/>
      <c r="AO410" s="17"/>
      <c r="AP410" s="28" t="str">
        <f t="shared" si="132"/>
        <v>20238</v>
      </c>
      <c r="AQ410" s="28" t="str">
        <f t="shared" si="133"/>
        <v>20238RMB</v>
      </c>
      <c r="AR410" s="206" t="str">
        <f t="shared" si="134"/>
        <v>YAMAHA_Mounter</v>
      </c>
      <c r="AS410" s="22">
        <f t="shared" si="135"/>
        <v>4</v>
      </c>
      <c r="AT410" s="24" t="str">
        <f t="shared" si="136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1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7"/>
        <v>1055000</v>
      </c>
      <c r="AA411" s="13">
        <v>1.0920000000000001</v>
      </c>
      <c r="AB411" s="21">
        <f t="shared" si="128"/>
        <v>1019522.1238938054</v>
      </c>
      <c r="AC411" s="130">
        <f t="shared" si="129"/>
        <v>231125.66548672572</v>
      </c>
      <c r="AD411" s="169">
        <v>0.22670000000000001</v>
      </c>
      <c r="AE411" s="154">
        <f t="shared" si="130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1"/>
        <v>0.18161388835511752</v>
      </c>
      <c r="AL411" s="17"/>
      <c r="AM411" s="17"/>
      <c r="AN411" s="17"/>
      <c r="AO411" s="17"/>
      <c r="AP411" s="28" t="str">
        <f t="shared" si="132"/>
        <v>20238</v>
      </c>
      <c r="AQ411" s="28" t="str">
        <f t="shared" si="133"/>
        <v>20238RMB</v>
      </c>
      <c r="AR411" s="206" t="str">
        <f t="shared" si="134"/>
        <v>YAMAHA_Mounter</v>
      </c>
      <c r="AS411" s="22">
        <f t="shared" si="135"/>
        <v>4</v>
      </c>
      <c r="AT411" s="24" t="str">
        <f t="shared" si="136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1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7"/>
        <v>453000</v>
      </c>
      <c r="AA412" s="13">
        <v>1.0920000000000001</v>
      </c>
      <c r="AB412" s="21">
        <f t="shared" si="128"/>
        <v>437766.371681416</v>
      </c>
      <c r="AC412" s="130">
        <f t="shared" si="129"/>
        <v>144025.13628318586</v>
      </c>
      <c r="AD412" s="169">
        <v>0.32900000000000001</v>
      </c>
      <c r="AE412" s="154">
        <f t="shared" si="130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1"/>
        <v>0.18161388835511752</v>
      </c>
      <c r="AL412" s="17"/>
      <c r="AM412" s="17"/>
      <c r="AN412" s="17"/>
      <c r="AO412" s="17"/>
      <c r="AP412" s="28" t="str">
        <f t="shared" si="132"/>
        <v>20238</v>
      </c>
      <c r="AQ412" s="28" t="str">
        <f t="shared" si="133"/>
        <v>20238RMB</v>
      </c>
      <c r="AR412" s="206" t="str">
        <f t="shared" si="134"/>
        <v>YAMAHA_Non_Mounter</v>
      </c>
      <c r="AS412" s="22">
        <f t="shared" si="135"/>
        <v>4</v>
      </c>
      <c r="AT412" s="24" t="str">
        <f t="shared" si="136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1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7"/>
        <v>82998.5</v>
      </c>
      <c r="AA413" s="13">
        <v>1.105</v>
      </c>
      <c r="AB413" s="21">
        <f t="shared" si="128"/>
        <v>81162.25</v>
      </c>
      <c r="AC413" s="130">
        <f t="shared" si="129"/>
        <v>27254.28355</v>
      </c>
      <c r="AD413" s="169">
        <v>0.33579999999999999</v>
      </c>
      <c r="AE413" s="154">
        <f t="shared" si="130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1"/>
        <v>0.1413884065477731</v>
      </c>
      <c r="AL413" s="17"/>
      <c r="AM413" s="17"/>
      <c r="AN413" s="17"/>
      <c r="AO413" s="17"/>
      <c r="AP413" s="28" t="str">
        <f t="shared" si="132"/>
        <v>20236</v>
      </c>
      <c r="AQ413" s="28" t="str">
        <f t="shared" si="133"/>
        <v>20236RMB</v>
      </c>
      <c r="AR413" s="206" t="str">
        <f t="shared" si="134"/>
        <v>SOLDERSTAR</v>
      </c>
      <c r="AS413" s="22">
        <f t="shared" si="135"/>
        <v>1</v>
      </c>
      <c r="AT413" s="24" t="str">
        <f t="shared" si="136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1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38">IF(W414="RMB","1.13", "1")</f>
        <v>1.13</v>
      </c>
      <c r="Z414" s="18">
        <f t="shared" si="127"/>
        <v>681500</v>
      </c>
      <c r="AA414" s="13">
        <v>1.175</v>
      </c>
      <c r="AB414" s="21">
        <f t="shared" si="128"/>
        <v>708639.38053097366</v>
      </c>
      <c r="AC414" s="130">
        <f t="shared" si="129"/>
        <v>145412.8008849558</v>
      </c>
      <c r="AD414" s="169">
        <v>0.20519999999999999</v>
      </c>
      <c r="AE414" s="154">
        <f t="shared" si="130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1"/>
        <v>0.16347849649632912</v>
      </c>
      <c r="AL414" s="17"/>
      <c r="AM414" s="17"/>
      <c r="AN414" s="17"/>
      <c r="AO414" s="17"/>
      <c r="AP414" s="28" t="str">
        <f t="shared" si="132"/>
        <v>20226</v>
      </c>
      <c r="AQ414" s="28" t="str">
        <f t="shared" si="133"/>
        <v>20226RMB</v>
      </c>
      <c r="AR414" s="206" t="str">
        <f t="shared" si="134"/>
        <v>YAMAHA_Mounter</v>
      </c>
      <c r="AS414" s="22">
        <f t="shared" si="135"/>
        <v>8</v>
      </c>
      <c r="AT414" s="24" t="str">
        <f t="shared" si="136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1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38"/>
        <v>1.13</v>
      </c>
      <c r="Z415" s="18">
        <f t="shared" si="127"/>
        <v>730000</v>
      </c>
      <c r="AA415" s="13">
        <v>1.1399999999999999</v>
      </c>
      <c r="AB415" s="21">
        <f t="shared" si="128"/>
        <v>736460.17699115048</v>
      </c>
      <c r="AC415" s="130">
        <f t="shared" si="129"/>
        <v>85723.964601769912</v>
      </c>
      <c r="AD415" s="169">
        <v>0.1164</v>
      </c>
      <c r="AE415" s="154">
        <f t="shared" si="130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1"/>
        <v>0.12399518179964254</v>
      </c>
      <c r="AL415" s="17"/>
      <c r="AM415" s="17"/>
      <c r="AN415" s="17"/>
      <c r="AO415" s="17"/>
      <c r="AP415" s="28" t="str">
        <f t="shared" si="132"/>
        <v>20234</v>
      </c>
      <c r="AQ415" s="28" t="str">
        <f t="shared" si="133"/>
        <v>20234RMB</v>
      </c>
      <c r="AR415" s="206" t="str">
        <f t="shared" si="134"/>
        <v>YAMAHA_Mounter</v>
      </c>
      <c r="AS415" s="22">
        <f t="shared" si="135"/>
        <v>0</v>
      </c>
      <c r="AT415" s="24" t="str">
        <f t="shared" si="136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1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38"/>
        <v>1.13</v>
      </c>
      <c r="Z416" s="18">
        <f t="shared" si="127"/>
        <v>650000</v>
      </c>
      <c r="AA416" s="13">
        <v>1.22</v>
      </c>
      <c r="AB416" s="21">
        <f t="shared" si="128"/>
        <v>701769.91150442476</v>
      </c>
      <c r="AC416" s="130">
        <f t="shared" si="129"/>
        <v>106247.96460176991</v>
      </c>
      <c r="AD416" s="169">
        <v>0.15140000000000001</v>
      </c>
      <c r="AE416" s="154">
        <f t="shared" si="130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1"/>
        <v>0.13845607946397598</v>
      </c>
      <c r="AL416" s="17"/>
      <c r="AM416" s="17"/>
      <c r="AN416" s="17"/>
      <c r="AO416" s="17"/>
      <c r="AP416" s="28" t="str">
        <f t="shared" si="132"/>
        <v>20222</v>
      </c>
      <c r="AQ416" s="28" t="str">
        <f t="shared" si="133"/>
        <v>20222RMB</v>
      </c>
      <c r="AR416" s="206" t="str">
        <f t="shared" si="134"/>
        <v>YAMAHA_Mounter</v>
      </c>
      <c r="AS416" s="22">
        <f t="shared" si="135"/>
        <v>5</v>
      </c>
      <c r="AT416" s="24" t="str">
        <f t="shared" si="136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1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38"/>
        <v>1.13</v>
      </c>
      <c r="Z417" s="18">
        <f t="shared" si="127"/>
        <v>650000</v>
      </c>
      <c r="AA417" s="13">
        <v>1.22</v>
      </c>
      <c r="AB417" s="21">
        <f t="shared" si="128"/>
        <v>701769.91150442476</v>
      </c>
      <c r="AC417" s="130">
        <f t="shared" si="129"/>
        <v>106247.96460176991</v>
      </c>
      <c r="AD417" s="169">
        <v>0.15140000000000001</v>
      </c>
      <c r="AE417" s="154">
        <f t="shared" si="130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1"/>
        <v>0.13845607946397598</v>
      </c>
      <c r="AL417" s="17"/>
      <c r="AM417" s="17"/>
      <c r="AN417" s="17"/>
      <c r="AO417" s="17"/>
      <c r="AP417" s="28" t="str">
        <f t="shared" si="132"/>
        <v>20222</v>
      </c>
      <c r="AQ417" s="28" t="str">
        <f t="shared" si="133"/>
        <v>20222RMB</v>
      </c>
      <c r="AR417" s="206" t="str">
        <f t="shared" si="134"/>
        <v>YAMAHA_Mounter</v>
      </c>
      <c r="AS417" s="22">
        <f t="shared" si="135"/>
        <v>5</v>
      </c>
      <c r="AT417" s="24" t="str">
        <f t="shared" si="136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1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38"/>
        <v>1.13</v>
      </c>
      <c r="Z418" s="18">
        <f t="shared" si="127"/>
        <v>650000</v>
      </c>
      <c r="AA418" s="13">
        <v>1.22</v>
      </c>
      <c r="AB418" s="21">
        <f t="shared" si="128"/>
        <v>701769.91150442476</v>
      </c>
      <c r="AC418" s="130">
        <f t="shared" si="129"/>
        <v>106247.96460176991</v>
      </c>
      <c r="AD418" s="169">
        <v>0.15140000000000001</v>
      </c>
      <c r="AE418" s="154">
        <f t="shared" si="130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1"/>
        <v>0.13845607946397598</v>
      </c>
      <c r="AL418" s="17"/>
      <c r="AM418" s="17"/>
      <c r="AN418" s="17"/>
      <c r="AO418" s="17"/>
      <c r="AP418" s="28" t="str">
        <f t="shared" si="132"/>
        <v>20222</v>
      </c>
      <c r="AQ418" s="28" t="str">
        <f t="shared" si="133"/>
        <v>20222RMB</v>
      </c>
      <c r="AR418" s="206" t="str">
        <f t="shared" si="134"/>
        <v>YAMAHA_Mounter</v>
      </c>
      <c r="AS418" s="22">
        <f t="shared" si="135"/>
        <v>5</v>
      </c>
      <c r="AT418" s="24" t="str">
        <f t="shared" si="136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1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38"/>
        <v>1.13</v>
      </c>
      <c r="Z419" s="18">
        <f t="shared" si="127"/>
        <v>910000</v>
      </c>
      <c r="AA419" s="13">
        <v>1.22</v>
      </c>
      <c r="AB419" s="21">
        <f t="shared" si="128"/>
        <v>982477.87610619469</v>
      </c>
      <c r="AC419" s="130">
        <f t="shared" si="129"/>
        <v>148747.15044247787</v>
      </c>
      <c r="AD419" s="169">
        <v>0.15140000000000001</v>
      </c>
      <c r="AE419" s="154">
        <f t="shared" si="130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1"/>
        <v>0.13845607946397598</v>
      </c>
      <c r="AL419" s="17"/>
      <c r="AM419" s="17"/>
      <c r="AN419" s="17"/>
      <c r="AO419" s="17"/>
      <c r="AP419" s="28" t="str">
        <f t="shared" si="132"/>
        <v>20222</v>
      </c>
      <c r="AQ419" s="28" t="str">
        <f t="shared" si="133"/>
        <v>20222RMB</v>
      </c>
      <c r="AR419" s="206" t="str">
        <f t="shared" si="134"/>
        <v>YAMAHA_Mounter</v>
      </c>
      <c r="AS419" s="22">
        <f t="shared" si="135"/>
        <v>5</v>
      </c>
      <c r="AT419" s="24" t="str">
        <f t="shared" si="136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1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7"/>
        <v>62000</v>
      </c>
      <c r="AA420" s="13">
        <v>1.08</v>
      </c>
      <c r="AB420" s="21">
        <f t="shared" si="128"/>
        <v>59256.637168141599</v>
      </c>
      <c r="AC420" s="130">
        <f t="shared" si="129"/>
        <v>14808.233628318587</v>
      </c>
      <c r="AD420" s="169">
        <v>0.24990000000000001</v>
      </c>
      <c r="AE420" s="154">
        <f t="shared" si="130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1"/>
        <v>0.15166211427595458</v>
      </c>
      <c r="AL420" s="17"/>
      <c r="AM420" s="17"/>
      <c r="AN420" s="17"/>
      <c r="AO420" s="17"/>
      <c r="AP420" s="28" t="str">
        <f t="shared" si="132"/>
        <v>202211</v>
      </c>
      <c r="AQ420" s="28" t="str">
        <f t="shared" si="133"/>
        <v>202211RMB</v>
      </c>
      <c r="AR420" s="206" t="str">
        <f t="shared" si="134"/>
        <v>SOLDERSTAR</v>
      </c>
      <c r="AS420" s="22">
        <f t="shared" si="135"/>
        <v>1</v>
      </c>
      <c r="AT420" s="24" t="str">
        <f t="shared" si="136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1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7"/>
        <v>983000</v>
      </c>
      <c r="AA421" s="13">
        <v>1.23</v>
      </c>
      <c r="AB421" s="21">
        <f t="shared" si="128"/>
        <v>1033410.2564102565</v>
      </c>
      <c r="AC421" s="130">
        <f t="shared" si="129"/>
        <v>165448.98205128204</v>
      </c>
      <c r="AD421" s="169">
        <v>0.16009999999999999</v>
      </c>
      <c r="AE421" s="154">
        <f t="shared" si="130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1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2"/>
        <v>20184</v>
      </c>
      <c r="AQ421" s="28" t="str">
        <f t="shared" si="133"/>
        <v>20184RMB</v>
      </c>
      <c r="AR421" s="206" t="str">
        <f t="shared" si="134"/>
        <v>YAMAHA_Mounter</v>
      </c>
      <c r="AS421" s="22">
        <f t="shared" si="135"/>
        <v>8</v>
      </c>
      <c r="AT421" s="24" t="str">
        <f t="shared" si="136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1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7"/>
        <v>956702</v>
      </c>
      <c r="AA422" s="13">
        <v>1.095</v>
      </c>
      <c r="AB422" s="21">
        <f t="shared" si="128"/>
        <v>927069.63716814166</v>
      </c>
      <c r="AC422" s="130">
        <f t="shared" si="129"/>
        <v>97713.13975752212</v>
      </c>
      <c r="AD422" s="169">
        <v>0.10539999999999999</v>
      </c>
      <c r="AE422" s="154">
        <f t="shared" si="130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1"/>
        <v>0.14256432557804533</v>
      </c>
      <c r="AL422" s="17"/>
      <c r="AM422" s="17"/>
      <c r="AN422" s="17"/>
      <c r="AO422" s="17"/>
      <c r="AP422" s="28" t="str">
        <f t="shared" si="132"/>
        <v>20207</v>
      </c>
      <c r="AQ422" s="28" t="str">
        <f t="shared" si="133"/>
        <v>20207RMB</v>
      </c>
      <c r="AR422" s="206" t="str">
        <f t="shared" si="134"/>
        <v>YAMAHA_Mounter</v>
      </c>
      <c r="AS422" s="22">
        <f t="shared" si="135"/>
        <v>2</v>
      </c>
      <c r="AT422" s="24" t="str">
        <f t="shared" si="136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1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39">IF(W423="RMB","1.13", "1")</f>
        <v>1.13</v>
      </c>
      <c r="Z423" s="18">
        <f t="shared" si="127"/>
        <v>750000</v>
      </c>
      <c r="AA423" s="13">
        <v>1.21</v>
      </c>
      <c r="AB423" s="21">
        <f t="shared" si="128"/>
        <v>803097.34513274347</v>
      </c>
      <c r="AC423" s="130">
        <f t="shared" si="129"/>
        <v>161904.42477876108</v>
      </c>
      <c r="AD423" s="169">
        <v>0.2016</v>
      </c>
      <c r="AE423" s="154">
        <f t="shared" si="130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1"/>
        <v>0.11027140718984871</v>
      </c>
      <c r="AL423" s="17"/>
      <c r="AM423" s="17"/>
      <c r="AN423" s="17"/>
      <c r="AO423" s="17"/>
      <c r="AP423" s="28" t="str">
        <f t="shared" si="132"/>
        <v>202111</v>
      </c>
      <c r="AQ423" s="28" t="str">
        <f t="shared" si="133"/>
        <v>202111RMB</v>
      </c>
      <c r="AR423" s="206" t="str">
        <f t="shared" si="134"/>
        <v>YAMAHA_Mounter</v>
      </c>
      <c r="AS423" s="22">
        <f t="shared" si="135"/>
        <v>3</v>
      </c>
      <c r="AT423" s="24" t="str">
        <f t="shared" si="136"/>
        <v>0-3 months</v>
      </c>
    </row>
    <row r="424" spans="1:46" s="12" customFormat="1" ht="28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1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39"/>
        <v>1.13</v>
      </c>
      <c r="Z424" s="18">
        <f t="shared" si="127"/>
        <v>6175</v>
      </c>
      <c r="AA424" s="13">
        <v>1.22</v>
      </c>
      <c r="AB424" s="21">
        <f t="shared" si="128"/>
        <v>6666.8141592920356</v>
      </c>
      <c r="AC424" s="130">
        <f t="shared" si="129"/>
        <v>1190.6930088495576</v>
      </c>
      <c r="AD424" s="169">
        <v>0.17860000000000001</v>
      </c>
      <c r="AE424" s="154">
        <f t="shared" si="130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1"/>
        <v>0.13845607946397598</v>
      </c>
      <c r="AL424" s="17"/>
      <c r="AM424" s="17"/>
      <c r="AN424" s="17"/>
      <c r="AO424" s="17"/>
      <c r="AP424" s="28" t="str">
        <f t="shared" si="132"/>
        <v>20222</v>
      </c>
      <c r="AQ424" s="28" t="str">
        <f t="shared" si="133"/>
        <v>20222RMB</v>
      </c>
      <c r="AR424" s="206" t="str">
        <f t="shared" si="134"/>
        <v>LOCAL SUPPLIER</v>
      </c>
      <c r="AS424" s="22">
        <f t="shared" si="135"/>
        <v>3</v>
      </c>
      <c r="AT424" s="24" t="str">
        <f t="shared" si="136"/>
        <v>0-3 months</v>
      </c>
    </row>
    <row r="425" spans="1:46" s="12" customFormat="1" ht="28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1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39"/>
        <v>1.13</v>
      </c>
      <c r="Z425" s="18">
        <f t="shared" si="127"/>
        <v>6175</v>
      </c>
      <c r="AA425" s="13">
        <v>1.22</v>
      </c>
      <c r="AB425" s="21">
        <f t="shared" si="128"/>
        <v>6666.8141592920356</v>
      </c>
      <c r="AC425" s="130">
        <f t="shared" si="129"/>
        <v>1190.6930088495576</v>
      </c>
      <c r="AD425" s="169">
        <v>0.17860000000000001</v>
      </c>
      <c r="AE425" s="154">
        <f t="shared" si="130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1"/>
        <v>0.13845607946397598</v>
      </c>
      <c r="AL425" s="17"/>
      <c r="AM425" s="17"/>
      <c r="AN425" s="17"/>
      <c r="AO425" s="17"/>
      <c r="AP425" s="28" t="str">
        <f t="shared" si="132"/>
        <v>20222</v>
      </c>
      <c r="AQ425" s="28" t="str">
        <f t="shared" si="133"/>
        <v>20222RMB</v>
      </c>
      <c r="AR425" s="206" t="str">
        <f t="shared" si="134"/>
        <v>LOCAL SUPPLIER</v>
      </c>
      <c r="AS425" s="22">
        <f t="shared" si="135"/>
        <v>3</v>
      </c>
      <c r="AT425" s="24" t="str">
        <f t="shared" si="136"/>
        <v>0-3 months</v>
      </c>
    </row>
    <row r="426" spans="1:46" s="12" customFormat="1" ht="28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1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39"/>
        <v>1.13</v>
      </c>
      <c r="Z426" s="18">
        <f t="shared" si="127"/>
        <v>6175</v>
      </c>
      <c r="AA426" s="13">
        <v>1.22</v>
      </c>
      <c r="AB426" s="21">
        <f t="shared" si="128"/>
        <v>6666.8141592920356</v>
      </c>
      <c r="AC426" s="130">
        <f t="shared" si="129"/>
        <v>1190.6930088495576</v>
      </c>
      <c r="AD426" s="169">
        <v>0.17860000000000001</v>
      </c>
      <c r="AE426" s="154">
        <f t="shared" si="130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1"/>
        <v>0.13845607946397598</v>
      </c>
      <c r="AL426" s="17"/>
      <c r="AM426" s="17"/>
      <c r="AN426" s="17"/>
      <c r="AO426" s="17"/>
      <c r="AP426" s="28" t="str">
        <f t="shared" si="132"/>
        <v>20222</v>
      </c>
      <c r="AQ426" s="28" t="str">
        <f t="shared" si="133"/>
        <v>20222RMB</v>
      </c>
      <c r="AR426" s="206" t="str">
        <f t="shared" si="134"/>
        <v>LOCAL SUPPLIER</v>
      </c>
      <c r="AS426" s="22">
        <f t="shared" si="135"/>
        <v>3</v>
      </c>
      <c r="AT426" s="24" t="str">
        <f t="shared" si="136"/>
        <v>0-3 months</v>
      </c>
    </row>
    <row r="427" spans="1:46" s="12" customFormat="1" ht="28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1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39"/>
        <v>1.13</v>
      </c>
      <c r="Z427" s="18">
        <f t="shared" si="127"/>
        <v>6175</v>
      </c>
      <c r="AA427" s="13">
        <v>1.22</v>
      </c>
      <c r="AB427" s="21">
        <f t="shared" si="128"/>
        <v>6666.8141592920356</v>
      </c>
      <c r="AC427" s="130">
        <f t="shared" si="129"/>
        <v>1190.6930088495576</v>
      </c>
      <c r="AD427" s="169">
        <v>0.17860000000000001</v>
      </c>
      <c r="AE427" s="154">
        <f t="shared" si="130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1"/>
        <v>0.13845607946397598</v>
      </c>
      <c r="AL427" s="17"/>
      <c r="AM427" s="17"/>
      <c r="AN427" s="17"/>
      <c r="AO427" s="17"/>
      <c r="AP427" s="28" t="str">
        <f t="shared" si="132"/>
        <v>20222</v>
      </c>
      <c r="AQ427" s="28" t="str">
        <f t="shared" si="133"/>
        <v>20222RMB</v>
      </c>
      <c r="AR427" s="206" t="str">
        <f t="shared" si="134"/>
        <v>LOCAL SUPPLIER</v>
      </c>
      <c r="AS427" s="22">
        <f t="shared" si="135"/>
        <v>3</v>
      </c>
      <c r="AT427" s="24" t="str">
        <f t="shared" si="136"/>
        <v>0-3 months</v>
      </c>
    </row>
    <row r="428" spans="1:46" s="12" customFormat="1" ht="28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1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39"/>
        <v>1.13</v>
      </c>
      <c r="Z428" s="18">
        <f t="shared" si="127"/>
        <v>6175</v>
      </c>
      <c r="AA428" s="13">
        <v>1.22</v>
      </c>
      <c r="AB428" s="21">
        <f t="shared" si="128"/>
        <v>6666.8141592920356</v>
      </c>
      <c r="AC428" s="130">
        <f t="shared" si="129"/>
        <v>1190.6930088495576</v>
      </c>
      <c r="AD428" s="169">
        <v>0.17860000000000001</v>
      </c>
      <c r="AE428" s="154">
        <f t="shared" si="130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1"/>
        <v>0.13845607946397598</v>
      </c>
      <c r="AL428" s="17"/>
      <c r="AM428" s="17"/>
      <c r="AN428" s="17"/>
      <c r="AO428" s="17"/>
      <c r="AP428" s="28" t="str">
        <f t="shared" si="132"/>
        <v>20222</v>
      </c>
      <c r="AQ428" s="28" t="str">
        <f t="shared" si="133"/>
        <v>20222RMB</v>
      </c>
      <c r="AR428" s="206" t="str">
        <f t="shared" si="134"/>
        <v>LOCAL SUPPLIER</v>
      </c>
      <c r="AS428" s="22">
        <f t="shared" si="135"/>
        <v>3</v>
      </c>
      <c r="AT428" s="24" t="str">
        <f t="shared" si="136"/>
        <v>0-3 months</v>
      </c>
    </row>
    <row r="429" spans="1:46" s="12" customFormat="1" ht="28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1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39"/>
        <v>1.13</v>
      </c>
      <c r="Z429" s="18">
        <f t="shared" si="127"/>
        <v>6175</v>
      </c>
      <c r="AA429" s="13">
        <v>1.22</v>
      </c>
      <c r="AB429" s="21">
        <f t="shared" si="128"/>
        <v>6666.8141592920356</v>
      </c>
      <c r="AC429" s="130">
        <f t="shared" si="129"/>
        <v>1190.6930088495576</v>
      </c>
      <c r="AD429" s="169">
        <v>0.17860000000000001</v>
      </c>
      <c r="AE429" s="154">
        <f t="shared" si="130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1"/>
        <v>0.13845607946397598</v>
      </c>
      <c r="AL429" s="17"/>
      <c r="AM429" s="17"/>
      <c r="AN429" s="17"/>
      <c r="AO429" s="17"/>
      <c r="AP429" s="28" t="str">
        <f t="shared" si="132"/>
        <v>20222</v>
      </c>
      <c r="AQ429" s="28" t="str">
        <f t="shared" si="133"/>
        <v>20222RMB</v>
      </c>
      <c r="AR429" s="206" t="str">
        <f t="shared" si="134"/>
        <v>LOCAL SUPPLIER</v>
      </c>
      <c r="AS429" s="22">
        <f t="shared" si="135"/>
        <v>3</v>
      </c>
      <c r="AT429" s="24" t="str">
        <f t="shared" si="136"/>
        <v>0-3 months</v>
      </c>
    </row>
    <row r="430" spans="1:46" s="12" customFormat="1" ht="28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1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39"/>
        <v>1.13</v>
      </c>
      <c r="Z430" s="18">
        <f t="shared" si="127"/>
        <v>7505</v>
      </c>
      <c r="AA430" s="13">
        <v>1.22</v>
      </c>
      <c r="AB430" s="21">
        <f t="shared" si="128"/>
        <v>8102.7433628318586</v>
      </c>
      <c r="AC430" s="130">
        <f t="shared" si="129"/>
        <v>1447.1499646017701</v>
      </c>
      <c r="AD430" s="169">
        <v>0.17860000000000001</v>
      </c>
      <c r="AE430" s="154">
        <f t="shared" si="130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1"/>
        <v>0.13845607946397598</v>
      </c>
      <c r="AL430" s="17"/>
      <c r="AM430" s="17"/>
      <c r="AN430" s="17"/>
      <c r="AO430" s="17"/>
      <c r="AP430" s="28" t="str">
        <f t="shared" si="132"/>
        <v>20222</v>
      </c>
      <c r="AQ430" s="28" t="str">
        <f t="shared" si="133"/>
        <v>20222RMB</v>
      </c>
      <c r="AR430" s="206" t="str">
        <f t="shared" si="134"/>
        <v>LOCAL SUPPLIER</v>
      </c>
      <c r="AS430" s="22">
        <f t="shared" si="135"/>
        <v>3</v>
      </c>
      <c r="AT430" s="24" t="str">
        <f t="shared" si="136"/>
        <v>0-3 months</v>
      </c>
    </row>
    <row r="431" spans="1:46" s="12" customFormat="1" ht="28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1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39"/>
        <v>1.13</v>
      </c>
      <c r="Z431" s="18">
        <f t="shared" si="127"/>
        <v>7505</v>
      </c>
      <c r="AA431" s="13">
        <v>1.22</v>
      </c>
      <c r="AB431" s="21">
        <f t="shared" si="128"/>
        <v>8102.7433628318586</v>
      </c>
      <c r="AC431" s="130">
        <f t="shared" si="129"/>
        <v>1447.1499646017701</v>
      </c>
      <c r="AD431" s="169">
        <v>0.17860000000000001</v>
      </c>
      <c r="AE431" s="154">
        <f t="shared" si="130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1"/>
        <v>0.13845607946397598</v>
      </c>
      <c r="AL431" s="17"/>
      <c r="AM431" s="17"/>
      <c r="AN431" s="17"/>
      <c r="AO431" s="17"/>
      <c r="AP431" s="28" t="str">
        <f t="shared" si="132"/>
        <v>20222</v>
      </c>
      <c r="AQ431" s="28" t="str">
        <f t="shared" si="133"/>
        <v>20222RMB</v>
      </c>
      <c r="AR431" s="206" t="str">
        <f t="shared" si="134"/>
        <v>LOCAL SUPPLIER</v>
      </c>
      <c r="AS431" s="22">
        <f t="shared" si="135"/>
        <v>3</v>
      </c>
      <c r="AT431" s="24" t="str">
        <f t="shared" si="136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1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39"/>
        <v>1.13</v>
      </c>
      <c r="Z432" s="18">
        <f t="shared" si="127"/>
        <v>270750</v>
      </c>
      <c r="AA432" s="13">
        <v>1.105</v>
      </c>
      <c r="AB432" s="21">
        <f t="shared" si="128"/>
        <v>264759.95575221238</v>
      </c>
      <c r="AC432" s="130">
        <f t="shared" si="129"/>
        <v>37304.677765486726</v>
      </c>
      <c r="AD432" s="169">
        <v>0.1409</v>
      </c>
      <c r="AE432" s="154">
        <f t="shared" si="130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1"/>
        <v>0.13424587441904964</v>
      </c>
      <c r="AL432" s="17"/>
      <c r="AM432" s="17"/>
      <c r="AN432" s="17"/>
      <c r="AO432" s="17"/>
      <c r="AP432" s="28" t="str">
        <f t="shared" si="132"/>
        <v>20208</v>
      </c>
      <c r="AQ432" s="28" t="str">
        <f t="shared" si="133"/>
        <v>20208RMB</v>
      </c>
      <c r="AR432" s="206" t="str">
        <f t="shared" si="134"/>
        <v>LOCAL SUPPLIER</v>
      </c>
      <c r="AS432" s="22">
        <f t="shared" si="135"/>
        <v>1</v>
      </c>
      <c r="AT432" s="24" t="str">
        <f t="shared" si="136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1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39"/>
        <v>1.13</v>
      </c>
      <c r="Z433" s="18">
        <f t="shared" si="127"/>
        <v>427500</v>
      </c>
      <c r="AA433" s="13">
        <v>1.095</v>
      </c>
      <c r="AB433" s="21">
        <f t="shared" si="128"/>
        <v>414258.84955752216</v>
      </c>
      <c r="AC433" s="130">
        <f t="shared" si="129"/>
        <v>66364.267699115051</v>
      </c>
      <c r="AD433" s="169">
        <v>0.16020000000000001</v>
      </c>
      <c r="AE433" s="154">
        <f t="shared" si="130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1"/>
        <v>0.14256432557804533</v>
      </c>
      <c r="AL433" s="17"/>
      <c r="AM433" s="17"/>
      <c r="AN433" s="17"/>
      <c r="AO433" s="17"/>
      <c r="AP433" s="28" t="str">
        <f t="shared" si="132"/>
        <v>20207</v>
      </c>
      <c r="AQ433" s="28" t="str">
        <f t="shared" si="133"/>
        <v>20207RMB</v>
      </c>
      <c r="AR433" s="206" t="str">
        <f t="shared" si="134"/>
        <v>YAMAHA_Non_Mounter</v>
      </c>
      <c r="AS433" s="22">
        <f t="shared" si="135"/>
        <v>2</v>
      </c>
      <c r="AT433" s="24" t="str">
        <f t="shared" si="136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1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39"/>
        <v>1.13</v>
      </c>
      <c r="Z434" s="18">
        <f t="shared" si="127"/>
        <v>508250</v>
      </c>
      <c r="AA434" s="13">
        <v>1.095</v>
      </c>
      <c r="AB434" s="21">
        <f t="shared" si="128"/>
        <v>492507.74336283188</v>
      </c>
      <c r="AC434" s="130">
        <f t="shared" si="129"/>
        <v>78899.74048672567</v>
      </c>
      <c r="AD434" s="169">
        <v>0.16020000000000001</v>
      </c>
      <c r="AE434" s="154">
        <f t="shared" si="130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1"/>
        <v>0.14256432557804533</v>
      </c>
      <c r="AL434" s="17"/>
      <c r="AM434" s="17"/>
      <c r="AN434" s="17"/>
      <c r="AO434" s="17"/>
      <c r="AP434" s="28" t="str">
        <f t="shared" si="132"/>
        <v>20207</v>
      </c>
      <c r="AQ434" s="28" t="str">
        <f t="shared" si="133"/>
        <v>20207RMB</v>
      </c>
      <c r="AR434" s="206" t="str">
        <f t="shared" si="134"/>
        <v>YAMAHA_Non_Mounter</v>
      </c>
      <c r="AS434" s="22">
        <f t="shared" si="135"/>
        <v>2</v>
      </c>
      <c r="AT434" s="24" t="str">
        <f t="shared" si="136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1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39"/>
        <v>1.13</v>
      </c>
      <c r="Z435" s="18">
        <f t="shared" si="127"/>
        <v>426550</v>
      </c>
      <c r="AA435" s="13">
        <v>1.095</v>
      </c>
      <c r="AB435" s="21">
        <f t="shared" si="128"/>
        <v>413338.27433628321</v>
      </c>
      <c r="AC435" s="130">
        <f t="shared" si="129"/>
        <v>66588.795995575216</v>
      </c>
      <c r="AD435" s="169">
        <v>0.16109999999999999</v>
      </c>
      <c r="AE435" s="154">
        <f t="shared" si="130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1"/>
        <v>0.14256432557804533</v>
      </c>
      <c r="AL435" s="17"/>
      <c r="AM435" s="17"/>
      <c r="AN435" s="17"/>
      <c r="AO435" s="17"/>
      <c r="AP435" s="28" t="str">
        <f t="shared" si="132"/>
        <v>20207</v>
      </c>
      <c r="AQ435" s="28" t="str">
        <f t="shared" si="133"/>
        <v>20207RMB</v>
      </c>
      <c r="AR435" s="206" t="str">
        <f t="shared" si="134"/>
        <v>PEMTRON</v>
      </c>
      <c r="AS435" s="22">
        <f t="shared" si="135"/>
        <v>2</v>
      </c>
      <c r="AT435" s="24" t="str">
        <f t="shared" si="136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1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39"/>
        <v>1.13</v>
      </c>
      <c r="Z436" s="18">
        <f t="shared" si="127"/>
        <v>154280</v>
      </c>
      <c r="AA436" s="13">
        <v>1.095</v>
      </c>
      <c r="AB436" s="21">
        <f t="shared" si="128"/>
        <v>149501.41592920356</v>
      </c>
      <c r="AC436" s="130">
        <f t="shared" si="129"/>
        <v>23950.126831858412</v>
      </c>
      <c r="AD436" s="169">
        <v>0.16020000000000001</v>
      </c>
      <c r="AE436" s="154">
        <f t="shared" si="130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1"/>
        <v>0.14256432557804533</v>
      </c>
      <c r="AL436" s="17"/>
      <c r="AM436" s="17"/>
      <c r="AN436" s="17"/>
      <c r="AO436" s="17"/>
      <c r="AP436" s="28" t="str">
        <f t="shared" si="132"/>
        <v>20207</v>
      </c>
      <c r="AQ436" s="28" t="str">
        <f t="shared" si="133"/>
        <v>20207RMB</v>
      </c>
      <c r="AR436" s="206" t="str">
        <f t="shared" si="134"/>
        <v>LOCAL SUPPLIER</v>
      </c>
      <c r="AS436" s="22">
        <f t="shared" si="135"/>
        <v>2</v>
      </c>
      <c r="AT436" s="24" t="str">
        <f t="shared" si="136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1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39"/>
        <v>1.13</v>
      </c>
      <c r="Z437" s="18">
        <f t="shared" si="127"/>
        <v>68000</v>
      </c>
      <c r="AA437" s="13">
        <v>1.2</v>
      </c>
      <c r="AB437" s="21">
        <f t="shared" si="128"/>
        <v>72212.389380530978</v>
      </c>
      <c r="AC437" s="130">
        <f t="shared" si="129"/>
        <v>23902.300884955755</v>
      </c>
      <c r="AD437" s="169">
        <v>0.33100000000000002</v>
      </c>
      <c r="AE437" s="154">
        <f t="shared" si="130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1"/>
        <v>0.11712339723265033</v>
      </c>
      <c r="AL437" s="17"/>
      <c r="AM437" s="17"/>
      <c r="AN437" s="17"/>
      <c r="AO437" s="17"/>
      <c r="AP437" s="28" t="str">
        <f t="shared" si="132"/>
        <v>202110</v>
      </c>
      <c r="AQ437" s="28" t="str">
        <f t="shared" si="133"/>
        <v>202110RMB</v>
      </c>
      <c r="AR437" s="206" t="str">
        <f t="shared" si="134"/>
        <v>SOLDERSTAR</v>
      </c>
      <c r="AS437" s="22">
        <f t="shared" si="135"/>
        <v>2</v>
      </c>
      <c r="AT437" s="24" t="str">
        <f t="shared" si="136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1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39"/>
        <v>1.13</v>
      </c>
      <c r="Z438" s="18">
        <f t="shared" si="127"/>
        <v>670000</v>
      </c>
      <c r="AA438" s="13">
        <v>1.22</v>
      </c>
      <c r="AB438" s="21">
        <f t="shared" si="128"/>
        <v>723362.83185840712</v>
      </c>
      <c r="AC438" s="130">
        <f t="shared" si="129"/>
        <v>129192.60176991152</v>
      </c>
      <c r="AD438" s="169">
        <v>0.17860000000000001</v>
      </c>
      <c r="AE438" s="154">
        <f t="shared" si="130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1"/>
        <v>0.13845607946397598</v>
      </c>
      <c r="AL438" s="17"/>
      <c r="AM438" s="17"/>
      <c r="AN438" s="17"/>
      <c r="AO438" s="17"/>
      <c r="AP438" s="28" t="str">
        <f t="shared" si="132"/>
        <v>20222</v>
      </c>
      <c r="AQ438" s="28" t="str">
        <f t="shared" si="133"/>
        <v>20222RMB</v>
      </c>
      <c r="AR438" s="206" t="str">
        <f t="shared" si="134"/>
        <v>YAMAHA_Non_Mounter</v>
      </c>
      <c r="AS438" s="22">
        <f t="shared" si="135"/>
        <v>3</v>
      </c>
      <c r="AT438" s="24" t="str">
        <f t="shared" si="136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1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39"/>
        <v>1.13</v>
      </c>
      <c r="Z439" s="18">
        <f t="shared" si="127"/>
        <v>670000</v>
      </c>
      <c r="AA439" s="13">
        <v>1.22</v>
      </c>
      <c r="AB439" s="21">
        <f t="shared" si="128"/>
        <v>723362.83185840712</v>
      </c>
      <c r="AC439" s="130">
        <f t="shared" si="129"/>
        <v>129192.60176991152</v>
      </c>
      <c r="AD439" s="169">
        <v>0.17860000000000001</v>
      </c>
      <c r="AE439" s="154">
        <f t="shared" si="130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1"/>
        <v>0.13845607946397598</v>
      </c>
      <c r="AL439" s="17"/>
      <c r="AM439" s="17"/>
      <c r="AN439" s="17"/>
      <c r="AO439" s="17"/>
      <c r="AP439" s="28" t="str">
        <f t="shared" si="132"/>
        <v>20222</v>
      </c>
      <c r="AQ439" s="28" t="str">
        <f t="shared" si="133"/>
        <v>20222RMB</v>
      </c>
      <c r="AR439" s="206" t="str">
        <f t="shared" si="134"/>
        <v>YAMAHA_Non_Mounter</v>
      </c>
      <c r="AS439" s="22">
        <f t="shared" si="135"/>
        <v>3</v>
      </c>
      <c r="AT439" s="24" t="str">
        <f t="shared" si="136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1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39"/>
        <v>1.13</v>
      </c>
      <c r="Z440" s="18">
        <f t="shared" si="127"/>
        <v>426550</v>
      </c>
      <c r="AA440" s="13">
        <v>1.22</v>
      </c>
      <c r="AB440" s="21">
        <f t="shared" si="128"/>
        <v>460523.00884955761</v>
      </c>
      <c r="AC440" s="130">
        <f t="shared" si="129"/>
        <v>113012.34637168144</v>
      </c>
      <c r="AD440" s="169">
        <v>0.24540000000000001</v>
      </c>
      <c r="AE440" s="154">
        <f t="shared" si="130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1"/>
        <v>0.13845607946397598</v>
      </c>
      <c r="AL440" s="17"/>
      <c r="AM440" s="17"/>
      <c r="AN440" s="17"/>
      <c r="AO440" s="17"/>
      <c r="AP440" s="28" t="str">
        <f t="shared" si="132"/>
        <v>20222</v>
      </c>
      <c r="AQ440" s="28" t="str">
        <f t="shared" si="133"/>
        <v>20222RMB</v>
      </c>
      <c r="AR440" s="206" t="str">
        <f t="shared" si="134"/>
        <v>PEMTRON</v>
      </c>
      <c r="AS440" s="22">
        <f t="shared" si="135"/>
        <v>3</v>
      </c>
      <c r="AT440" s="24" t="str">
        <f t="shared" si="136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1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39"/>
        <v>1.13</v>
      </c>
      <c r="Z441" s="18">
        <f t="shared" si="127"/>
        <v>426550</v>
      </c>
      <c r="AA441" s="13">
        <v>1.22</v>
      </c>
      <c r="AB441" s="21">
        <f t="shared" si="128"/>
        <v>460523.00884955761</v>
      </c>
      <c r="AC441" s="130">
        <f t="shared" si="129"/>
        <v>113012.34637168144</v>
      </c>
      <c r="AD441" s="169">
        <v>0.24540000000000001</v>
      </c>
      <c r="AE441" s="154">
        <f t="shared" si="130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1"/>
        <v>0.13845607946397598</v>
      </c>
      <c r="AL441" s="17"/>
      <c r="AM441" s="17"/>
      <c r="AN441" s="17"/>
      <c r="AO441" s="17"/>
      <c r="AP441" s="28" t="str">
        <f t="shared" si="132"/>
        <v>20222</v>
      </c>
      <c r="AQ441" s="28" t="str">
        <f t="shared" si="133"/>
        <v>20222RMB</v>
      </c>
      <c r="AR441" s="206" t="str">
        <f t="shared" si="134"/>
        <v>PEMTRON</v>
      </c>
      <c r="AS441" s="22">
        <f t="shared" si="135"/>
        <v>3</v>
      </c>
      <c r="AT441" s="24" t="str">
        <f t="shared" si="136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1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39"/>
        <v>1.13</v>
      </c>
      <c r="Z442" s="18">
        <f t="shared" si="127"/>
        <v>25650</v>
      </c>
      <c r="AA442" s="13">
        <v>1.22</v>
      </c>
      <c r="AB442" s="21">
        <f t="shared" si="128"/>
        <v>27692.920353982303</v>
      </c>
      <c r="AC442" s="130">
        <f t="shared" si="129"/>
        <v>4945.95557522124</v>
      </c>
      <c r="AD442" s="169">
        <v>0.17860000000000001</v>
      </c>
      <c r="AE442" s="154">
        <f t="shared" si="130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1"/>
        <v>0.13845607946397598</v>
      </c>
      <c r="AL442" s="17"/>
      <c r="AM442" s="17"/>
      <c r="AN442" s="17"/>
      <c r="AO442" s="17"/>
      <c r="AP442" s="28" t="str">
        <f t="shared" si="132"/>
        <v>20222</v>
      </c>
      <c r="AQ442" s="28" t="str">
        <f t="shared" si="133"/>
        <v>20222RMB</v>
      </c>
      <c r="AR442" s="206" t="str">
        <f t="shared" si="134"/>
        <v>LOCAL SUPPLIER</v>
      </c>
      <c r="AS442" s="22">
        <f t="shared" si="135"/>
        <v>3</v>
      </c>
      <c r="AT442" s="24" t="str">
        <f t="shared" si="136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1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39"/>
        <v>1.13</v>
      </c>
      <c r="Z443" s="18">
        <f t="shared" si="127"/>
        <v>25650</v>
      </c>
      <c r="AA443" s="13">
        <v>1.22</v>
      </c>
      <c r="AB443" s="21">
        <f t="shared" si="128"/>
        <v>27692.920353982303</v>
      </c>
      <c r="AC443" s="130">
        <f t="shared" si="129"/>
        <v>4945.95557522124</v>
      </c>
      <c r="AD443" s="169">
        <v>0.17860000000000001</v>
      </c>
      <c r="AE443" s="154">
        <f t="shared" si="130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1"/>
        <v>0.13845607946397598</v>
      </c>
      <c r="AL443" s="17"/>
      <c r="AM443" s="17"/>
      <c r="AN443" s="17"/>
      <c r="AO443" s="17"/>
      <c r="AP443" s="28" t="str">
        <f t="shared" si="132"/>
        <v>20222</v>
      </c>
      <c r="AQ443" s="28" t="str">
        <f t="shared" si="133"/>
        <v>20222RMB</v>
      </c>
      <c r="AR443" s="206" t="str">
        <f t="shared" si="134"/>
        <v>LOCAL SUPPLIER</v>
      </c>
      <c r="AS443" s="22">
        <f t="shared" si="135"/>
        <v>3</v>
      </c>
      <c r="AT443" s="24" t="str">
        <f t="shared" si="136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1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39"/>
        <v>1.13</v>
      </c>
      <c r="Z444" s="18">
        <f t="shared" si="127"/>
        <v>55100</v>
      </c>
      <c r="AA444" s="13">
        <v>1.22</v>
      </c>
      <c r="AB444" s="21">
        <f t="shared" si="128"/>
        <v>59488.495575221241</v>
      </c>
      <c r="AC444" s="130">
        <f t="shared" si="129"/>
        <v>10624.645309734515</v>
      </c>
      <c r="AD444" s="169">
        <v>0.17860000000000001</v>
      </c>
      <c r="AE444" s="154">
        <f t="shared" si="130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1"/>
        <v>0.13845607946397598</v>
      </c>
      <c r="AL444" s="17"/>
      <c r="AM444" s="17"/>
      <c r="AN444" s="17"/>
      <c r="AO444" s="17"/>
      <c r="AP444" s="28" t="str">
        <f t="shared" si="132"/>
        <v>20222</v>
      </c>
      <c r="AQ444" s="28" t="str">
        <f t="shared" si="133"/>
        <v>20222RMB</v>
      </c>
      <c r="AR444" s="206" t="str">
        <f t="shared" si="134"/>
        <v>LOCAL SUPPLIER</v>
      </c>
      <c r="AS444" s="22">
        <f t="shared" si="135"/>
        <v>3</v>
      </c>
      <c r="AT444" s="24" t="str">
        <f t="shared" si="136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1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39"/>
        <v>1.13</v>
      </c>
      <c r="Z445" s="18">
        <f t="shared" si="127"/>
        <v>55100</v>
      </c>
      <c r="AA445" s="13">
        <v>1.22</v>
      </c>
      <c r="AB445" s="21">
        <f t="shared" si="128"/>
        <v>59488.495575221241</v>
      </c>
      <c r="AC445" s="130">
        <f t="shared" si="129"/>
        <v>10624.645309734515</v>
      </c>
      <c r="AD445" s="169">
        <v>0.17860000000000001</v>
      </c>
      <c r="AE445" s="154">
        <f t="shared" si="130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1"/>
        <v>0.13845607946397598</v>
      </c>
      <c r="AL445" s="17"/>
      <c r="AM445" s="17"/>
      <c r="AN445" s="17"/>
      <c r="AO445" s="17"/>
      <c r="AP445" s="28" t="str">
        <f t="shared" si="132"/>
        <v>20222</v>
      </c>
      <c r="AQ445" s="28" t="str">
        <f t="shared" si="133"/>
        <v>20222RMB</v>
      </c>
      <c r="AR445" s="206" t="str">
        <f t="shared" si="134"/>
        <v>LOCAL SUPPLIER</v>
      </c>
      <c r="AS445" s="22">
        <f t="shared" si="135"/>
        <v>3</v>
      </c>
      <c r="AT445" s="24" t="str">
        <f t="shared" si="136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1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39"/>
        <v>1.13</v>
      </c>
      <c r="Z446" s="18">
        <f t="shared" si="127"/>
        <v>47500</v>
      </c>
      <c r="AA446" s="13">
        <v>1.22</v>
      </c>
      <c r="AB446" s="21">
        <f t="shared" si="128"/>
        <v>51283.185840707964</v>
      </c>
      <c r="AC446" s="130">
        <f t="shared" si="129"/>
        <v>9159.1769911504434</v>
      </c>
      <c r="AD446" s="169">
        <v>0.17860000000000001</v>
      </c>
      <c r="AE446" s="154">
        <f t="shared" si="130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1"/>
        <v>0.13845607946397598</v>
      </c>
      <c r="AL446" s="17"/>
      <c r="AM446" s="17"/>
      <c r="AN446" s="17"/>
      <c r="AO446" s="17"/>
      <c r="AP446" s="28" t="str">
        <f t="shared" si="132"/>
        <v>20222</v>
      </c>
      <c r="AQ446" s="28" t="str">
        <f t="shared" si="133"/>
        <v>20222RMB</v>
      </c>
      <c r="AR446" s="206" t="str">
        <f t="shared" si="134"/>
        <v>LOCAL SUPPLIER</v>
      </c>
      <c r="AS446" s="22">
        <f t="shared" si="135"/>
        <v>3</v>
      </c>
      <c r="AT446" s="24" t="str">
        <f t="shared" si="136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1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39"/>
        <v>1.13</v>
      </c>
      <c r="Z447" s="18">
        <f t="shared" si="127"/>
        <v>47500</v>
      </c>
      <c r="AA447" s="13">
        <v>1.22</v>
      </c>
      <c r="AB447" s="21">
        <f t="shared" si="128"/>
        <v>51283.185840707964</v>
      </c>
      <c r="AC447" s="130">
        <f t="shared" si="129"/>
        <v>9159.1769911504434</v>
      </c>
      <c r="AD447" s="169">
        <v>0.17860000000000001</v>
      </c>
      <c r="AE447" s="154">
        <f t="shared" si="130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1"/>
        <v>0.13845607946397598</v>
      </c>
      <c r="AL447" s="17"/>
      <c r="AM447" s="17"/>
      <c r="AN447" s="17"/>
      <c r="AO447" s="17"/>
      <c r="AP447" s="28" t="str">
        <f t="shared" si="132"/>
        <v>20222</v>
      </c>
      <c r="AQ447" s="28" t="str">
        <f t="shared" si="133"/>
        <v>20222RMB</v>
      </c>
      <c r="AR447" s="206" t="str">
        <f t="shared" si="134"/>
        <v>LOCAL SUPPLIER</v>
      </c>
      <c r="AS447" s="22">
        <f t="shared" si="135"/>
        <v>3</v>
      </c>
      <c r="AT447" s="24" t="str">
        <f t="shared" si="136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1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7"/>
        <v>1120000</v>
      </c>
      <c r="AA448" s="13">
        <v>1.18</v>
      </c>
      <c r="AB448" s="21">
        <f t="shared" si="128"/>
        <v>1139310.3448275861</v>
      </c>
      <c r="AC448" s="130">
        <f t="shared" si="129"/>
        <v>218975.44827586206</v>
      </c>
      <c r="AD448" s="169">
        <v>0.19220000000000001</v>
      </c>
      <c r="AE448" s="154">
        <f t="shared" si="130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1"/>
        <v>0.13314606898547499</v>
      </c>
      <c r="AL448" s="17"/>
      <c r="AM448" s="17"/>
      <c r="AN448" s="17"/>
      <c r="AO448" s="17"/>
      <c r="AP448" s="28" t="str">
        <f t="shared" si="132"/>
        <v>20187</v>
      </c>
      <c r="AQ448" s="28" t="str">
        <f t="shared" si="133"/>
        <v>20187RMB</v>
      </c>
      <c r="AR448" s="206" t="str">
        <f t="shared" si="134"/>
        <v>YAMAHA_Mounter</v>
      </c>
      <c r="AS448" s="22">
        <f t="shared" si="135"/>
        <v>1</v>
      </c>
      <c r="AT448" s="24" t="str">
        <f t="shared" si="136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1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7"/>
        <v>417000</v>
      </c>
      <c r="AA449" s="13">
        <v>1.18</v>
      </c>
      <c r="AB449" s="21">
        <f t="shared" si="128"/>
        <v>424189.6551724138</v>
      </c>
      <c r="AC449" s="130">
        <f t="shared" si="129"/>
        <v>70203.387931034493</v>
      </c>
      <c r="AD449" s="169">
        <v>0.16550000000000001</v>
      </c>
      <c r="AE449" s="154">
        <f t="shared" si="130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1"/>
        <v>0.13314606898547499</v>
      </c>
      <c r="AL449" s="17"/>
      <c r="AM449" s="17"/>
      <c r="AN449" s="17"/>
      <c r="AO449" s="17"/>
      <c r="AP449" s="28" t="str">
        <f t="shared" si="132"/>
        <v>20187</v>
      </c>
      <c r="AQ449" s="28" t="str">
        <f t="shared" si="133"/>
        <v>20187RMB</v>
      </c>
      <c r="AR449" s="206" t="str">
        <f t="shared" si="134"/>
        <v>YAMAHA_Non_Mounter</v>
      </c>
      <c r="AS449" s="22">
        <f t="shared" si="135"/>
        <v>1</v>
      </c>
      <c r="AT449" s="24" t="str">
        <f t="shared" si="136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ref="P450:P513" si="140">IF(M450="","",IF(AND(N450&gt;0,L450&lt;&gt;""),"MAIN UNIT",IF(AND(O450&gt;0,L450&lt;&gt;""),"SERVICE/ PARTS","C66 SERVICE/OTHERS")))</f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7"/>
        <v>500000</v>
      </c>
      <c r="AA450" s="13">
        <v>1.175</v>
      </c>
      <c r="AB450" s="21">
        <f t="shared" si="128"/>
        <v>519911.50442477886</v>
      </c>
      <c r="AC450" s="130">
        <f t="shared" si="129"/>
        <v>61557.522123893817</v>
      </c>
      <c r="AD450" s="169">
        <v>0.11840000000000001</v>
      </c>
      <c r="AE450" s="154">
        <f t="shared" si="130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1"/>
        <v>0.1214858095774925</v>
      </c>
      <c r="AL450" s="17"/>
      <c r="AM450" s="17"/>
      <c r="AN450" s="17"/>
      <c r="AO450" s="17"/>
      <c r="AP450" s="28" t="str">
        <f t="shared" si="132"/>
        <v>202012</v>
      </c>
      <c r="AQ450" s="28" t="str">
        <f t="shared" si="133"/>
        <v>202012RMB</v>
      </c>
      <c r="AR450" s="206" t="str">
        <f t="shared" si="134"/>
        <v>YAMAHA_Mounter</v>
      </c>
      <c r="AS450" s="22">
        <f t="shared" si="135"/>
        <v>1</v>
      </c>
      <c r="AT450" s="24" t="str">
        <f t="shared" si="136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40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7"/>
        <v>500000</v>
      </c>
      <c r="AA451" s="13">
        <v>1.175</v>
      </c>
      <c r="AB451" s="21">
        <f t="shared" si="128"/>
        <v>519911.50442477886</v>
      </c>
      <c r="AC451" s="130">
        <f t="shared" si="129"/>
        <v>61557.522123893817</v>
      </c>
      <c r="AD451" s="169">
        <v>0.11840000000000001</v>
      </c>
      <c r="AE451" s="154">
        <f t="shared" si="130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1"/>
        <v>0.1214858095774925</v>
      </c>
      <c r="AL451" s="17"/>
      <c r="AM451" s="17"/>
      <c r="AN451" s="17"/>
      <c r="AO451" s="17"/>
      <c r="AP451" s="28" t="str">
        <f t="shared" si="132"/>
        <v>202012</v>
      </c>
      <c r="AQ451" s="28" t="str">
        <f t="shared" si="133"/>
        <v>202012RMB</v>
      </c>
      <c r="AR451" s="206" t="str">
        <f t="shared" si="134"/>
        <v>YAMAHA_Mounter</v>
      </c>
      <c r="AS451" s="22">
        <f t="shared" si="135"/>
        <v>1</v>
      </c>
      <c r="AT451" s="24" t="str">
        <f t="shared" si="136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40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7"/>
        <v>1238000</v>
      </c>
      <c r="AA452" s="13">
        <v>1.175</v>
      </c>
      <c r="AB452" s="21">
        <f t="shared" si="128"/>
        <v>1287300.8849557524</v>
      </c>
      <c r="AC452" s="130">
        <f t="shared" si="129"/>
        <v>215236.70796460178</v>
      </c>
      <c r="AD452" s="169">
        <v>0.16719999999999999</v>
      </c>
      <c r="AE452" s="154">
        <f t="shared" si="130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1"/>
        <v>0.16347849649632912</v>
      </c>
      <c r="AL452" s="17"/>
      <c r="AM452" s="17"/>
      <c r="AN452" s="17"/>
      <c r="AO452" s="17"/>
      <c r="AP452" s="28" t="str">
        <f t="shared" si="132"/>
        <v>20226</v>
      </c>
      <c r="AQ452" s="28" t="str">
        <f t="shared" si="133"/>
        <v>20226RMB</v>
      </c>
      <c r="AR452" s="206" t="str">
        <f t="shared" si="134"/>
        <v>YAMAHA_Mounter</v>
      </c>
      <c r="AS452" s="22">
        <f t="shared" si="135"/>
        <v>9</v>
      </c>
      <c r="AT452" s="24" t="str">
        <f t="shared" si="136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40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7"/>
        <v>12875000</v>
      </c>
      <c r="AA453" s="13">
        <v>7.0400000000000004E-2</v>
      </c>
      <c r="AB453" s="21">
        <f t="shared" si="128"/>
        <v>906400</v>
      </c>
      <c r="AC453" s="130">
        <f t="shared" si="129"/>
        <v>90821.28</v>
      </c>
      <c r="AD453" s="169">
        <v>0.1002</v>
      </c>
      <c r="AE453" s="154">
        <f t="shared" si="130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1"/>
        <v>0.13203962224416277</v>
      </c>
      <c r="AL453" s="17"/>
      <c r="AM453" s="17"/>
      <c r="AN453" s="17"/>
      <c r="AO453" s="17"/>
      <c r="AP453" s="28" t="str">
        <f t="shared" si="132"/>
        <v>201812</v>
      </c>
      <c r="AQ453" s="28" t="str">
        <f t="shared" si="133"/>
        <v>201812JPY</v>
      </c>
      <c r="AR453" s="206" t="str">
        <f t="shared" si="134"/>
        <v>YAMAHA_Mounter</v>
      </c>
      <c r="AS453" s="22">
        <f t="shared" si="135"/>
        <v>1</v>
      </c>
      <c r="AT453" s="24" t="str">
        <f t="shared" si="136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si="140"/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477" si="146">IF(X454="","",X454*MAX(O454,N454))</f>
        <v>12875000</v>
      </c>
      <c r="AA454" s="13">
        <v>7.0400000000000004E-2</v>
      </c>
      <c r="AB454" s="21">
        <f t="shared" ref="AB454:AB517" si="147">IF(AND(R454&lt;&gt;"C66",R454&lt;&gt;""),Z454/Y454*AA454,"")</f>
        <v>906400</v>
      </c>
      <c r="AC454" s="130">
        <f t="shared" ref="AC454:AC517" si="148">IF(R454&lt;&gt;"",AB454*AD454,"")</f>
        <v>90821.28</v>
      </c>
      <c r="AD454" s="169">
        <v>0.1002</v>
      </c>
      <c r="AE454" s="154">
        <f t="shared" ref="AE454:AE517" si="149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0">IF(AJ454&gt;0,AJ454/AI454,"")</f>
        <v>0.13203962224416277</v>
      </c>
      <c r="AL454" s="17"/>
      <c r="AM454" s="17"/>
      <c r="AN454" s="17"/>
      <c r="AO454" s="17"/>
      <c r="AP454" s="28" t="str">
        <f t="shared" ref="AP454:AP517" si="151">IF(F454="","",F454&amp;G454)</f>
        <v>201812</v>
      </c>
      <c r="AQ454" s="28" t="str">
        <f t="shared" ref="AQ454:AQ517" si="152">IF(W454="","",F454&amp;G454&amp;W454)</f>
        <v>201812JPY</v>
      </c>
      <c r="AR454" s="206" t="str">
        <f t="shared" ref="AR454:AR517" si="153">IFERROR(IF(AND(M454="YAMAHA", R454="C28"), "YAMAHA_Non_Mounter", IF(AND(M454="YAMAHA", R454="C49"), "YAMAHA_Mounter", M454)),"")</f>
        <v>YAMAHA_Mounter</v>
      </c>
      <c r="AS454" s="22">
        <f t="shared" ref="AS454:AS517" si="154">IFERROR(IF(OR(G454="TBA", G454=""), "", DATEDIF(DATE(B454, C454, 1), DATE(F454, G454, 1), "M")),"")</f>
        <v>1</v>
      </c>
      <c r="AT454" s="24" t="str">
        <f t="shared" ref="AT454:AT517" si="155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0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6"/>
        <v>17200000</v>
      </c>
      <c r="AA455" s="13">
        <v>7.17E-2</v>
      </c>
      <c r="AB455" s="21">
        <f t="shared" si="147"/>
        <v>1233240</v>
      </c>
      <c r="AC455" s="130">
        <f t="shared" si="148"/>
        <v>211500.66</v>
      </c>
      <c r="AD455" s="169">
        <v>0.17150000000000001</v>
      </c>
      <c r="AE455" s="154">
        <f t="shared" si="149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0"/>
        <v>0.12804404916900652</v>
      </c>
      <c r="AL455" s="17"/>
      <c r="AM455" s="17"/>
      <c r="AN455" s="17"/>
      <c r="AO455" s="17"/>
      <c r="AP455" s="28" t="str">
        <f t="shared" si="151"/>
        <v>20195</v>
      </c>
      <c r="AQ455" s="28" t="str">
        <f t="shared" si="152"/>
        <v>20195JPY</v>
      </c>
      <c r="AR455" s="206" t="str">
        <f t="shared" si="153"/>
        <v>YAMAHA_Mounter</v>
      </c>
      <c r="AS455" s="22">
        <f t="shared" si="154"/>
        <v>2</v>
      </c>
      <c r="AT455" s="24" t="str">
        <f t="shared" si="155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0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6"/>
        <v>21250000</v>
      </c>
      <c r="AA456" s="13">
        <v>7.0000000000000007E-2</v>
      </c>
      <c r="AB456" s="21">
        <f t="shared" si="147"/>
        <v>1487500.0000000002</v>
      </c>
      <c r="AC456" s="130">
        <f t="shared" si="148"/>
        <v>169872.50000000003</v>
      </c>
      <c r="AD456" s="169">
        <v>0.1142</v>
      </c>
      <c r="AE456" s="154">
        <f t="shared" si="149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0"/>
        <v>0.11027140718984871</v>
      </c>
      <c r="AL456" s="17"/>
      <c r="AM456" s="17"/>
      <c r="AN456" s="17"/>
      <c r="AO456" s="17"/>
      <c r="AP456" s="28" t="str">
        <f t="shared" si="151"/>
        <v>202111</v>
      </c>
      <c r="AQ456" s="28" t="str">
        <f t="shared" si="152"/>
        <v>202111JPY</v>
      </c>
      <c r="AR456" s="206" t="str">
        <f t="shared" si="153"/>
        <v>YAMAHA_Mounter</v>
      </c>
      <c r="AS456" s="22">
        <f t="shared" si="154"/>
        <v>5</v>
      </c>
      <c r="AT456" s="24" t="str">
        <f t="shared" si="155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0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6"/>
        <v>21250000</v>
      </c>
      <c r="AA457" s="13">
        <v>7.0000000000000007E-2</v>
      </c>
      <c r="AB457" s="21">
        <f t="shared" si="147"/>
        <v>1487500.0000000002</v>
      </c>
      <c r="AC457" s="130">
        <f t="shared" si="148"/>
        <v>169872.50000000003</v>
      </c>
      <c r="AD457" s="169">
        <v>0.1142</v>
      </c>
      <c r="AE457" s="154">
        <f t="shared" si="149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0"/>
        <v>0.11027140718984871</v>
      </c>
      <c r="AL457" s="17"/>
      <c r="AM457" s="17"/>
      <c r="AN457" s="17"/>
      <c r="AO457" s="17"/>
      <c r="AP457" s="28" t="str">
        <f t="shared" si="151"/>
        <v>202111</v>
      </c>
      <c r="AQ457" s="28" t="str">
        <f t="shared" si="152"/>
        <v>202111JPY</v>
      </c>
      <c r="AR457" s="206" t="str">
        <f t="shared" si="153"/>
        <v>YAMAHA_Mounter</v>
      </c>
      <c r="AS457" s="22">
        <f t="shared" si="154"/>
        <v>5</v>
      </c>
      <c r="AT457" s="24" t="str">
        <f t="shared" si="155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0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6"/>
        <v>1375000</v>
      </c>
      <c r="AA458" s="13">
        <v>1.08</v>
      </c>
      <c r="AB458" s="21">
        <f t="shared" si="147"/>
        <v>1314159.2920353985</v>
      </c>
      <c r="AC458" s="130">
        <f t="shared" si="148"/>
        <v>146003.09734513279</v>
      </c>
      <c r="AD458" s="169">
        <v>0.1111</v>
      </c>
      <c r="AE458" s="154">
        <f t="shared" si="149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0"/>
        <v>0.15166211427595458</v>
      </c>
      <c r="AL458" s="17"/>
      <c r="AM458" s="17"/>
      <c r="AN458" s="17"/>
      <c r="AO458" s="17"/>
      <c r="AP458" s="28" t="str">
        <f t="shared" si="151"/>
        <v>202211</v>
      </c>
      <c r="AQ458" s="28" t="str">
        <f t="shared" si="152"/>
        <v>202211RMB</v>
      </c>
      <c r="AR458" s="206" t="str">
        <f t="shared" si="153"/>
        <v>YAMAHA_Mounter</v>
      </c>
      <c r="AS458" s="22">
        <f t="shared" si="154"/>
        <v>0</v>
      </c>
      <c r="AT458" s="24" t="str">
        <f t="shared" si="155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0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6"/>
        <v>1375000</v>
      </c>
      <c r="AA459" s="13">
        <v>1.08</v>
      </c>
      <c r="AB459" s="21">
        <f t="shared" si="147"/>
        <v>1314159.2920353985</v>
      </c>
      <c r="AC459" s="130">
        <f t="shared" si="148"/>
        <v>146003.09734513279</v>
      </c>
      <c r="AD459" s="169">
        <v>0.1111</v>
      </c>
      <c r="AE459" s="154">
        <f t="shared" si="149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0"/>
        <v>0.15166211427595458</v>
      </c>
      <c r="AL459" s="17"/>
      <c r="AM459" s="17"/>
      <c r="AN459" s="17"/>
      <c r="AO459" s="17"/>
      <c r="AP459" s="28" t="str">
        <f t="shared" si="151"/>
        <v>202211</v>
      </c>
      <c r="AQ459" s="28" t="str">
        <f t="shared" si="152"/>
        <v>202211RMB</v>
      </c>
      <c r="AR459" s="206" t="str">
        <f t="shared" si="153"/>
        <v>YAMAHA_Mounter</v>
      </c>
      <c r="AS459" s="22">
        <f t="shared" si="154"/>
        <v>0</v>
      </c>
      <c r="AT459" s="24" t="str">
        <f t="shared" si="155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0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6"/>
        <v>845000</v>
      </c>
      <c r="AA460" s="13">
        <v>1.135</v>
      </c>
      <c r="AB460" s="21">
        <f t="shared" si="147"/>
        <v>848738.93805309746</v>
      </c>
      <c r="AC460" s="130">
        <f t="shared" si="148"/>
        <v>108553.71017699118</v>
      </c>
      <c r="AD460" s="169">
        <v>0.12790000000000001</v>
      </c>
      <c r="AE460" s="154">
        <f t="shared" si="149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0"/>
        <v>0.12142827497242578</v>
      </c>
      <c r="AL460" s="17"/>
      <c r="AM460" s="17"/>
      <c r="AN460" s="17"/>
      <c r="AO460" s="17"/>
      <c r="AP460" s="28" t="str">
        <f t="shared" si="151"/>
        <v>202010</v>
      </c>
      <c r="AQ460" s="28" t="str">
        <f t="shared" si="152"/>
        <v>202010RMB</v>
      </c>
      <c r="AR460" s="206" t="str">
        <f t="shared" si="153"/>
        <v>YAMAHA_Mounter</v>
      </c>
      <c r="AS460" s="22">
        <f t="shared" si="154"/>
        <v>7</v>
      </c>
      <c r="AT460" s="24" t="str">
        <f t="shared" si="155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0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6"/>
        <v>845000</v>
      </c>
      <c r="AA461" s="13">
        <v>1.135</v>
      </c>
      <c r="AB461" s="21">
        <f t="shared" si="147"/>
        <v>848738.93805309746</v>
      </c>
      <c r="AC461" s="130">
        <f t="shared" si="148"/>
        <v>108553.71017699118</v>
      </c>
      <c r="AD461" s="169">
        <v>0.12790000000000001</v>
      </c>
      <c r="AE461" s="154">
        <f t="shared" si="149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0"/>
        <v>0.12142827497242578</v>
      </c>
      <c r="AL461" s="17"/>
      <c r="AM461" s="17"/>
      <c r="AN461" s="17"/>
      <c r="AO461" s="17"/>
      <c r="AP461" s="28" t="str">
        <f t="shared" si="151"/>
        <v>202010</v>
      </c>
      <c r="AQ461" s="28" t="str">
        <f t="shared" si="152"/>
        <v>202010RMB</v>
      </c>
      <c r="AR461" s="206" t="str">
        <f t="shared" si="153"/>
        <v>YAMAHA_Mounter</v>
      </c>
      <c r="AS461" s="22">
        <f t="shared" si="154"/>
        <v>7</v>
      </c>
      <c r="AT461" s="24" t="str">
        <f t="shared" si="155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0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6"/>
        <v>14800000</v>
      </c>
      <c r="AA462" s="13">
        <v>7.2099999999999997E-2</v>
      </c>
      <c r="AB462" s="21">
        <f t="shared" si="147"/>
        <v>1067080</v>
      </c>
      <c r="AC462" s="130">
        <f t="shared" si="148"/>
        <v>199117.128</v>
      </c>
      <c r="AD462" s="169">
        <v>0.18659999999999999</v>
      </c>
      <c r="AE462" s="154">
        <f t="shared" si="149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0"/>
        <v>0.13679824337660537</v>
      </c>
      <c r="AL462" s="17"/>
      <c r="AM462" s="17"/>
      <c r="AN462" s="17"/>
      <c r="AO462" s="17"/>
      <c r="AP462" s="28" t="str">
        <f t="shared" si="151"/>
        <v>20216</v>
      </c>
      <c r="AQ462" s="28" t="str">
        <f t="shared" si="152"/>
        <v>20216JPY</v>
      </c>
      <c r="AR462" s="206" t="str">
        <f t="shared" si="153"/>
        <v>YAMAHA_Mounter</v>
      </c>
      <c r="AS462" s="22">
        <f t="shared" si="154"/>
        <v>3</v>
      </c>
      <c r="AT462" s="24" t="str">
        <f t="shared" si="155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0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6"/>
        <v>9000000</v>
      </c>
      <c r="AA463" s="13">
        <v>7.2099999999999997E-2</v>
      </c>
      <c r="AB463" s="21">
        <f t="shared" si="147"/>
        <v>648900</v>
      </c>
      <c r="AC463" s="130">
        <f t="shared" si="148"/>
        <v>121084.73999999999</v>
      </c>
      <c r="AD463" s="169">
        <v>0.18659999999999999</v>
      </c>
      <c r="AE463" s="154">
        <f t="shared" si="149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0"/>
        <v>0.13679824337660537</v>
      </c>
      <c r="AL463" s="17"/>
      <c r="AM463" s="17"/>
      <c r="AN463" s="17"/>
      <c r="AO463" s="17"/>
      <c r="AP463" s="28" t="str">
        <f t="shared" si="151"/>
        <v>20216</v>
      </c>
      <c r="AQ463" s="28" t="str">
        <f t="shared" si="152"/>
        <v>20216JPY</v>
      </c>
      <c r="AR463" s="206" t="str">
        <f t="shared" si="153"/>
        <v>YAMAHA_Mounter</v>
      </c>
      <c r="AS463" s="22">
        <f t="shared" si="154"/>
        <v>2</v>
      </c>
      <c r="AT463" s="24" t="str">
        <f t="shared" si="155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0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6"/>
        <v>1705000</v>
      </c>
      <c r="AA464" s="13">
        <v>1.1000000000000001</v>
      </c>
      <c r="AB464" s="21">
        <f t="shared" si="147"/>
        <v>1659734.5132743367</v>
      </c>
      <c r="AC464" s="130">
        <f t="shared" si="148"/>
        <v>534600.48672566388</v>
      </c>
      <c r="AD464" s="169">
        <v>0.3221</v>
      </c>
      <c r="AE464" s="154">
        <f t="shared" si="149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0"/>
        <v>0.1737753782153679</v>
      </c>
      <c r="AL464" s="17"/>
      <c r="AM464" s="17"/>
      <c r="AN464" s="17"/>
      <c r="AO464" s="17"/>
      <c r="AP464" s="28" t="str">
        <f t="shared" si="151"/>
        <v>202210</v>
      </c>
      <c r="AQ464" s="28" t="str">
        <f t="shared" si="152"/>
        <v>202210RMB</v>
      </c>
      <c r="AR464" s="206" t="str">
        <f t="shared" si="153"/>
        <v>SHINWA</v>
      </c>
      <c r="AS464" s="22">
        <f t="shared" si="154"/>
        <v>5</v>
      </c>
      <c r="AT464" s="24" t="str">
        <f t="shared" si="155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0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6"/>
        <v>11150000</v>
      </c>
      <c r="AA465" s="22">
        <v>5.6300000000000003E-2</v>
      </c>
      <c r="AB465" s="21">
        <f t="shared" si="147"/>
        <v>627745</v>
      </c>
      <c r="AC465" s="25">
        <f t="shared" si="148"/>
        <v>48775.786500000002</v>
      </c>
      <c r="AD465" s="169">
        <v>7.7700000000000005E-2</v>
      </c>
      <c r="AE465" s="26">
        <f t="shared" si="149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21575119.674336284</v>
      </c>
      <c r="AJ465" s="27">
        <f t="shared" si="142"/>
        <v>2556656.3801490259</v>
      </c>
      <c r="AK465" s="28">
        <f t="shared" si="150"/>
        <v>0.1185002177851269</v>
      </c>
      <c r="AL465" s="24"/>
      <c r="AM465" s="24"/>
      <c r="AN465" s="24"/>
      <c r="AO465" s="24"/>
      <c r="AP465" s="28" t="str">
        <f t="shared" si="151"/>
        <v>20241</v>
      </c>
      <c r="AQ465" s="28" t="str">
        <f t="shared" si="152"/>
        <v>20241JPY</v>
      </c>
      <c r="AR465" s="206" t="str">
        <f t="shared" si="153"/>
        <v>YAMAHA_Mounter</v>
      </c>
      <c r="AS465" s="22">
        <f t="shared" si="154"/>
        <v>1</v>
      </c>
      <c r="AT465" s="24" t="str">
        <f t="shared" si="155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0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6"/>
        <v>11150000</v>
      </c>
      <c r="AA466" s="22">
        <v>5.6300000000000003E-2</v>
      </c>
      <c r="AB466" s="21">
        <f t="shared" si="147"/>
        <v>627745</v>
      </c>
      <c r="AC466" s="25">
        <f t="shared" si="148"/>
        <v>48775.786500000002</v>
      </c>
      <c r="AD466" s="169">
        <v>7.7700000000000005E-2</v>
      </c>
      <c r="AE466" s="26">
        <f t="shared" si="149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21575119.674336284</v>
      </c>
      <c r="AJ466" s="27">
        <f t="shared" si="142"/>
        <v>2556656.3801490259</v>
      </c>
      <c r="AK466" s="28">
        <f t="shared" si="150"/>
        <v>0.1185002177851269</v>
      </c>
      <c r="AL466" s="24"/>
      <c r="AM466" s="24"/>
      <c r="AN466" s="24"/>
      <c r="AO466" s="24"/>
      <c r="AP466" s="28" t="str">
        <f t="shared" si="151"/>
        <v>20241</v>
      </c>
      <c r="AQ466" s="28" t="str">
        <f t="shared" si="152"/>
        <v>20241JPY</v>
      </c>
      <c r="AR466" s="206" t="str">
        <f t="shared" si="153"/>
        <v>YAMAHA_Mounter</v>
      </c>
      <c r="AS466" s="22">
        <f t="shared" si="154"/>
        <v>1</v>
      </c>
      <c r="AT466" s="24" t="str">
        <f t="shared" si="155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0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6"/>
        <v>6720000</v>
      </c>
      <c r="AA467" s="22">
        <v>5.6300000000000003E-2</v>
      </c>
      <c r="AB467" s="21">
        <f t="shared" si="147"/>
        <v>378336</v>
      </c>
      <c r="AC467" s="25">
        <f t="shared" si="148"/>
        <v>29396.707200000001</v>
      </c>
      <c r="AD467" s="169">
        <v>7.7700000000000005E-2</v>
      </c>
      <c r="AE467" s="26">
        <f t="shared" si="149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21575119.674336284</v>
      </c>
      <c r="AJ467" s="27">
        <f t="shared" si="142"/>
        <v>2556656.3801490259</v>
      </c>
      <c r="AK467" s="28">
        <f t="shared" si="150"/>
        <v>0.1185002177851269</v>
      </c>
      <c r="AL467" s="24"/>
      <c r="AM467" s="24"/>
      <c r="AN467" s="24"/>
      <c r="AO467" s="24"/>
      <c r="AP467" s="28" t="str">
        <f t="shared" si="151"/>
        <v>20241</v>
      </c>
      <c r="AQ467" s="28" t="str">
        <f t="shared" si="152"/>
        <v>20241JPY</v>
      </c>
      <c r="AR467" s="206" t="str">
        <f t="shared" si="153"/>
        <v>YAMAHA_Mounter</v>
      </c>
      <c r="AS467" s="22">
        <f t="shared" si="154"/>
        <v>1</v>
      </c>
      <c r="AT467" s="24" t="str">
        <f t="shared" si="155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0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6"/>
        <v>16500000</v>
      </c>
      <c r="AA468" s="13">
        <v>7.2300000000000003E-2</v>
      </c>
      <c r="AB468" s="21">
        <f t="shared" si="147"/>
        <v>1192950</v>
      </c>
      <c r="AC468" s="130">
        <f t="shared" si="148"/>
        <v>144346.94999999998</v>
      </c>
      <c r="AD468" s="169">
        <v>0.121</v>
      </c>
      <c r="AE468" s="154">
        <f t="shared" si="149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0"/>
        <v>0.11939782416131177</v>
      </c>
      <c r="AL468" s="17"/>
      <c r="AM468" s="17"/>
      <c r="AN468" s="17"/>
      <c r="AO468" s="17"/>
      <c r="AP468" s="28" t="str">
        <f t="shared" si="151"/>
        <v>20194</v>
      </c>
      <c r="AQ468" s="28" t="str">
        <f t="shared" si="152"/>
        <v>20194JPY</v>
      </c>
      <c r="AR468" s="206" t="str">
        <f t="shared" si="153"/>
        <v>YAMAHA_Mounter</v>
      </c>
      <c r="AS468" s="22">
        <f t="shared" si="154"/>
        <v>0</v>
      </c>
      <c r="AT468" s="24" t="str">
        <f t="shared" si="155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0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6"/>
        <v>8420000</v>
      </c>
      <c r="AA469" s="13">
        <v>7.22E-2</v>
      </c>
      <c r="AB469" s="21">
        <f t="shared" si="147"/>
        <v>607924</v>
      </c>
      <c r="AC469" s="130">
        <f t="shared" si="148"/>
        <v>67905.110799999995</v>
      </c>
      <c r="AD469" s="169">
        <v>0.11169999999999999</v>
      </c>
      <c r="AE469" s="154">
        <f t="shared" si="149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0"/>
        <v>0.14724433143839863</v>
      </c>
      <c r="AL469" s="17"/>
      <c r="AM469" s="17"/>
      <c r="AN469" s="17"/>
      <c r="AO469" s="17"/>
      <c r="AP469" s="28" t="str">
        <f t="shared" si="151"/>
        <v>20193</v>
      </c>
      <c r="AQ469" s="28" t="str">
        <f t="shared" si="152"/>
        <v>20193JPY</v>
      </c>
      <c r="AR469" s="206" t="str">
        <f t="shared" si="153"/>
        <v>YAMAHA_Mounter</v>
      </c>
      <c r="AS469" s="22">
        <f t="shared" si="154"/>
        <v>0</v>
      </c>
      <c r="AT469" s="24" t="str">
        <f t="shared" si="155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0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6"/>
        <v>8420000</v>
      </c>
      <c r="AA470" s="13">
        <v>7.22E-2</v>
      </c>
      <c r="AB470" s="21">
        <f t="shared" si="147"/>
        <v>607924</v>
      </c>
      <c r="AC470" s="130">
        <f t="shared" si="148"/>
        <v>67905.110799999995</v>
      </c>
      <c r="AD470" s="169">
        <v>0.11169999999999999</v>
      </c>
      <c r="AE470" s="154">
        <f t="shared" si="149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0"/>
        <v>0.14724433143839863</v>
      </c>
      <c r="AL470" s="17"/>
      <c r="AM470" s="17"/>
      <c r="AN470" s="17"/>
      <c r="AO470" s="17"/>
      <c r="AP470" s="28" t="str">
        <f t="shared" si="151"/>
        <v>20193</v>
      </c>
      <c r="AQ470" s="28" t="str">
        <f t="shared" si="152"/>
        <v>20193JPY</v>
      </c>
      <c r="AR470" s="206" t="str">
        <f t="shared" si="153"/>
        <v>YAMAHA_Mounter</v>
      </c>
      <c r="AS470" s="22">
        <f t="shared" si="154"/>
        <v>0</v>
      </c>
      <c r="AT470" s="24" t="str">
        <f t="shared" si="155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0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6">IF(W471="RMB","1.13", "1")</f>
        <v>1</v>
      </c>
      <c r="Z471" s="18">
        <f t="shared" si="146"/>
        <v>7100000</v>
      </c>
      <c r="AA471" s="13">
        <v>6.9199999999999998E-2</v>
      </c>
      <c r="AB471" s="21">
        <f t="shared" si="147"/>
        <v>491320</v>
      </c>
      <c r="AC471" s="130">
        <f t="shared" si="148"/>
        <v>42450.048000000003</v>
      </c>
      <c r="AD471" s="169">
        <v>8.6400000000000005E-2</v>
      </c>
      <c r="AE471" s="154">
        <f t="shared" si="149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0"/>
        <v>0.13845607946397598</v>
      </c>
      <c r="AL471" s="17"/>
      <c r="AM471" s="17"/>
      <c r="AN471" s="17"/>
      <c r="AO471" s="17"/>
      <c r="AP471" s="28" t="str">
        <f t="shared" si="151"/>
        <v>20222</v>
      </c>
      <c r="AQ471" s="28" t="str">
        <f t="shared" si="152"/>
        <v>20222JPY</v>
      </c>
      <c r="AR471" s="206" t="str">
        <f t="shared" si="153"/>
        <v>YAMAHA_Mounter</v>
      </c>
      <c r="AS471" s="22">
        <f t="shared" si="154"/>
        <v>11</v>
      </c>
      <c r="AT471" s="24" t="str">
        <f t="shared" si="155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0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6"/>
        <v>1</v>
      </c>
      <c r="Z472" s="18">
        <f t="shared" si="146"/>
        <v>7100000</v>
      </c>
      <c r="AA472" s="13">
        <v>6.9199999999999998E-2</v>
      </c>
      <c r="AB472" s="21">
        <f t="shared" si="147"/>
        <v>491320</v>
      </c>
      <c r="AC472" s="130">
        <f t="shared" si="148"/>
        <v>42450.048000000003</v>
      </c>
      <c r="AD472" s="169">
        <v>8.6400000000000005E-2</v>
      </c>
      <c r="AE472" s="154">
        <f t="shared" si="149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0"/>
        <v>0.13845607946397598</v>
      </c>
      <c r="AL472" s="17"/>
      <c r="AM472" s="17"/>
      <c r="AN472" s="17"/>
      <c r="AO472" s="17"/>
      <c r="AP472" s="28" t="str">
        <f t="shared" si="151"/>
        <v>20222</v>
      </c>
      <c r="AQ472" s="28" t="str">
        <f t="shared" si="152"/>
        <v>20222JPY</v>
      </c>
      <c r="AR472" s="206" t="str">
        <f t="shared" si="153"/>
        <v>YAMAHA_Mounter</v>
      </c>
      <c r="AS472" s="22">
        <f t="shared" si="154"/>
        <v>11</v>
      </c>
      <c r="AT472" s="24" t="str">
        <f t="shared" si="155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0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6"/>
        <v>1.13</v>
      </c>
      <c r="Z473" s="18">
        <f t="shared" si="146"/>
        <v>515000</v>
      </c>
      <c r="AA473" s="13">
        <v>1.175</v>
      </c>
      <c r="AB473" s="21">
        <f t="shared" si="147"/>
        <v>535508.84955752222</v>
      </c>
      <c r="AC473" s="130">
        <f t="shared" si="148"/>
        <v>75774.502212389387</v>
      </c>
      <c r="AD473" s="169">
        <v>0.14149999999999999</v>
      </c>
      <c r="AE473" s="154">
        <f t="shared" si="149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0"/>
        <v>0.16347849649632912</v>
      </c>
      <c r="AL473" s="17"/>
      <c r="AM473" s="17"/>
      <c r="AN473" s="17"/>
      <c r="AO473" s="17"/>
      <c r="AP473" s="28" t="str">
        <f t="shared" si="151"/>
        <v>20226</v>
      </c>
      <c r="AQ473" s="28" t="str">
        <f t="shared" si="152"/>
        <v>20226RMB</v>
      </c>
      <c r="AR473" s="206" t="str">
        <f t="shared" si="153"/>
        <v>YAMAHA_Mounter</v>
      </c>
      <c r="AS473" s="22">
        <f t="shared" si="154"/>
        <v>1</v>
      </c>
      <c r="AT473" s="24" t="str">
        <f t="shared" si="155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0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6"/>
        <v>1.13</v>
      </c>
      <c r="Z474" s="18">
        <f t="shared" si="146"/>
        <v>750000</v>
      </c>
      <c r="AA474" s="13">
        <v>1.17</v>
      </c>
      <c r="AB474" s="21">
        <f t="shared" si="147"/>
        <v>776548.67256637174</v>
      </c>
      <c r="AC474" s="130">
        <f t="shared" si="148"/>
        <v>143506.19469026549</v>
      </c>
      <c r="AD474" s="169">
        <v>0.18479999999999999</v>
      </c>
      <c r="AE474" s="154">
        <f t="shared" si="149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0"/>
        <v>0.14613378412599562</v>
      </c>
      <c r="AL474" s="17"/>
      <c r="AM474" s="17"/>
      <c r="AN474" s="17"/>
      <c r="AO474" s="17"/>
      <c r="AP474" s="28" t="str">
        <f t="shared" si="151"/>
        <v>20227</v>
      </c>
      <c r="AQ474" s="28" t="str">
        <f t="shared" si="152"/>
        <v>20227RMB</v>
      </c>
      <c r="AR474" s="206" t="str">
        <f t="shared" si="153"/>
        <v>YAMAHA_Mounter</v>
      </c>
      <c r="AS474" s="22">
        <f t="shared" si="154"/>
        <v>0</v>
      </c>
      <c r="AT474" s="24" t="str">
        <f t="shared" si="155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0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6"/>
        <v>1.13</v>
      </c>
      <c r="Z475" s="18">
        <f t="shared" si="146"/>
        <v>440000</v>
      </c>
      <c r="AA475" s="13">
        <v>1.1000000000000001</v>
      </c>
      <c r="AB475" s="21">
        <f t="shared" si="147"/>
        <v>428318.58407079655</v>
      </c>
      <c r="AC475" s="130">
        <f t="shared" si="148"/>
        <v>54439.292035398241</v>
      </c>
      <c r="AD475" s="169">
        <v>0.12709999999999999</v>
      </c>
      <c r="AE475" s="154">
        <f t="shared" si="149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0"/>
        <v>0.1737753782153679</v>
      </c>
      <c r="AL475" s="17"/>
      <c r="AM475" s="17"/>
      <c r="AN475" s="17"/>
      <c r="AO475" s="17"/>
      <c r="AP475" s="28" t="str">
        <f t="shared" si="151"/>
        <v>202210</v>
      </c>
      <c r="AQ475" s="28" t="str">
        <f t="shared" si="152"/>
        <v>202210RMB</v>
      </c>
      <c r="AR475" s="206" t="str">
        <f t="shared" si="153"/>
        <v>YAMAHA_Mounter</v>
      </c>
      <c r="AS475" s="22">
        <f t="shared" si="154"/>
        <v>1</v>
      </c>
      <c r="AT475" s="24" t="str">
        <f t="shared" si="155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0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6"/>
        <v>1.13</v>
      </c>
      <c r="Z476" s="18">
        <f t="shared" si="146"/>
        <v>410000</v>
      </c>
      <c r="AA476" s="13">
        <v>1.095</v>
      </c>
      <c r="AB476" s="21">
        <f t="shared" si="147"/>
        <v>397300.88495575229</v>
      </c>
      <c r="AC476" s="130">
        <f t="shared" si="148"/>
        <v>47676.10619469027</v>
      </c>
      <c r="AD476" s="169">
        <v>0.12</v>
      </c>
      <c r="AE476" s="154">
        <f t="shared" si="149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477651199.57437885</v>
      </c>
      <c r="AJ476" s="19">
        <f t="shared" si="142"/>
        <v>56918800.518691957</v>
      </c>
      <c r="AK476" s="20">
        <f t="shared" si="150"/>
        <v>0.11916394341605475</v>
      </c>
      <c r="AL476" s="17"/>
      <c r="AM476" s="17"/>
      <c r="AN476" s="17"/>
      <c r="AO476" s="17"/>
      <c r="AP476" s="28" t="str">
        <f t="shared" si="151"/>
        <v>CancelCancel</v>
      </c>
      <c r="AQ476" s="28" t="str">
        <f t="shared" si="152"/>
        <v>CancelCancelRMB</v>
      </c>
      <c r="AR476" s="206" t="str">
        <f t="shared" si="153"/>
        <v>YAMAHA_Mounter</v>
      </c>
      <c r="AS476" s="22" t="str">
        <f t="shared" si="154"/>
        <v/>
      </c>
      <c r="AT476" s="24" t="str">
        <f t="shared" si="155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">
        <v>3173</v>
      </c>
      <c r="F477" s="23">
        <v>2024</v>
      </c>
      <c r="G477" s="23">
        <v>5</v>
      </c>
      <c r="H477" s="29"/>
      <c r="I477" s="33" t="str">
        <f t="shared" si="145"/>
        <v>Q1</v>
      </c>
      <c r="J477" s="190" t="s">
        <v>3333</v>
      </c>
      <c r="K477" s="29" t="s">
        <v>1706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0"/>
        <v>MAIN UNIT</v>
      </c>
      <c r="Q477" s="13" t="s">
        <v>62</v>
      </c>
      <c r="R477" s="22" t="s">
        <v>63</v>
      </c>
      <c r="S477" s="22" t="s">
        <v>50</v>
      </c>
      <c r="T477" s="22" t="s">
        <v>79</v>
      </c>
      <c r="U477" s="22" t="s">
        <v>79</v>
      </c>
      <c r="V477" s="22" t="s">
        <v>312</v>
      </c>
      <c r="W477" s="22" t="s">
        <v>110</v>
      </c>
      <c r="X477" s="30">
        <v>8600000</v>
      </c>
      <c r="Y477" s="31" t="str">
        <f>IF(W477="","",IF(W477="RMB","1.13", "1"))</f>
        <v>1</v>
      </c>
      <c r="Z477" s="18">
        <f t="shared" si="146"/>
        <v>8600000</v>
      </c>
      <c r="AA477" s="13">
        <v>5.0999999999999997E-2</v>
      </c>
      <c r="AB477" s="21">
        <f t="shared" si="147"/>
        <v>438600</v>
      </c>
      <c r="AC477" s="25">
        <f t="shared" si="148"/>
        <v>53158.32</v>
      </c>
      <c r="AD477" s="192">
        <v>0.1212</v>
      </c>
      <c r="AE477" s="26">
        <f t="shared" si="149"/>
        <v>0</v>
      </c>
      <c r="AF477" s="26" t="str">
        <f>IF(AND(COUNTIFS($J$18:J477,J477)=1,AE477=1),1,"")</f>
        <v/>
      </c>
      <c r="AG477" s="26" t="str">
        <f>IF(C477="","",IF(AND(COUNTIFS($J$18:J477,J477)=1,C477&lt;&gt;""),1,""))</f>
        <v/>
      </c>
      <c r="AH477" s="26" t="str">
        <f>IF(G477="","",IF(AND(COUNTIFS($J$18:J477,J477)=1,G477&lt;&gt;""),1,""))</f>
        <v/>
      </c>
      <c r="AI477" s="27">
        <f t="shared" si="141"/>
        <v>11472879.764601771</v>
      </c>
      <c r="AJ477" s="27">
        <f t="shared" si="142"/>
        <v>2038344.1716106194</v>
      </c>
      <c r="AK477" s="28">
        <f t="shared" si="150"/>
        <v>0.17766630640544948</v>
      </c>
      <c r="AL477" s="24"/>
      <c r="AM477" s="24"/>
      <c r="AN477" s="24"/>
      <c r="AO477" s="24"/>
      <c r="AP477" s="28" t="str">
        <f t="shared" si="151"/>
        <v>20245</v>
      </c>
      <c r="AQ477" s="28" t="str">
        <f t="shared" si="152"/>
        <v>20245JPY</v>
      </c>
      <c r="AR477" s="206" t="str">
        <f t="shared" si="153"/>
        <v>YAMAHA_Mounter</v>
      </c>
      <c r="AS477" s="22">
        <f t="shared" si="154"/>
        <v>2</v>
      </c>
      <c r="AT477" s="24" t="str">
        <f t="shared" si="155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">
        <v>3173</v>
      </c>
      <c r="F478" s="23">
        <v>2024</v>
      </c>
      <c r="G478" s="23">
        <v>5</v>
      </c>
      <c r="H478" s="29"/>
      <c r="I478" s="33" t="str">
        <f t="shared" si="145"/>
        <v>Q1</v>
      </c>
      <c r="J478" s="190" t="s">
        <v>3368</v>
      </c>
      <c r="K478" s="29" t="s">
        <v>3369</v>
      </c>
      <c r="L478" s="17" t="s">
        <v>93</v>
      </c>
      <c r="M478" s="22" t="s">
        <v>61</v>
      </c>
      <c r="N478" s="22">
        <v>1</v>
      </c>
      <c r="O478" s="22"/>
      <c r="P478" s="33" t="str">
        <f t="shared" si="140"/>
        <v>MAIN UNIT</v>
      </c>
      <c r="Q478" s="13" t="s">
        <v>62</v>
      </c>
      <c r="R478" s="22" t="s">
        <v>63</v>
      </c>
      <c r="S478" s="22" t="s">
        <v>50</v>
      </c>
      <c r="T478" s="22" t="s">
        <v>79</v>
      </c>
      <c r="U478" s="22" t="s">
        <v>79</v>
      </c>
      <c r="V478" s="22" t="s">
        <v>113</v>
      </c>
      <c r="W478" s="22" t="s">
        <v>110</v>
      </c>
      <c r="X478" s="30">
        <v>13000000</v>
      </c>
      <c r="Y478" s="31" t="str">
        <f>IF(W478="","",IF(W478="RMB","1.13", "1"))</f>
        <v>1</v>
      </c>
      <c r="Z478" s="18">
        <v>13500000</v>
      </c>
      <c r="AA478" s="13">
        <v>5.0999999999999997E-2</v>
      </c>
      <c r="AB478" s="21">
        <f t="shared" si="147"/>
        <v>688500</v>
      </c>
      <c r="AC478" s="25">
        <f t="shared" si="148"/>
        <v>70089.3</v>
      </c>
      <c r="AD478" s="192">
        <v>0.1018</v>
      </c>
      <c r="AE478" s="26">
        <f t="shared" si="149"/>
        <v>0</v>
      </c>
      <c r="AF478" s="26" t="str">
        <f>IF(AND(COUNTIFS($J$18:J478,J478)=1,AE478=1),1,"")</f>
        <v/>
      </c>
      <c r="AG478" s="26">
        <f>IF(C478="","",IF(AND(COUNTIFS($J$18:J478,J478)=1,C478&lt;&gt;""),1,""))</f>
        <v>1</v>
      </c>
      <c r="AH478" s="26">
        <f>IF(G478="","",IF(AND(COUNTIFS($J$18:J478,J478)=1,G478&lt;&gt;""),1,""))</f>
        <v>1</v>
      </c>
      <c r="AI478" s="27">
        <f t="shared" si="141"/>
        <v>11472879.764601771</v>
      </c>
      <c r="AJ478" s="27">
        <f t="shared" si="142"/>
        <v>2038344.1716106194</v>
      </c>
      <c r="AK478" s="28">
        <f t="shared" si="150"/>
        <v>0.17766630640544948</v>
      </c>
      <c r="AL478" s="24"/>
      <c r="AM478" s="24"/>
      <c r="AN478" s="24"/>
      <c r="AO478" s="24"/>
      <c r="AP478" s="28" t="str">
        <f t="shared" si="151"/>
        <v>20245</v>
      </c>
      <c r="AQ478" s="28" t="str">
        <f t="shared" si="152"/>
        <v>20245JPY</v>
      </c>
      <c r="AR478" s="206" t="str">
        <f t="shared" si="153"/>
        <v>YAMAHA_Mounter</v>
      </c>
      <c r="AS478" s="22">
        <f t="shared" si="154"/>
        <v>2</v>
      </c>
      <c r="AT478" s="24" t="str">
        <f t="shared" si="155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0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>IF(X479="","",X479*MAX(O479,N479))</f>
        <v>10000000</v>
      </c>
      <c r="AA479" s="13">
        <v>7.0699999999999999E-2</v>
      </c>
      <c r="AB479" s="21">
        <f t="shared" si="147"/>
        <v>707000</v>
      </c>
      <c r="AC479" s="130">
        <f t="shared" si="148"/>
        <v>84840</v>
      </c>
      <c r="AD479" s="169">
        <v>0.12</v>
      </c>
      <c r="AE479" s="154">
        <f t="shared" si="149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0"/>
        <v>0.1428734525728621</v>
      </c>
      <c r="AL479" s="17"/>
      <c r="AM479" s="17"/>
      <c r="AN479" s="17"/>
      <c r="AO479" s="17"/>
      <c r="AP479" s="28" t="str">
        <f t="shared" si="151"/>
        <v>201811</v>
      </c>
      <c r="AQ479" s="28" t="str">
        <f t="shared" si="152"/>
        <v>201811JPY</v>
      </c>
      <c r="AR479" s="206" t="str">
        <f t="shared" si="153"/>
        <v>YAMAHA_Mounter</v>
      </c>
      <c r="AS479" s="22">
        <f t="shared" si="154"/>
        <v>0</v>
      </c>
      <c r="AT479" s="24" t="str">
        <f t="shared" si="155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0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>IF(X480="","",X480*MAX(O480,N480))</f>
        <v>880000</v>
      </c>
      <c r="AA480" s="13">
        <v>1.135</v>
      </c>
      <c r="AB480" s="21">
        <f t="shared" si="147"/>
        <v>883893.80530973466</v>
      </c>
      <c r="AC480" s="130">
        <f t="shared" si="148"/>
        <v>115878.4778761062</v>
      </c>
      <c r="AD480" s="169">
        <v>0.13109999999999999</v>
      </c>
      <c r="AE480" s="154">
        <f t="shared" si="149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0"/>
        <v>0.11467191436184473</v>
      </c>
      <c r="AL480" s="17"/>
      <c r="AM480" s="17"/>
      <c r="AN480" s="17"/>
      <c r="AO480" s="17"/>
      <c r="AP480" s="28" t="str">
        <f t="shared" si="151"/>
        <v>20196</v>
      </c>
      <c r="AQ480" s="28" t="str">
        <f t="shared" si="152"/>
        <v>20196RMB</v>
      </c>
      <c r="AR480" s="206" t="str">
        <f t="shared" si="153"/>
        <v>YAMAHA_Mounter</v>
      </c>
      <c r="AS480" s="22">
        <f t="shared" si="154"/>
        <v>0</v>
      </c>
      <c r="AT480" s="24" t="str">
        <f t="shared" si="155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0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>IF(X481="","",X481*MAX(O481,N481))</f>
        <v>13000000</v>
      </c>
      <c r="AA481" s="13">
        <v>7.2800000000000004E-2</v>
      </c>
      <c r="AB481" s="21">
        <f t="shared" si="147"/>
        <v>946400</v>
      </c>
      <c r="AC481" s="130">
        <f t="shared" si="148"/>
        <v>155777.44</v>
      </c>
      <c r="AD481" s="169">
        <v>0.1646</v>
      </c>
      <c r="AE481" s="154">
        <f t="shared" si="149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0"/>
        <v>0.141215124388995</v>
      </c>
      <c r="AL481" s="17"/>
      <c r="AM481" s="17"/>
      <c r="AN481" s="17"/>
      <c r="AO481" s="17"/>
      <c r="AP481" s="28" t="str">
        <f t="shared" si="151"/>
        <v>20215</v>
      </c>
      <c r="AQ481" s="28" t="str">
        <f t="shared" si="152"/>
        <v>20215JPY</v>
      </c>
      <c r="AR481" s="206" t="str">
        <f t="shared" si="153"/>
        <v>YAMAHA_Mounter</v>
      </c>
      <c r="AS481" s="22">
        <f t="shared" si="154"/>
        <v>2</v>
      </c>
      <c r="AT481" s="24" t="str">
        <f t="shared" si="155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">
        <v>3173</v>
      </c>
      <c r="F482" s="23">
        <v>2024</v>
      </c>
      <c r="G482" s="23">
        <v>5</v>
      </c>
      <c r="H482" s="29"/>
      <c r="I482" s="33" t="str">
        <f t="shared" si="145"/>
        <v>Q1</v>
      </c>
      <c r="J482" s="190" t="s">
        <v>3368</v>
      </c>
      <c r="K482" s="29" t="s">
        <v>3369</v>
      </c>
      <c r="L482" s="17" t="s">
        <v>93</v>
      </c>
      <c r="M482" s="22" t="s">
        <v>61</v>
      </c>
      <c r="N482" s="22">
        <v>1</v>
      </c>
      <c r="O482" s="22"/>
      <c r="P482" s="33" t="str">
        <f t="shared" si="140"/>
        <v>MAIN UNIT</v>
      </c>
      <c r="Q482" s="13" t="s">
        <v>62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113</v>
      </c>
      <c r="W482" s="22" t="s">
        <v>110</v>
      </c>
      <c r="X482" s="30">
        <v>13000000</v>
      </c>
      <c r="Y482" s="31" t="str">
        <f>IF(W482="","",IF(W482="RMB","1.13", "1"))</f>
        <v>1</v>
      </c>
      <c r="Z482" s="18">
        <v>13500000</v>
      </c>
      <c r="AA482" s="13">
        <v>5.0999999999999997E-2</v>
      </c>
      <c r="AB482" s="21">
        <f t="shared" si="147"/>
        <v>688500</v>
      </c>
      <c r="AC482" s="25">
        <f t="shared" si="148"/>
        <v>70089.3</v>
      </c>
      <c r="AD482" s="192">
        <v>0.1018</v>
      </c>
      <c r="AE482" s="26">
        <f t="shared" si="149"/>
        <v>0</v>
      </c>
      <c r="AF482" s="26" t="str">
        <f>IF(AND(COUNTIFS($J$18:J482,J482)=1,AE482=1),1,"")</f>
        <v/>
      </c>
      <c r="AG482" s="26" t="str">
        <f>IF(C482="","",IF(AND(COUNTIFS($J$18:J482,J482)=1,C482&lt;&gt;""),1,""))</f>
        <v/>
      </c>
      <c r="AH482" s="26" t="str">
        <f>IF(G482="","",IF(AND(COUNTIFS($J$18:J482,J482)=1,G482&lt;&gt;""),1,""))</f>
        <v/>
      </c>
      <c r="AI482" s="27">
        <f t="shared" si="141"/>
        <v>11472879.764601771</v>
      </c>
      <c r="AJ482" s="27">
        <f t="shared" si="142"/>
        <v>2038344.1716106194</v>
      </c>
      <c r="AK482" s="28">
        <f t="shared" si="150"/>
        <v>0.17766630640544948</v>
      </c>
      <c r="AL482" s="24"/>
      <c r="AM482" s="24"/>
      <c r="AN482" s="24"/>
      <c r="AO482" s="24"/>
      <c r="AP482" s="28" t="str">
        <f t="shared" si="151"/>
        <v>20245</v>
      </c>
      <c r="AQ482" s="28" t="str">
        <f t="shared" si="152"/>
        <v>20245JPY</v>
      </c>
      <c r="AR482" s="206" t="str">
        <f t="shared" si="153"/>
        <v>YAMAHA_Mounter</v>
      </c>
      <c r="AS482" s="22">
        <f t="shared" si="154"/>
        <v>2</v>
      </c>
      <c r="AT482" s="24" t="str">
        <f t="shared" si="155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">
        <v>3173</v>
      </c>
      <c r="F483" s="23">
        <v>2024</v>
      </c>
      <c r="G483" s="23">
        <v>5</v>
      </c>
      <c r="H483" s="29"/>
      <c r="I483" s="33" t="str">
        <f t="shared" si="145"/>
        <v>Q1</v>
      </c>
      <c r="J483" s="190" t="s">
        <v>3368</v>
      </c>
      <c r="K483" s="29" t="s">
        <v>3369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0"/>
        <v>MAIN UNIT</v>
      </c>
      <c r="Q483" s="13" t="s">
        <v>62</v>
      </c>
      <c r="R483" s="22" t="s">
        <v>63</v>
      </c>
      <c r="S483" s="22" t="s">
        <v>50</v>
      </c>
      <c r="T483" s="22" t="s">
        <v>79</v>
      </c>
      <c r="U483" s="22" t="s">
        <v>79</v>
      </c>
      <c r="V483" s="22" t="s">
        <v>113</v>
      </c>
      <c r="W483" s="22" t="s">
        <v>110</v>
      </c>
      <c r="X483" s="30">
        <v>8140000</v>
      </c>
      <c r="Y483" s="31" t="str">
        <f>IF(W483="","",IF(W483="RMB","1.13", "1"))</f>
        <v>1</v>
      </c>
      <c r="Z483" s="18">
        <v>9060000</v>
      </c>
      <c r="AA483" s="13">
        <v>5.0999999999999997E-2</v>
      </c>
      <c r="AB483" s="21">
        <f t="shared" si="147"/>
        <v>462059.99999999994</v>
      </c>
      <c r="AC483" s="25">
        <f t="shared" si="148"/>
        <v>47037.707999999991</v>
      </c>
      <c r="AD483" s="192">
        <v>0.1018</v>
      </c>
      <c r="AE483" s="26">
        <f t="shared" si="149"/>
        <v>0</v>
      </c>
      <c r="AF483" s="26" t="str">
        <f>IF(AND(COUNTIFS($J$18:J483,J483)=1,AE483=1),1,"")</f>
        <v/>
      </c>
      <c r="AG483" s="26" t="str">
        <f>IF(C483="","",IF(AND(COUNTIFS($J$18:J483,J483)=1,C483&lt;&gt;""),1,""))</f>
        <v/>
      </c>
      <c r="AH483" s="26" t="str">
        <f>IF(G483="","",IF(AND(COUNTIFS($J$18:J483,J483)=1,G483&lt;&gt;""),1,""))</f>
        <v/>
      </c>
      <c r="AI483" s="27">
        <f t="shared" si="141"/>
        <v>11472879.764601771</v>
      </c>
      <c r="AJ483" s="27">
        <f t="shared" si="142"/>
        <v>2038344.1716106194</v>
      </c>
      <c r="AK483" s="28">
        <f t="shared" si="150"/>
        <v>0.17766630640544948</v>
      </c>
      <c r="AL483" s="24"/>
      <c r="AM483" s="24"/>
      <c r="AN483" s="24"/>
      <c r="AO483" s="24"/>
      <c r="AP483" s="28" t="str">
        <f t="shared" si="151"/>
        <v>20245</v>
      </c>
      <c r="AQ483" s="28" t="str">
        <f t="shared" si="152"/>
        <v>20245JPY</v>
      </c>
      <c r="AR483" s="206" t="str">
        <f t="shared" si="153"/>
        <v>YAMAHA_Mounter</v>
      </c>
      <c r="AS483" s="22">
        <f t="shared" si="154"/>
        <v>2</v>
      </c>
      <c r="AT483" s="24" t="str">
        <f t="shared" si="155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0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ref="Z484:Z494" si="157">IF(X484="","",X484*MAX(O484,N484))</f>
        <v>290000</v>
      </c>
      <c r="AA484" s="13">
        <v>1.1200000000000001</v>
      </c>
      <c r="AB484" s="21">
        <f t="shared" si="147"/>
        <v>287433.62831858412</v>
      </c>
      <c r="AC484" s="130">
        <f t="shared" si="148"/>
        <v>46506.761061946912</v>
      </c>
      <c r="AD484" s="169">
        <v>0.1618</v>
      </c>
      <c r="AE484" s="154">
        <f t="shared" si="149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0"/>
        <v>8.861429963420242E-2</v>
      </c>
      <c r="AL484" s="17"/>
      <c r="AM484" s="17"/>
      <c r="AN484" s="17"/>
      <c r="AO484" s="17"/>
      <c r="AP484" s="28" t="str">
        <f t="shared" si="151"/>
        <v>20231</v>
      </c>
      <c r="AQ484" s="28" t="str">
        <f t="shared" si="152"/>
        <v>20231RMB</v>
      </c>
      <c r="AR484" s="206" t="str">
        <f t="shared" si="153"/>
        <v>HELLER</v>
      </c>
      <c r="AS484" s="22">
        <f t="shared" si="154"/>
        <v>1</v>
      </c>
      <c r="AT484" s="24" t="str">
        <f t="shared" si="155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0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57"/>
        <v>770000</v>
      </c>
      <c r="AA485" s="13">
        <v>1.1299999999999999</v>
      </c>
      <c r="AB485" s="21">
        <f t="shared" si="147"/>
        <v>770000</v>
      </c>
      <c r="AC485" s="130">
        <f t="shared" si="148"/>
        <v>51436</v>
      </c>
      <c r="AD485" s="169">
        <v>6.6799999999999998E-2</v>
      </c>
      <c r="AE485" s="154">
        <f t="shared" si="149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0"/>
        <v>0.12581216063459488</v>
      </c>
      <c r="AL485" s="17"/>
      <c r="AM485" s="17"/>
      <c r="AN485" s="17"/>
      <c r="AO485" s="17"/>
      <c r="AP485" s="28" t="str">
        <f t="shared" si="151"/>
        <v>20209</v>
      </c>
      <c r="AQ485" s="28" t="str">
        <f t="shared" si="152"/>
        <v>20209RMB</v>
      </c>
      <c r="AR485" s="206" t="str">
        <f t="shared" si="153"/>
        <v>YAMAHA_Mounter</v>
      </c>
      <c r="AS485" s="22">
        <f t="shared" si="154"/>
        <v>2</v>
      </c>
      <c r="AT485" s="24" t="str">
        <f t="shared" si="155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0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57"/>
        <v>670000</v>
      </c>
      <c r="AA486" s="13">
        <v>1.1299999999999999</v>
      </c>
      <c r="AB486" s="21">
        <f t="shared" si="147"/>
        <v>670000</v>
      </c>
      <c r="AC486" s="130">
        <f t="shared" si="148"/>
        <v>44756</v>
      </c>
      <c r="AD486" s="169">
        <v>6.6799999999999998E-2</v>
      </c>
      <c r="AE486" s="154">
        <f t="shared" si="149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0"/>
        <v>0.12581216063459488</v>
      </c>
      <c r="AL486" s="17"/>
      <c r="AM486" s="17"/>
      <c r="AN486" s="17"/>
      <c r="AO486" s="17"/>
      <c r="AP486" s="28" t="str">
        <f t="shared" si="151"/>
        <v>20209</v>
      </c>
      <c r="AQ486" s="28" t="str">
        <f t="shared" si="152"/>
        <v>20209RMB</v>
      </c>
      <c r="AR486" s="206" t="str">
        <f t="shared" si="153"/>
        <v>YAMAHA_Mounter</v>
      </c>
      <c r="AS486" s="22">
        <f t="shared" si="154"/>
        <v>2</v>
      </c>
      <c r="AT486" s="24" t="str">
        <f t="shared" si="155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0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57"/>
        <v>940000</v>
      </c>
      <c r="AA487" s="13">
        <v>1.2</v>
      </c>
      <c r="AB487" s="21">
        <f t="shared" si="147"/>
        <v>998230.08849557536</v>
      </c>
      <c r="AC487" s="130">
        <f t="shared" si="148"/>
        <v>127673.6283185841</v>
      </c>
      <c r="AD487" s="169">
        <v>0.12790000000000001</v>
      </c>
      <c r="AE487" s="154">
        <f t="shared" si="149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0"/>
        <v>0.1494810557466355</v>
      </c>
      <c r="AL487" s="17"/>
      <c r="AM487" s="17"/>
      <c r="AN487" s="17"/>
      <c r="AO487" s="17"/>
      <c r="AP487" s="28" t="str">
        <f t="shared" si="151"/>
        <v>20217</v>
      </c>
      <c r="AQ487" s="28" t="str">
        <f t="shared" si="152"/>
        <v>20217RMB</v>
      </c>
      <c r="AR487" s="206" t="str">
        <f t="shared" si="153"/>
        <v>YAMAHA_Mounter</v>
      </c>
      <c r="AS487" s="22">
        <f t="shared" si="154"/>
        <v>2</v>
      </c>
      <c r="AT487" s="24" t="str">
        <f t="shared" si="155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0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57"/>
        <v>480000</v>
      </c>
      <c r="AA488" s="13">
        <v>1.2</v>
      </c>
      <c r="AB488" s="21">
        <f t="shared" si="147"/>
        <v>509734.51327433629</v>
      </c>
      <c r="AC488" s="130">
        <f t="shared" si="148"/>
        <v>65195.04424778762</v>
      </c>
      <c r="AD488" s="169">
        <v>0.12790000000000001</v>
      </c>
      <c r="AE488" s="154">
        <f t="shared" si="149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0"/>
        <v>0.1494810557466355</v>
      </c>
      <c r="AL488" s="17"/>
      <c r="AM488" s="17"/>
      <c r="AN488" s="17"/>
      <c r="AO488" s="17"/>
      <c r="AP488" s="28" t="str">
        <f t="shared" si="151"/>
        <v>20217</v>
      </c>
      <c r="AQ488" s="28" t="str">
        <f t="shared" si="152"/>
        <v>20217RMB</v>
      </c>
      <c r="AR488" s="206" t="str">
        <f t="shared" si="153"/>
        <v>YAMAHA_Mounter</v>
      </c>
      <c r="AS488" s="22">
        <f t="shared" si="154"/>
        <v>2</v>
      </c>
      <c r="AT488" s="24" t="str">
        <f t="shared" si="155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0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57"/>
        <v>9579840</v>
      </c>
      <c r="AA489" s="13">
        <v>7.3400000000000007E-2</v>
      </c>
      <c r="AB489" s="21">
        <f t="shared" si="147"/>
        <v>703160.25600000005</v>
      </c>
      <c r="AC489" s="130">
        <f t="shared" si="148"/>
        <v>95278.214688000007</v>
      </c>
      <c r="AD489" s="169">
        <v>0.13550000000000001</v>
      </c>
      <c r="AE489" s="154">
        <f t="shared" si="149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0"/>
        <v>0.11467191436184473</v>
      </c>
      <c r="AL489" s="17"/>
      <c r="AM489" s="17"/>
      <c r="AN489" s="17"/>
      <c r="AO489" s="17"/>
      <c r="AP489" s="28" t="str">
        <f t="shared" si="151"/>
        <v>20196</v>
      </c>
      <c r="AQ489" s="28" t="str">
        <f t="shared" si="152"/>
        <v>20196JPY</v>
      </c>
      <c r="AR489" s="206" t="str">
        <f t="shared" si="153"/>
        <v>YAMAHA_Mounter</v>
      </c>
      <c r="AS489" s="22">
        <f t="shared" si="154"/>
        <v>1</v>
      </c>
      <c r="AT489" s="24" t="str">
        <f t="shared" si="155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0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57"/>
        <v>12704790</v>
      </c>
      <c r="AA490" s="13">
        <v>7.5700000000000003E-2</v>
      </c>
      <c r="AB490" s="21">
        <f t="shared" si="147"/>
        <v>961752.603</v>
      </c>
      <c r="AC490" s="130">
        <f t="shared" si="148"/>
        <v>115891.1886615</v>
      </c>
      <c r="AD490" s="169">
        <v>0.1205</v>
      </c>
      <c r="AE490" s="154">
        <f t="shared" si="149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0"/>
        <v>0.12516738767237401</v>
      </c>
      <c r="AL490" s="17"/>
      <c r="AM490" s="17"/>
      <c r="AN490" s="17"/>
      <c r="AO490" s="17"/>
      <c r="AP490" s="28" t="str">
        <f t="shared" si="151"/>
        <v>20212</v>
      </c>
      <c r="AQ490" s="28" t="str">
        <f t="shared" si="152"/>
        <v>20212JPY</v>
      </c>
      <c r="AR490" s="206" t="str">
        <f t="shared" si="153"/>
        <v>YAMAHA_Mounter</v>
      </c>
      <c r="AS490" s="22">
        <f t="shared" si="154"/>
        <v>5</v>
      </c>
      <c r="AT490" s="24" t="str">
        <f t="shared" si="155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0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57"/>
        <v>12704790</v>
      </c>
      <c r="AA491" s="13">
        <v>7.5700000000000003E-2</v>
      </c>
      <c r="AB491" s="21">
        <f t="shared" si="147"/>
        <v>961752.603</v>
      </c>
      <c r="AC491" s="130">
        <f t="shared" si="148"/>
        <v>115891.1886615</v>
      </c>
      <c r="AD491" s="169">
        <v>0.1205</v>
      </c>
      <c r="AE491" s="154">
        <f t="shared" si="149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0"/>
        <v>0.12516738767237401</v>
      </c>
      <c r="AL491" s="17"/>
      <c r="AM491" s="17"/>
      <c r="AN491" s="17"/>
      <c r="AO491" s="17"/>
      <c r="AP491" s="28" t="str">
        <f t="shared" si="151"/>
        <v>20212</v>
      </c>
      <c r="AQ491" s="28" t="str">
        <f t="shared" si="152"/>
        <v>20212JPY</v>
      </c>
      <c r="AR491" s="206" t="str">
        <f t="shared" si="153"/>
        <v>YAMAHA_Mounter</v>
      </c>
      <c r="AS491" s="22">
        <f t="shared" si="154"/>
        <v>5</v>
      </c>
      <c r="AT491" s="24" t="str">
        <f t="shared" si="155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0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57"/>
        <v>7485110</v>
      </c>
      <c r="AA492" s="13">
        <v>7.4499999999999997E-2</v>
      </c>
      <c r="AB492" s="21">
        <f t="shared" si="147"/>
        <v>557640.69499999995</v>
      </c>
      <c r="AC492" s="130">
        <f t="shared" si="148"/>
        <v>68924.389901999995</v>
      </c>
      <c r="AD492" s="169">
        <v>0.1236</v>
      </c>
      <c r="AE492" s="154">
        <f t="shared" si="149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0"/>
        <v>0.12565028406083667</v>
      </c>
      <c r="AL492" s="17"/>
      <c r="AM492" s="17"/>
      <c r="AN492" s="17"/>
      <c r="AO492" s="17"/>
      <c r="AP492" s="28" t="str">
        <f t="shared" si="151"/>
        <v>20213</v>
      </c>
      <c r="AQ492" s="28" t="str">
        <f t="shared" si="152"/>
        <v>20213JPY</v>
      </c>
      <c r="AR492" s="206" t="str">
        <f t="shared" si="153"/>
        <v>YAMAHA_Mounter</v>
      </c>
      <c r="AS492" s="22">
        <f t="shared" si="154"/>
        <v>6</v>
      </c>
      <c r="AT492" s="24" t="str">
        <f t="shared" si="155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0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57"/>
        <v>7485110</v>
      </c>
      <c r="AA493" s="13">
        <v>7.4499999999999997E-2</v>
      </c>
      <c r="AB493" s="21">
        <f t="shared" si="147"/>
        <v>557640.69499999995</v>
      </c>
      <c r="AC493" s="130">
        <f t="shared" si="148"/>
        <v>68924.389901999995</v>
      </c>
      <c r="AD493" s="169">
        <v>0.1236</v>
      </c>
      <c r="AE493" s="154">
        <f t="shared" si="149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0"/>
        <v>0.12565028406083667</v>
      </c>
      <c r="AL493" s="17"/>
      <c r="AM493" s="17"/>
      <c r="AN493" s="17"/>
      <c r="AO493" s="17"/>
      <c r="AP493" s="28" t="str">
        <f t="shared" si="151"/>
        <v>20213</v>
      </c>
      <c r="AQ493" s="28" t="str">
        <f t="shared" si="152"/>
        <v>20213JPY</v>
      </c>
      <c r="AR493" s="206" t="str">
        <f t="shared" si="153"/>
        <v>YAMAHA_Mounter</v>
      </c>
      <c r="AS493" s="22">
        <f t="shared" si="154"/>
        <v>6</v>
      </c>
      <c r="AT493" s="24" t="str">
        <f t="shared" si="155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0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57"/>
        <v>625776</v>
      </c>
      <c r="AA494" s="13">
        <v>1.1950000000000001</v>
      </c>
      <c r="AB494" s="21">
        <f t="shared" si="147"/>
        <v>661771.96460177004</v>
      </c>
      <c r="AC494" s="130">
        <f t="shared" si="148"/>
        <v>127854.34356106198</v>
      </c>
      <c r="AD494" s="169">
        <v>0.19320000000000001</v>
      </c>
      <c r="AE494" s="154">
        <f t="shared" si="149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0"/>
        <v>0.141215124388995</v>
      </c>
      <c r="AL494" s="17"/>
      <c r="AM494" s="17"/>
      <c r="AN494" s="17"/>
      <c r="AO494" s="17"/>
      <c r="AP494" s="28" t="str">
        <f t="shared" si="151"/>
        <v>20215</v>
      </c>
      <c r="AQ494" s="28" t="str">
        <f t="shared" si="152"/>
        <v>20215RMB</v>
      </c>
      <c r="AR494" s="206" t="str">
        <f t="shared" si="153"/>
        <v>YAMAHA_Mounter</v>
      </c>
      <c r="AS494" s="22">
        <f t="shared" si="154"/>
        <v>0</v>
      </c>
      <c r="AT494" s="24" t="str">
        <f t="shared" si="155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">
        <v>3173</v>
      </c>
      <c r="F495" s="23">
        <v>2024</v>
      </c>
      <c r="G495" s="23">
        <v>5</v>
      </c>
      <c r="H495" s="29"/>
      <c r="I495" s="33" t="str">
        <f t="shared" si="145"/>
        <v>Q1</v>
      </c>
      <c r="J495" s="190" t="s">
        <v>3368</v>
      </c>
      <c r="K495" s="29" t="s">
        <v>3369</v>
      </c>
      <c r="L495" s="17" t="s">
        <v>68</v>
      </c>
      <c r="M495" s="22" t="s">
        <v>61</v>
      </c>
      <c r="N495" s="22">
        <v>1</v>
      </c>
      <c r="O495" s="22"/>
      <c r="P495" s="33" t="str">
        <f t="shared" si="140"/>
        <v>MAIN UNIT</v>
      </c>
      <c r="Q495" s="13" t="s">
        <v>62</v>
      </c>
      <c r="R495" s="22" t="s">
        <v>63</v>
      </c>
      <c r="S495" s="22" t="s">
        <v>50</v>
      </c>
      <c r="T495" s="22" t="s">
        <v>79</v>
      </c>
      <c r="U495" s="22" t="s">
        <v>79</v>
      </c>
      <c r="V495" s="22" t="s">
        <v>113</v>
      </c>
      <c r="W495" s="22" t="s">
        <v>110</v>
      </c>
      <c r="X495" s="30">
        <v>8140000</v>
      </c>
      <c r="Y495" s="31" t="str">
        <f>IF(W495="","",IF(W495="RMB","1.13", "1"))</f>
        <v>1</v>
      </c>
      <c r="Z495" s="18">
        <v>9060000</v>
      </c>
      <c r="AA495" s="13">
        <v>5.0999999999999997E-2</v>
      </c>
      <c r="AB495" s="21">
        <f t="shared" si="147"/>
        <v>462059.99999999994</v>
      </c>
      <c r="AC495" s="25">
        <f t="shared" si="148"/>
        <v>47037.707999999991</v>
      </c>
      <c r="AD495" s="192">
        <v>0.1018</v>
      </c>
      <c r="AE495" s="26">
        <f t="shared" si="149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11472879.764601771</v>
      </c>
      <c r="AJ495" s="27">
        <f t="shared" si="142"/>
        <v>2038344.1716106194</v>
      </c>
      <c r="AK495" s="28">
        <f t="shared" si="150"/>
        <v>0.17766630640544948</v>
      </c>
      <c r="AL495" s="24"/>
      <c r="AM495" s="24"/>
      <c r="AN495" s="24"/>
      <c r="AO495" s="24"/>
      <c r="AP495" s="28" t="str">
        <f t="shared" si="151"/>
        <v>20245</v>
      </c>
      <c r="AQ495" s="28" t="str">
        <f t="shared" si="152"/>
        <v>20245JPY</v>
      </c>
      <c r="AR495" s="206" t="str">
        <f t="shared" si="153"/>
        <v>YAMAHA_Mounter</v>
      </c>
      <c r="AS495" s="22">
        <f t="shared" si="154"/>
        <v>2</v>
      </c>
      <c r="AT495" s="24" t="str">
        <f t="shared" si="155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">
        <v>3173</v>
      </c>
      <c r="F496" s="23">
        <v>2024</v>
      </c>
      <c r="G496" s="23">
        <v>5</v>
      </c>
      <c r="H496" s="29"/>
      <c r="I496" s="33" t="str">
        <f t="shared" si="145"/>
        <v>Q1</v>
      </c>
      <c r="J496" s="190" t="s">
        <v>3344</v>
      </c>
      <c r="K496" s="29" t="s">
        <v>990</v>
      </c>
      <c r="L496" s="17" t="s">
        <v>68</v>
      </c>
      <c r="M496" s="22" t="s">
        <v>61</v>
      </c>
      <c r="N496" s="22">
        <v>1</v>
      </c>
      <c r="O496" s="22"/>
      <c r="P496" s="33" t="str">
        <f t="shared" si="140"/>
        <v>MAIN UNIT</v>
      </c>
      <c r="Q496" s="13" t="s">
        <v>62</v>
      </c>
      <c r="R496" s="22" t="s">
        <v>63</v>
      </c>
      <c r="S496" s="22" t="s">
        <v>50</v>
      </c>
      <c r="T496" s="22" t="s">
        <v>79</v>
      </c>
      <c r="U496" s="22" t="s">
        <v>247</v>
      </c>
      <c r="V496" s="22" t="s">
        <v>132</v>
      </c>
      <c r="W496" s="22" t="s">
        <v>110</v>
      </c>
      <c r="X496" s="30">
        <v>11180000</v>
      </c>
      <c r="Y496" s="31" t="str">
        <f>IF(W496="","",IF(W496="RMB","1.13", "1"))</f>
        <v>1</v>
      </c>
      <c r="Z496" s="18">
        <f t="shared" ref="Z496:Z559" si="158">IF(X496="","",X496*MAX(O496,N496))</f>
        <v>11180000</v>
      </c>
      <c r="AA496" s="13">
        <v>5.0999999999999997E-2</v>
      </c>
      <c r="AB496" s="21">
        <f t="shared" si="147"/>
        <v>570180</v>
      </c>
      <c r="AC496" s="25">
        <f t="shared" si="148"/>
        <v>101378.004</v>
      </c>
      <c r="AD496" s="192">
        <v>0.17780000000000001</v>
      </c>
      <c r="AE496" s="26">
        <f t="shared" si="149"/>
        <v>0</v>
      </c>
      <c r="AF496" s="26" t="str">
        <f>IF(AND(COUNTIFS($J$18:J496,J496)=1,AE496=1),1,"")</f>
        <v/>
      </c>
      <c r="AG496" s="26">
        <f>IF(C496="","",IF(AND(COUNTIFS($J$18:J496,J496)=1,C496&lt;&gt;""),1,""))</f>
        <v>1</v>
      </c>
      <c r="AH496" s="26">
        <f>IF(G496="","",IF(AND(COUNTIFS($J$18:J496,J496)=1,G496&lt;&gt;""),1,""))</f>
        <v>1</v>
      </c>
      <c r="AI496" s="27">
        <f t="shared" si="141"/>
        <v>11472879.764601771</v>
      </c>
      <c r="AJ496" s="27">
        <f t="shared" si="142"/>
        <v>2038344.1716106194</v>
      </c>
      <c r="AK496" s="28">
        <f t="shared" si="150"/>
        <v>0.17766630640544948</v>
      </c>
      <c r="AL496" s="24"/>
      <c r="AM496" s="24"/>
      <c r="AN496" s="24"/>
      <c r="AO496" s="24"/>
      <c r="AP496" s="28" t="str">
        <f t="shared" si="151"/>
        <v>20245</v>
      </c>
      <c r="AQ496" s="28" t="str">
        <f t="shared" si="152"/>
        <v>20245JPY</v>
      </c>
      <c r="AR496" s="206" t="str">
        <f t="shared" si="153"/>
        <v>YAMAHA_Mounter</v>
      </c>
      <c r="AS496" s="22">
        <f t="shared" si="154"/>
        <v>2</v>
      </c>
      <c r="AT496" s="24" t="str">
        <f t="shared" si="155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0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58"/>
        <v>775000</v>
      </c>
      <c r="AA497" s="13">
        <v>1.1299999999999999</v>
      </c>
      <c r="AB497" s="21">
        <f t="shared" si="147"/>
        <v>775000</v>
      </c>
      <c r="AC497" s="130">
        <f t="shared" si="148"/>
        <v>71532.5</v>
      </c>
      <c r="AD497" s="169">
        <v>9.2299999999999993E-2</v>
      </c>
      <c r="AE497" s="154">
        <f t="shared" si="149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0"/>
        <v>0.12581216063459488</v>
      </c>
      <c r="AL497" s="17"/>
      <c r="AM497" s="17"/>
      <c r="AN497" s="17"/>
      <c r="AO497" s="17"/>
      <c r="AP497" s="28" t="str">
        <f t="shared" si="151"/>
        <v>20209</v>
      </c>
      <c r="AQ497" s="28" t="str">
        <f t="shared" si="152"/>
        <v>20209RMB</v>
      </c>
      <c r="AR497" s="206" t="str">
        <f t="shared" si="153"/>
        <v>YAMAHA_Mounter</v>
      </c>
      <c r="AS497" s="22">
        <f t="shared" si="154"/>
        <v>2</v>
      </c>
      <c r="AT497" s="24" t="str">
        <f t="shared" si="155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0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58"/>
        <v>13000000</v>
      </c>
      <c r="AA498" s="13">
        <v>7.2300000000000003E-2</v>
      </c>
      <c r="AB498" s="21">
        <f t="shared" si="147"/>
        <v>939900</v>
      </c>
      <c r="AC498" s="130">
        <f t="shared" si="148"/>
        <v>150947.94</v>
      </c>
      <c r="AD498" s="169">
        <v>0.16059999999999999</v>
      </c>
      <c r="AE498" s="154">
        <f t="shared" si="149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0"/>
        <v>0.11939782416131177</v>
      </c>
      <c r="AL498" s="17"/>
      <c r="AM498" s="17"/>
      <c r="AN498" s="17"/>
      <c r="AO498" s="17"/>
      <c r="AP498" s="28" t="str">
        <f t="shared" si="151"/>
        <v>20194</v>
      </c>
      <c r="AQ498" s="28" t="str">
        <f t="shared" si="152"/>
        <v>20194JPY</v>
      </c>
      <c r="AR498" s="206" t="str">
        <f t="shared" si="153"/>
        <v>YAMAHA_Mounter</v>
      </c>
      <c r="AS498" s="22">
        <f t="shared" si="154"/>
        <v>1</v>
      </c>
      <c r="AT498" s="24" t="str">
        <f t="shared" si="155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0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58"/>
        <v>15100000</v>
      </c>
      <c r="AA499" s="13">
        <v>7.0000000000000007E-2</v>
      </c>
      <c r="AB499" s="21">
        <f t="shared" si="147"/>
        <v>1057000</v>
      </c>
      <c r="AC499" s="130">
        <f t="shared" si="148"/>
        <v>126840</v>
      </c>
      <c r="AD499" s="169">
        <v>0.12</v>
      </c>
      <c r="AE499" s="154">
        <f t="shared" si="149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0"/>
        <v>0.13845607946397598</v>
      </c>
      <c r="AL499" s="17"/>
      <c r="AM499" s="17"/>
      <c r="AN499" s="17"/>
      <c r="AO499" s="17" t="s">
        <v>1975</v>
      </c>
      <c r="AP499" s="28" t="str">
        <f t="shared" si="151"/>
        <v>20222</v>
      </c>
      <c r="AQ499" s="28" t="str">
        <f t="shared" si="152"/>
        <v>20222JPY</v>
      </c>
      <c r="AR499" s="206" t="str">
        <f t="shared" si="153"/>
        <v>YAMAHA_Mounter</v>
      </c>
      <c r="AS499" s="22">
        <f t="shared" si="154"/>
        <v>2</v>
      </c>
      <c r="AT499" s="24" t="str">
        <f t="shared" si="155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0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58"/>
        <v>14000000</v>
      </c>
      <c r="AA500" s="13">
        <v>5.5199999999999999E-2</v>
      </c>
      <c r="AB500" s="21">
        <f t="shared" si="147"/>
        <v>772800</v>
      </c>
      <c r="AC500" s="130">
        <f t="shared" si="148"/>
        <v>141808.79999999999</v>
      </c>
      <c r="AD500" s="169">
        <v>0.1835</v>
      </c>
      <c r="AE500" s="154">
        <f t="shared" si="149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0"/>
        <v>0.12327425538313459</v>
      </c>
      <c r="AL500" s="17"/>
      <c r="AM500" s="17"/>
      <c r="AN500" s="17"/>
      <c r="AO500" s="17" t="s">
        <v>1975</v>
      </c>
      <c r="AP500" s="28" t="str">
        <f t="shared" si="151"/>
        <v>20237</v>
      </c>
      <c r="AQ500" s="28" t="str">
        <f t="shared" si="152"/>
        <v>20237JPY</v>
      </c>
      <c r="AR500" s="206" t="str">
        <f t="shared" si="153"/>
        <v>YAMAHA_Mounter</v>
      </c>
      <c r="AS500" s="22">
        <f t="shared" si="154"/>
        <v>19</v>
      </c>
      <c r="AT500" s="24" t="str">
        <f t="shared" si="155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0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58"/>
        <v>14000000</v>
      </c>
      <c r="AA501" s="13">
        <v>5.5199999999999999E-2</v>
      </c>
      <c r="AB501" s="21">
        <f t="shared" si="147"/>
        <v>772800</v>
      </c>
      <c r="AC501" s="130">
        <f t="shared" si="148"/>
        <v>141808.79999999999</v>
      </c>
      <c r="AD501" s="169">
        <v>0.1835</v>
      </c>
      <c r="AE501" s="154">
        <f t="shared" si="149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0"/>
        <v>0.12327425538313459</v>
      </c>
      <c r="AL501" s="17"/>
      <c r="AM501" s="17"/>
      <c r="AN501" s="17"/>
      <c r="AO501" s="17" t="s">
        <v>1975</v>
      </c>
      <c r="AP501" s="28" t="str">
        <f t="shared" si="151"/>
        <v>20237</v>
      </c>
      <c r="AQ501" s="28" t="str">
        <f t="shared" si="152"/>
        <v>20237JPY</v>
      </c>
      <c r="AR501" s="206" t="str">
        <f t="shared" si="153"/>
        <v>YAMAHA_Mounter</v>
      </c>
      <c r="AS501" s="22">
        <f t="shared" si="154"/>
        <v>19</v>
      </c>
      <c r="AT501" s="24" t="str">
        <f t="shared" si="155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0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58"/>
        <v>10600000</v>
      </c>
      <c r="AA502" s="13">
        <v>5.4199999999999998E-2</v>
      </c>
      <c r="AB502" s="21">
        <f t="shared" si="147"/>
        <v>574520</v>
      </c>
      <c r="AC502" s="130">
        <f t="shared" si="148"/>
        <v>111629.236</v>
      </c>
      <c r="AD502" s="214">
        <v>0.1943</v>
      </c>
      <c r="AE502" s="154">
        <f t="shared" si="149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0"/>
        <v>0.12272431622253084</v>
      </c>
      <c r="AL502" s="17"/>
      <c r="AM502" s="17"/>
      <c r="AN502" s="17"/>
      <c r="AO502" s="17"/>
      <c r="AP502" s="28" t="str">
        <f t="shared" si="151"/>
        <v>202311</v>
      </c>
      <c r="AQ502" s="28" t="str">
        <f t="shared" si="152"/>
        <v>202311JPY</v>
      </c>
      <c r="AR502" s="206" t="str">
        <f t="shared" si="153"/>
        <v>YAMAHA_Non_Mounter</v>
      </c>
      <c r="AS502" s="22">
        <f t="shared" si="154"/>
        <v>9</v>
      </c>
      <c r="AT502" s="24" t="str">
        <f t="shared" si="155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0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58"/>
        <v>11000000</v>
      </c>
      <c r="AA503" s="13">
        <v>6.54E-2</v>
      </c>
      <c r="AB503" s="21">
        <f t="shared" si="147"/>
        <v>719400</v>
      </c>
      <c r="AC503" s="130">
        <f t="shared" si="148"/>
        <v>145102.97999999998</v>
      </c>
      <c r="AD503" s="169">
        <v>0.20169999999999999</v>
      </c>
      <c r="AE503" s="154">
        <f t="shared" si="149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0"/>
        <v>0.1278167874546958</v>
      </c>
      <c r="AL503" s="17"/>
      <c r="AM503" s="17"/>
      <c r="AN503" s="17"/>
      <c r="AO503" s="17"/>
      <c r="AP503" s="28" t="str">
        <f t="shared" si="151"/>
        <v>20224</v>
      </c>
      <c r="AQ503" s="28" t="str">
        <f t="shared" si="152"/>
        <v>20224JPY</v>
      </c>
      <c r="AR503" s="206" t="str">
        <f t="shared" si="153"/>
        <v>YAMAHA_Non_Mounter</v>
      </c>
      <c r="AS503" s="22">
        <f t="shared" si="154"/>
        <v>4</v>
      </c>
      <c r="AT503" s="24" t="str">
        <f t="shared" si="155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0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58"/>
        <v>10600000</v>
      </c>
      <c r="AA504" s="13">
        <v>5.3400000000000003E-2</v>
      </c>
      <c r="AB504" s="21">
        <f t="shared" si="147"/>
        <v>566040</v>
      </c>
      <c r="AC504" s="130">
        <f t="shared" si="148"/>
        <v>109981.572</v>
      </c>
      <c r="AD504" s="169">
        <v>0.1943</v>
      </c>
      <c r="AE504" s="154">
        <f t="shared" si="149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477651199.57437885</v>
      </c>
      <c r="AJ504" s="19">
        <f t="shared" si="142"/>
        <v>56918800.518691957</v>
      </c>
      <c r="AK504" s="20">
        <f t="shared" si="150"/>
        <v>0.11916394341605475</v>
      </c>
      <c r="AL504" s="17"/>
      <c r="AM504" s="17"/>
      <c r="AN504" s="17"/>
      <c r="AO504" s="17"/>
      <c r="AP504" s="28" t="str">
        <f t="shared" si="151"/>
        <v>CancelCancel</v>
      </c>
      <c r="AQ504" s="28" t="str">
        <f t="shared" si="152"/>
        <v>CancelCancelJPY</v>
      </c>
      <c r="AR504" s="206" t="str">
        <f t="shared" si="153"/>
        <v>YAMAHA_Non_Mounter</v>
      </c>
      <c r="AS504" s="22" t="str">
        <f t="shared" si="154"/>
        <v/>
      </c>
      <c r="AT504" s="24" t="str">
        <f t="shared" si="155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>IF(G505="Cancel","Cancel",IF(G505="TBA","TBA",IFERROR(IF(I505="Q4","FY "&amp;RIGHT(F505,2)-1&amp;"/"&amp;RIGHT(F505,2),"FY "&amp;RIGHT(F505,2)&amp;"/"&amp;RIGHT(F505,2)+1),"")))</f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0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58"/>
        <v>14250000</v>
      </c>
      <c r="AA505" s="13">
        <v>5.4199999999999998E-2</v>
      </c>
      <c r="AB505" s="21">
        <f t="shared" si="147"/>
        <v>772350</v>
      </c>
      <c r="AC505" s="130">
        <f t="shared" si="148"/>
        <v>95076.285000000003</v>
      </c>
      <c r="AD505" s="169">
        <v>0.1231</v>
      </c>
      <c r="AE505" s="154">
        <f t="shared" si="149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16602721.68141593</v>
      </c>
      <c r="AJ505" s="19">
        <f t="shared" si="142"/>
        <v>1923201.4867699118</v>
      </c>
      <c r="AK505" s="20">
        <f t="shared" si="150"/>
        <v>0.11583651907642503</v>
      </c>
      <c r="AL505" s="17"/>
      <c r="AM505" s="17"/>
      <c r="AN505" s="17"/>
      <c r="AO505" s="17" t="s">
        <v>3088</v>
      </c>
      <c r="AP505" s="28" t="str">
        <f t="shared" si="151"/>
        <v>TBATBA</v>
      </c>
      <c r="AQ505" s="28" t="str">
        <f t="shared" si="152"/>
        <v>TBATBAJPY</v>
      </c>
      <c r="AR505" s="206" t="str">
        <f t="shared" si="153"/>
        <v>YAMAHA_Mounter</v>
      </c>
      <c r="AS505" s="22" t="str">
        <f t="shared" si="154"/>
        <v/>
      </c>
      <c r="AT505" s="24" t="str">
        <f t="shared" si="155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>IF(G506="Cancel","Cancel",IF(G506="TBA","TBA",IFERROR(IF(I506="Q4","FY "&amp;RIGHT(F506,2)-1&amp;"/"&amp;RIGHT(F506,2),"FY "&amp;RIGHT(F506,2)&amp;"/"&amp;RIGHT(F506,2)+1),"")))</f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0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58"/>
        <v>10000000</v>
      </c>
      <c r="AA506" s="13">
        <v>5.4199999999999998E-2</v>
      </c>
      <c r="AB506" s="21">
        <f t="shared" si="147"/>
        <v>542000</v>
      </c>
      <c r="AC506" s="130">
        <f t="shared" si="148"/>
        <v>66720.2</v>
      </c>
      <c r="AD506" s="169">
        <v>0.1231</v>
      </c>
      <c r="AE506" s="154">
        <f t="shared" si="149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16602721.68141593</v>
      </c>
      <c r="AJ506" s="19">
        <f t="shared" si="142"/>
        <v>1923201.4867699118</v>
      </c>
      <c r="AK506" s="20">
        <f t="shared" si="150"/>
        <v>0.11583651907642503</v>
      </c>
      <c r="AL506" s="17"/>
      <c r="AM506" s="17"/>
      <c r="AN506" s="17"/>
      <c r="AO506" s="17" t="s">
        <v>3088</v>
      </c>
      <c r="AP506" s="28" t="str">
        <f t="shared" si="151"/>
        <v>TBATBA</v>
      </c>
      <c r="AQ506" s="28" t="str">
        <f t="shared" si="152"/>
        <v>TBATBAJPY</v>
      </c>
      <c r="AR506" s="206" t="str">
        <f t="shared" si="153"/>
        <v>YAMAHA_Mounter</v>
      </c>
      <c r="AS506" s="22" t="str">
        <f t="shared" si="154"/>
        <v/>
      </c>
      <c r="AT506" s="24" t="str">
        <f t="shared" si="155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>IF(G507="Cancel","Cancel",IF(G507="TBA","TBA",IFERROR(IF(I507="Q4","FY "&amp;RIGHT(F507,2)-1&amp;"/"&amp;RIGHT(F507,2),"FY "&amp;RIGHT(F507,2)&amp;"/"&amp;RIGHT(F507,2)+1),"")))</f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0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58"/>
        <v>10000000</v>
      </c>
      <c r="AA507" s="13">
        <v>5.4199999999999998E-2</v>
      </c>
      <c r="AB507" s="21">
        <f t="shared" si="147"/>
        <v>542000</v>
      </c>
      <c r="AC507" s="130">
        <f t="shared" si="148"/>
        <v>66720.2</v>
      </c>
      <c r="AD507" s="169">
        <v>0.1231</v>
      </c>
      <c r="AE507" s="154">
        <f t="shared" si="149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16602721.68141593</v>
      </c>
      <c r="AJ507" s="19">
        <f t="shared" si="142"/>
        <v>1923201.4867699118</v>
      </c>
      <c r="AK507" s="20">
        <f t="shared" si="150"/>
        <v>0.11583651907642503</v>
      </c>
      <c r="AL507" s="17"/>
      <c r="AM507" s="17"/>
      <c r="AN507" s="17"/>
      <c r="AO507" s="17" t="s">
        <v>3088</v>
      </c>
      <c r="AP507" s="28" t="str">
        <f t="shared" si="151"/>
        <v>TBATBA</v>
      </c>
      <c r="AQ507" s="28" t="str">
        <f t="shared" si="152"/>
        <v>TBATBAJPY</v>
      </c>
      <c r="AR507" s="206" t="str">
        <f t="shared" si="153"/>
        <v>YAMAHA_Mounter</v>
      </c>
      <c r="AS507" s="22" t="str">
        <f t="shared" si="154"/>
        <v/>
      </c>
      <c r="AT507" s="24" t="str">
        <f t="shared" si="155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>IF(G508="Cancel","Cancel",IF(G508="TBA","TBA",IFERROR(IF(I508="Q4","FY "&amp;RIGHT(F508,2)-1&amp;"/"&amp;RIGHT(F508,2),"FY "&amp;RIGHT(F508,2)&amp;"/"&amp;RIGHT(F508,2)+1),"")))</f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0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58"/>
        <v>10000000</v>
      </c>
      <c r="AA508" s="13">
        <v>5.4199999999999998E-2</v>
      </c>
      <c r="AB508" s="21">
        <f t="shared" si="147"/>
        <v>542000</v>
      </c>
      <c r="AC508" s="130">
        <f t="shared" si="148"/>
        <v>66720.2</v>
      </c>
      <c r="AD508" s="169">
        <v>0.1231</v>
      </c>
      <c r="AE508" s="154">
        <f t="shared" si="149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16602721.68141593</v>
      </c>
      <c r="AJ508" s="19">
        <f t="shared" si="142"/>
        <v>1923201.4867699118</v>
      </c>
      <c r="AK508" s="20">
        <f t="shared" si="150"/>
        <v>0.11583651907642503</v>
      </c>
      <c r="AL508" s="17"/>
      <c r="AM508" s="17"/>
      <c r="AN508" s="17"/>
      <c r="AO508" s="17" t="s">
        <v>3088</v>
      </c>
      <c r="AP508" s="28" t="str">
        <f t="shared" si="151"/>
        <v>TBATBA</v>
      </c>
      <c r="AQ508" s="28" t="str">
        <f t="shared" si="152"/>
        <v>TBATBAJPY</v>
      </c>
      <c r="AR508" s="206" t="str">
        <f t="shared" si="153"/>
        <v>YAMAHA_Mounter</v>
      </c>
      <c r="AS508" s="22" t="str">
        <f t="shared" si="154"/>
        <v/>
      </c>
      <c r="AT508" s="24" t="str">
        <f t="shared" si="155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">
        <v>3173</v>
      </c>
      <c r="F509" s="23">
        <v>2024</v>
      </c>
      <c r="G509" s="23">
        <v>5</v>
      </c>
      <c r="H509" s="29"/>
      <c r="I509" s="33" t="str">
        <f t="shared" si="145"/>
        <v>Q1</v>
      </c>
      <c r="J509" s="190" t="s">
        <v>3344</v>
      </c>
      <c r="K509" s="29" t="s">
        <v>990</v>
      </c>
      <c r="L509" s="17" t="s">
        <v>68</v>
      </c>
      <c r="M509" s="22" t="s">
        <v>61</v>
      </c>
      <c r="N509" s="22">
        <v>1</v>
      </c>
      <c r="O509" s="22"/>
      <c r="P509" s="33" t="str">
        <f t="shared" si="140"/>
        <v>MAIN UNIT</v>
      </c>
      <c r="Q509" s="13" t="s">
        <v>62</v>
      </c>
      <c r="R509" s="22" t="s">
        <v>63</v>
      </c>
      <c r="S509" s="22" t="s">
        <v>50</v>
      </c>
      <c r="T509" s="22" t="s">
        <v>79</v>
      </c>
      <c r="U509" s="22" t="s">
        <v>247</v>
      </c>
      <c r="V509" s="22" t="s">
        <v>132</v>
      </c>
      <c r="W509" s="22" t="s">
        <v>110</v>
      </c>
      <c r="X509" s="30">
        <v>11180000</v>
      </c>
      <c r="Y509" s="31" t="str">
        <f>IF(W509="","",IF(W509="RMB","1.13", "1"))</f>
        <v>1</v>
      </c>
      <c r="Z509" s="18">
        <f t="shared" si="158"/>
        <v>11180000</v>
      </c>
      <c r="AA509" s="13">
        <v>5.0999999999999997E-2</v>
      </c>
      <c r="AB509" s="21">
        <f t="shared" si="147"/>
        <v>570180</v>
      </c>
      <c r="AC509" s="25">
        <f t="shared" si="148"/>
        <v>101378.004</v>
      </c>
      <c r="AD509" s="192">
        <v>0.17780000000000001</v>
      </c>
      <c r="AE509" s="26">
        <f t="shared" si="149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11472879.764601771</v>
      </c>
      <c r="AJ509" s="27">
        <f t="shared" si="142"/>
        <v>2038344.1716106194</v>
      </c>
      <c r="AK509" s="28">
        <f t="shared" si="150"/>
        <v>0.17766630640544948</v>
      </c>
      <c r="AL509" s="24"/>
      <c r="AM509" s="24"/>
      <c r="AN509" s="24"/>
      <c r="AO509" s="24"/>
      <c r="AP509" s="28" t="str">
        <f t="shared" si="151"/>
        <v>20245</v>
      </c>
      <c r="AQ509" s="28" t="str">
        <f t="shared" si="152"/>
        <v>20245JPY</v>
      </c>
      <c r="AR509" s="206" t="str">
        <f t="shared" si="153"/>
        <v>YAMAHA_Mounter</v>
      </c>
      <c r="AS509" s="22">
        <f t="shared" si="154"/>
        <v>2</v>
      </c>
      <c r="AT509" s="24" t="str">
        <f t="shared" si="155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">
        <v>3173</v>
      </c>
      <c r="F510" s="23">
        <v>2024</v>
      </c>
      <c r="G510" s="23">
        <v>5</v>
      </c>
      <c r="H510" s="29"/>
      <c r="I510" s="33" t="str">
        <f t="shared" si="145"/>
        <v>Q1</v>
      </c>
      <c r="J510" s="190" t="s">
        <v>3344</v>
      </c>
      <c r="K510" s="29" t="s">
        <v>990</v>
      </c>
      <c r="L510" s="17" t="s">
        <v>68</v>
      </c>
      <c r="M510" s="22" t="s">
        <v>61</v>
      </c>
      <c r="N510" s="22">
        <v>1</v>
      </c>
      <c r="O510" s="22"/>
      <c r="P510" s="33" t="str">
        <f t="shared" si="140"/>
        <v>MAIN UNIT</v>
      </c>
      <c r="Q510" s="13" t="s">
        <v>62</v>
      </c>
      <c r="R510" s="22" t="s">
        <v>63</v>
      </c>
      <c r="S510" s="22" t="s">
        <v>50</v>
      </c>
      <c r="T510" s="22" t="s">
        <v>79</v>
      </c>
      <c r="U510" s="22" t="s">
        <v>247</v>
      </c>
      <c r="V510" s="22" t="s">
        <v>132</v>
      </c>
      <c r="W510" s="22" t="s">
        <v>110</v>
      </c>
      <c r="X510" s="30">
        <v>11180000</v>
      </c>
      <c r="Y510" s="31" t="str">
        <f>IF(W510="","",IF(W510="RMB","1.13", "1"))</f>
        <v>1</v>
      </c>
      <c r="Z510" s="18">
        <f t="shared" si="158"/>
        <v>11180000</v>
      </c>
      <c r="AA510" s="13">
        <v>5.0999999999999997E-2</v>
      </c>
      <c r="AB510" s="21">
        <f t="shared" si="147"/>
        <v>570180</v>
      </c>
      <c r="AC510" s="25">
        <f t="shared" si="148"/>
        <v>101378.004</v>
      </c>
      <c r="AD510" s="192">
        <v>0.17780000000000001</v>
      </c>
      <c r="AE510" s="26">
        <f t="shared" si="149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11472879.764601771</v>
      </c>
      <c r="AJ510" s="27">
        <f t="shared" si="142"/>
        <v>2038344.1716106194</v>
      </c>
      <c r="AK510" s="28">
        <f t="shared" si="150"/>
        <v>0.17766630640544948</v>
      </c>
      <c r="AL510" s="24"/>
      <c r="AM510" s="24"/>
      <c r="AN510" s="24"/>
      <c r="AO510" s="24"/>
      <c r="AP510" s="28" t="str">
        <f t="shared" si="151"/>
        <v>20245</v>
      </c>
      <c r="AQ510" s="28" t="str">
        <f t="shared" si="152"/>
        <v>20245JPY</v>
      </c>
      <c r="AR510" s="206" t="str">
        <f t="shared" si="153"/>
        <v>YAMAHA_Mounter</v>
      </c>
      <c r="AS510" s="22">
        <f t="shared" si="154"/>
        <v>2</v>
      </c>
      <c r="AT510" s="24" t="str">
        <f t="shared" si="155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0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58"/>
        <v>14000876</v>
      </c>
      <c r="AA511" s="13">
        <v>7.2300000000000003E-2</v>
      </c>
      <c r="AB511" s="21">
        <f t="shared" si="147"/>
        <v>1012263.3348000001</v>
      </c>
      <c r="AC511" s="130">
        <f t="shared" si="148"/>
        <v>112766.13549672</v>
      </c>
      <c r="AD511" s="169">
        <v>0.1114</v>
      </c>
      <c r="AE511" s="154">
        <f t="shared" si="149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0"/>
        <v>0.11939782416131177</v>
      </c>
      <c r="AL511" s="17"/>
      <c r="AM511" s="17"/>
      <c r="AN511" s="17"/>
      <c r="AO511" s="17"/>
      <c r="AP511" s="28" t="str">
        <f t="shared" si="151"/>
        <v>20194</v>
      </c>
      <c r="AQ511" s="28" t="str">
        <f t="shared" si="152"/>
        <v>20194JPY</v>
      </c>
      <c r="AR511" s="206" t="str">
        <f t="shared" si="153"/>
        <v>YAMAHA_Mounter</v>
      </c>
      <c r="AS511" s="22">
        <f t="shared" si="154"/>
        <v>0</v>
      </c>
      <c r="AT511" s="24" t="str">
        <f t="shared" si="155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0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58"/>
        <v>8603500</v>
      </c>
      <c r="AA512" s="13">
        <v>7.2300000000000003E-2</v>
      </c>
      <c r="AB512" s="21">
        <f t="shared" si="147"/>
        <v>622033.05000000005</v>
      </c>
      <c r="AC512" s="130">
        <f t="shared" si="148"/>
        <v>69294.481769999999</v>
      </c>
      <c r="AD512" s="169">
        <v>0.1114</v>
      </c>
      <c r="AE512" s="154">
        <f t="shared" si="149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0"/>
        <v>0.11939782416131177</v>
      </c>
      <c r="AL512" s="17"/>
      <c r="AM512" s="17"/>
      <c r="AN512" s="17"/>
      <c r="AO512" s="17"/>
      <c r="AP512" s="28" t="str">
        <f t="shared" si="151"/>
        <v>20194</v>
      </c>
      <c r="AQ512" s="28" t="str">
        <f t="shared" si="152"/>
        <v>20194JPY</v>
      </c>
      <c r="AR512" s="206" t="str">
        <f t="shared" si="153"/>
        <v>YAMAHA_Mounter</v>
      </c>
      <c r="AS512" s="22">
        <f t="shared" si="154"/>
        <v>0</v>
      </c>
      <c r="AT512" s="24" t="str">
        <f t="shared" si="155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0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58"/>
        <v>8603500</v>
      </c>
      <c r="AA513" s="13">
        <v>7.2300000000000003E-2</v>
      </c>
      <c r="AB513" s="21">
        <f t="shared" si="147"/>
        <v>622033.05000000005</v>
      </c>
      <c r="AC513" s="130">
        <f t="shared" si="148"/>
        <v>69294.481769999999</v>
      </c>
      <c r="AD513" s="169">
        <v>0.1114</v>
      </c>
      <c r="AE513" s="154">
        <f t="shared" si="149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0"/>
        <v>0.11939782416131177</v>
      </c>
      <c r="AL513" s="17"/>
      <c r="AM513" s="17"/>
      <c r="AN513" s="17"/>
      <c r="AO513" s="17"/>
      <c r="AP513" s="28" t="str">
        <f t="shared" si="151"/>
        <v>20194</v>
      </c>
      <c r="AQ513" s="28" t="str">
        <f t="shared" si="152"/>
        <v>20194JPY</v>
      </c>
      <c r="AR513" s="206" t="str">
        <f t="shared" si="153"/>
        <v>YAMAHA_Mounter</v>
      </c>
      <c r="AS513" s="22">
        <f t="shared" si="154"/>
        <v>0</v>
      </c>
      <c r="AT513" s="24" t="str">
        <f t="shared" si="155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ref="P514:P577" si="159">IF(M514="","",IF(AND(N514&gt;0,L514&lt;&gt;""),"MAIN UNIT",IF(AND(O514&gt;0,L514&lt;&gt;""),"SERVICE/ PARTS","C66 SERVICE/OTHERS")))</f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58"/>
        <v>8200000</v>
      </c>
      <c r="AA514" s="13">
        <v>7.3499999999999996E-2</v>
      </c>
      <c r="AB514" s="21">
        <f t="shared" si="147"/>
        <v>602700</v>
      </c>
      <c r="AC514" s="130">
        <f t="shared" si="148"/>
        <v>67683.209999999992</v>
      </c>
      <c r="AD514" s="169">
        <v>0.1123</v>
      </c>
      <c r="AE514" s="154">
        <f t="shared" si="149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60">IF(P514="C66 SERVICE","",SUMIFS(AB:AB,F:F,F514,G:G,G514,E:E,E514))</f>
        <v>26147030.909862842</v>
      </c>
      <c r="AJ514" s="19">
        <f t="shared" ref="AJ514:AJ577" si="161">IF(P514="C66 SERVICE","",SUMIFS(AC:AC,F:F,F514,G:G,G514,E:E,E514))</f>
        <v>2743862.8630715334</v>
      </c>
      <c r="AK514" s="20">
        <f t="shared" si="150"/>
        <v>0.10493974908778378</v>
      </c>
      <c r="AL514" s="17"/>
      <c r="AM514" s="17"/>
      <c r="AN514" s="17"/>
      <c r="AO514" s="17"/>
      <c r="AP514" s="28" t="str">
        <f t="shared" si="151"/>
        <v>201911</v>
      </c>
      <c r="AQ514" s="28" t="str">
        <f t="shared" si="152"/>
        <v>201911JPY</v>
      </c>
      <c r="AR514" s="206" t="str">
        <f t="shared" si="153"/>
        <v>YAMAHA_Mounter</v>
      </c>
      <c r="AS514" s="22">
        <f t="shared" si="154"/>
        <v>0</v>
      </c>
      <c r="AT514" s="24" t="str">
        <f t="shared" si="155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59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58"/>
        <v>7300000</v>
      </c>
      <c r="AA515" s="13">
        <v>7.3400000000000007E-2</v>
      </c>
      <c r="AB515" s="21">
        <f t="shared" si="147"/>
        <v>535820</v>
      </c>
      <c r="AC515" s="130">
        <f t="shared" si="148"/>
        <v>62798.103999999999</v>
      </c>
      <c r="AD515" s="169">
        <v>0.1172</v>
      </c>
      <c r="AE515" s="154">
        <f t="shared" si="149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60"/>
        <v>35384300.169380538</v>
      </c>
      <c r="AJ515" s="19">
        <f t="shared" si="161"/>
        <v>5044538.8896988509</v>
      </c>
      <c r="AK515" s="20">
        <f t="shared" si="150"/>
        <v>0.14256432557804533</v>
      </c>
      <c r="AL515" s="17"/>
      <c r="AM515" s="17"/>
      <c r="AN515" s="17"/>
      <c r="AO515" s="17"/>
      <c r="AP515" s="28" t="str">
        <f t="shared" si="151"/>
        <v>20207</v>
      </c>
      <c r="AQ515" s="28" t="str">
        <f t="shared" si="152"/>
        <v>20207JPY</v>
      </c>
      <c r="AR515" s="206" t="str">
        <f t="shared" si="153"/>
        <v>YAMAHA_Mounter</v>
      </c>
      <c r="AS515" s="22">
        <f t="shared" si="154"/>
        <v>1</v>
      </c>
      <c r="AT515" s="24" t="str">
        <f t="shared" si="155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59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58"/>
        <v>15800000</v>
      </c>
      <c r="AA516" s="13">
        <v>7.4300000000000005E-2</v>
      </c>
      <c r="AB516" s="21">
        <f t="shared" si="147"/>
        <v>1173940</v>
      </c>
      <c r="AC516" s="130">
        <f t="shared" si="148"/>
        <v>169751.72400000002</v>
      </c>
      <c r="AD516" s="169">
        <v>0.14460000000000001</v>
      </c>
      <c r="AE516" s="154">
        <f t="shared" si="149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60"/>
        <v>28065694.408805311</v>
      </c>
      <c r="AJ516" s="19">
        <f t="shared" si="161"/>
        <v>4157433.2906989697</v>
      </c>
      <c r="AK516" s="20">
        <f t="shared" si="150"/>
        <v>0.14813220831602228</v>
      </c>
      <c r="AL516" s="17"/>
      <c r="AM516" s="17"/>
      <c r="AN516" s="17"/>
      <c r="AO516" s="17"/>
      <c r="AP516" s="28" t="str">
        <f t="shared" si="151"/>
        <v>20205</v>
      </c>
      <c r="AQ516" s="28" t="str">
        <f t="shared" si="152"/>
        <v>20205JPY</v>
      </c>
      <c r="AR516" s="206" t="str">
        <f t="shared" si="153"/>
        <v>YAMAHA_Mounter</v>
      </c>
      <c r="AS516" s="22">
        <f t="shared" si="154"/>
        <v>2</v>
      </c>
      <c r="AT516" s="24" t="str">
        <f t="shared" si="155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59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58"/>
        <v>550000</v>
      </c>
      <c r="AA517" s="13">
        <v>1.0900000000000001</v>
      </c>
      <c r="AB517" s="21">
        <f t="shared" si="147"/>
        <v>530530.97345132753</v>
      </c>
      <c r="AC517" s="130">
        <f t="shared" si="148"/>
        <v>82921.991150442496</v>
      </c>
      <c r="AD517" s="169">
        <v>0.15629999999999999</v>
      </c>
      <c r="AE517" s="154">
        <f t="shared" si="149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60"/>
        <v>17329060.066371687</v>
      </c>
      <c r="AJ517" s="19">
        <f t="shared" si="161"/>
        <v>2472600.2142256643</v>
      </c>
      <c r="AK517" s="20">
        <f t="shared" si="150"/>
        <v>0.14268518919984163</v>
      </c>
      <c r="AL517" s="17"/>
      <c r="AM517" s="17"/>
      <c r="AN517" s="17"/>
      <c r="AO517" s="17"/>
      <c r="AP517" s="28" t="str">
        <f t="shared" si="151"/>
        <v>202212</v>
      </c>
      <c r="AQ517" s="28" t="str">
        <f t="shared" si="152"/>
        <v>202212RMB</v>
      </c>
      <c r="AR517" s="206" t="str">
        <f t="shared" si="153"/>
        <v>YAMAHA_Mounter</v>
      </c>
      <c r="AS517" s="22">
        <f t="shared" si="154"/>
        <v>0</v>
      </c>
      <c r="AT517" s="24" t="str">
        <f t="shared" si="155"/>
        <v>0-3 months</v>
      </c>
    </row>
    <row r="518" spans="1:46" s="12" customFormat="1">
      <c r="A518" s="33" t="str">
        <f t="shared" ref="A518:A581" si="162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3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4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si="159"/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si="158"/>
        <v>800000</v>
      </c>
      <c r="AA518" s="13">
        <v>1.0900000000000001</v>
      </c>
      <c r="AB518" s="21">
        <f t="shared" ref="AB518:AB581" si="165">IF(AND(R518&lt;&gt;"C66",R518&lt;&gt;""),Z518/Y518*AA518,"")</f>
        <v>771681.41592920374</v>
      </c>
      <c r="AC518" s="130">
        <f t="shared" ref="AC518:AC581" si="166">IF(R518&lt;&gt;"",AB518*AD518,"")</f>
        <v>120613.80530973454</v>
      </c>
      <c r="AD518" s="169">
        <v>0.15629999999999999</v>
      </c>
      <c r="AE518" s="154">
        <f t="shared" ref="AE518:AE581" si="167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60"/>
        <v>17329060.066371687</v>
      </c>
      <c r="AJ518" s="19">
        <f t="shared" si="161"/>
        <v>2472600.2142256643</v>
      </c>
      <c r="AK518" s="20">
        <f t="shared" ref="AK518:AK581" si="168">IF(AJ518&gt;0,AJ518/AI518,"")</f>
        <v>0.14268518919984163</v>
      </c>
      <c r="AL518" s="17"/>
      <c r="AM518" s="17"/>
      <c r="AN518" s="17"/>
      <c r="AO518" s="17"/>
      <c r="AP518" s="28" t="str">
        <f t="shared" ref="AP518:AP581" si="169">IF(F518="","",F518&amp;G518)</f>
        <v>202212</v>
      </c>
      <c r="AQ518" s="28" t="str">
        <f t="shared" ref="AQ518:AQ581" si="170">IF(W518="","",F518&amp;G518&amp;W518)</f>
        <v>202212RMB</v>
      </c>
      <c r="AR518" s="206" t="str">
        <f t="shared" ref="AR518:AR581" si="171">IFERROR(IF(AND(M518="YAMAHA", R518="C28"), "YAMAHA_Non_Mounter", IF(AND(M518="YAMAHA", R518="C49"), "YAMAHA_Mounter", M518)),"")</f>
        <v>YAMAHA_Mounter</v>
      </c>
      <c r="AS518" s="22">
        <f t="shared" ref="AS518:AS581" si="172">IFERROR(IF(OR(G518="TBA", G518=""), "", DATEDIF(DATE(B518, C518, 1), DATE(F518, G518, 1), "M")),"")</f>
        <v>0</v>
      </c>
      <c r="AT518" s="24" t="str">
        <f t="shared" ref="AT518:AT581" si="173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2"/>
        <v>FY 19/20</v>
      </c>
      <c r="B519" s="152">
        <v>2020</v>
      </c>
      <c r="C519" s="152">
        <v>1</v>
      </c>
      <c r="D519" s="33" t="str">
        <f t="shared" si="163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4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59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58"/>
        <v>9100000</v>
      </c>
      <c r="AA519" s="13">
        <v>7.3599999999999999E-2</v>
      </c>
      <c r="AB519" s="21">
        <f t="shared" si="165"/>
        <v>669760</v>
      </c>
      <c r="AC519" s="130">
        <f t="shared" si="166"/>
        <v>80237.248000000007</v>
      </c>
      <c r="AD519" s="169">
        <v>0.1198</v>
      </c>
      <c r="AE519" s="154">
        <f t="shared" si="167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0"/>
        <v>33477255.428389374</v>
      </c>
      <c r="AJ519" s="19">
        <f t="shared" si="161"/>
        <v>4578663.362915583</v>
      </c>
      <c r="AK519" s="20">
        <f t="shared" si="168"/>
        <v>0.13676937682988152</v>
      </c>
      <c r="AL519" s="17"/>
      <c r="AM519" s="17"/>
      <c r="AN519" s="17"/>
      <c r="AO519" s="17"/>
      <c r="AP519" s="28" t="str">
        <f t="shared" si="169"/>
        <v>20204</v>
      </c>
      <c r="AQ519" s="28" t="str">
        <f t="shared" si="170"/>
        <v>20204JPY</v>
      </c>
      <c r="AR519" s="206" t="str">
        <f t="shared" si="171"/>
        <v>YAMAHA_Mounter</v>
      </c>
      <c r="AS519" s="22">
        <f t="shared" si="172"/>
        <v>3</v>
      </c>
      <c r="AT519" s="24" t="str">
        <f t="shared" si="173"/>
        <v>0-3 months</v>
      </c>
    </row>
    <row r="520" spans="1:46" s="12" customFormat="1">
      <c r="A520" s="33" t="str">
        <f t="shared" si="162"/>
        <v>FY 19/20</v>
      </c>
      <c r="B520" s="152">
        <v>2020</v>
      </c>
      <c r="C520" s="152">
        <v>1</v>
      </c>
      <c r="D520" s="33" t="str">
        <f t="shared" si="163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4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59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58"/>
        <v>9100000</v>
      </c>
      <c r="AA520" s="13">
        <v>7.3599999999999999E-2</v>
      </c>
      <c r="AB520" s="21">
        <f t="shared" si="165"/>
        <v>669760</v>
      </c>
      <c r="AC520" s="130">
        <f t="shared" si="166"/>
        <v>80237.248000000007</v>
      </c>
      <c r="AD520" s="169">
        <v>0.1198</v>
      </c>
      <c r="AE520" s="154">
        <f t="shared" si="167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0"/>
        <v>33477255.428389374</v>
      </c>
      <c r="AJ520" s="19">
        <f t="shared" si="161"/>
        <v>4578663.362915583</v>
      </c>
      <c r="AK520" s="20">
        <f t="shared" si="168"/>
        <v>0.13676937682988152</v>
      </c>
      <c r="AL520" s="17"/>
      <c r="AM520" s="17"/>
      <c r="AN520" s="17"/>
      <c r="AO520" s="17"/>
      <c r="AP520" s="28" t="str">
        <f t="shared" si="169"/>
        <v>20204</v>
      </c>
      <c r="AQ520" s="28" t="str">
        <f t="shared" si="170"/>
        <v>20204JPY</v>
      </c>
      <c r="AR520" s="206" t="str">
        <f t="shared" si="171"/>
        <v>YAMAHA_Mounter</v>
      </c>
      <c r="AS520" s="22">
        <f t="shared" si="172"/>
        <v>3</v>
      </c>
      <c r="AT520" s="24" t="str">
        <f t="shared" si="173"/>
        <v>0-3 months</v>
      </c>
    </row>
    <row r="521" spans="1:46" s="12" customFormat="1">
      <c r="A521" s="33" t="str">
        <f t="shared" si="162"/>
        <v>FY 20/21</v>
      </c>
      <c r="B521" s="152">
        <v>2020</v>
      </c>
      <c r="C521" s="152">
        <v>7</v>
      </c>
      <c r="D521" s="33" t="str">
        <f t="shared" si="163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4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59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58"/>
        <v>12100000</v>
      </c>
      <c r="AA521" s="13">
        <v>7.4899999999999994E-2</v>
      </c>
      <c r="AB521" s="21">
        <f t="shared" si="165"/>
        <v>906289.99999999988</v>
      </c>
      <c r="AC521" s="130">
        <f t="shared" si="166"/>
        <v>91807.176999999996</v>
      </c>
      <c r="AD521" s="169">
        <v>0.1013</v>
      </c>
      <c r="AE521" s="154">
        <f t="shared" si="167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0"/>
        <v>28011162.254106201</v>
      </c>
      <c r="AJ521" s="19">
        <f t="shared" si="161"/>
        <v>3401347.1124888416</v>
      </c>
      <c r="AK521" s="20">
        <f t="shared" si="168"/>
        <v>0.12142827497242578</v>
      </c>
      <c r="AL521" s="17"/>
      <c r="AM521" s="17"/>
      <c r="AN521" s="17"/>
      <c r="AO521" s="17"/>
      <c r="AP521" s="28" t="str">
        <f t="shared" si="169"/>
        <v>202010</v>
      </c>
      <c r="AQ521" s="28" t="str">
        <f t="shared" si="170"/>
        <v>202010JPY</v>
      </c>
      <c r="AR521" s="206" t="str">
        <f t="shared" si="171"/>
        <v>YAMAHA_Mounter</v>
      </c>
      <c r="AS521" s="22">
        <f t="shared" si="172"/>
        <v>3</v>
      </c>
      <c r="AT521" s="24" t="str">
        <f t="shared" si="173"/>
        <v>0-3 months</v>
      </c>
    </row>
    <row r="522" spans="1:46" s="12" customFormat="1">
      <c r="A522" s="33" t="str">
        <f t="shared" si="162"/>
        <v>FY 20/21</v>
      </c>
      <c r="B522" s="152">
        <v>2020</v>
      </c>
      <c r="C522" s="152">
        <v>12</v>
      </c>
      <c r="D522" s="33" t="str">
        <f t="shared" si="163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4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59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58"/>
        <v>11000000</v>
      </c>
      <c r="AA522" s="13">
        <v>7.17E-2</v>
      </c>
      <c r="AB522" s="21">
        <f t="shared" si="165"/>
        <v>788700</v>
      </c>
      <c r="AC522" s="130">
        <f t="shared" si="166"/>
        <v>78081.3</v>
      </c>
      <c r="AD522" s="169">
        <v>9.9000000000000005E-2</v>
      </c>
      <c r="AE522" s="154">
        <f t="shared" si="167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0"/>
        <v>43684091.636631854</v>
      </c>
      <c r="AJ522" s="19">
        <f t="shared" si="161"/>
        <v>6483951.8242071122</v>
      </c>
      <c r="AK522" s="20">
        <f t="shared" si="168"/>
        <v>0.14842821680123736</v>
      </c>
      <c r="AL522" s="17"/>
      <c r="AM522" s="17"/>
      <c r="AN522" s="17"/>
      <c r="AO522" s="17"/>
      <c r="AP522" s="28" t="str">
        <f t="shared" si="169"/>
        <v>20214</v>
      </c>
      <c r="AQ522" s="28" t="str">
        <f t="shared" si="170"/>
        <v>20214JPY</v>
      </c>
      <c r="AR522" s="206" t="str">
        <f t="shared" si="171"/>
        <v>YAMAHA_Mounter</v>
      </c>
      <c r="AS522" s="22">
        <f t="shared" si="172"/>
        <v>4</v>
      </c>
      <c r="AT522" s="24" t="str">
        <f t="shared" si="173"/>
        <v>4-6 months</v>
      </c>
    </row>
    <row r="523" spans="1:46" s="12" customFormat="1">
      <c r="A523" s="33" t="str">
        <f t="shared" si="162"/>
        <v>FY 21/22</v>
      </c>
      <c r="B523" s="152">
        <v>2021</v>
      </c>
      <c r="C523" s="152">
        <v>6</v>
      </c>
      <c r="D523" s="33" t="str">
        <f t="shared" si="163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4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59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58"/>
        <v>12000000</v>
      </c>
      <c r="AA523" s="13">
        <v>6.54E-2</v>
      </c>
      <c r="AB523" s="21">
        <f t="shared" si="165"/>
        <v>784800</v>
      </c>
      <c r="AC523" s="130">
        <f t="shared" si="166"/>
        <v>50227.200000000004</v>
      </c>
      <c r="AD523" s="169">
        <v>6.4000000000000001E-2</v>
      </c>
      <c r="AE523" s="154">
        <f t="shared" si="167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0"/>
        <v>46600814.041769907</v>
      </c>
      <c r="AJ523" s="19">
        <f t="shared" si="161"/>
        <v>5956366.3435927071</v>
      </c>
      <c r="AK523" s="20">
        <f t="shared" si="168"/>
        <v>0.1278167874546958</v>
      </c>
      <c r="AL523" s="17"/>
      <c r="AM523" s="17"/>
      <c r="AN523" s="17"/>
      <c r="AO523" s="17"/>
      <c r="AP523" s="28" t="str">
        <f t="shared" si="169"/>
        <v>20224</v>
      </c>
      <c r="AQ523" s="28" t="str">
        <f t="shared" si="170"/>
        <v>20224JPY</v>
      </c>
      <c r="AR523" s="206" t="str">
        <f t="shared" si="171"/>
        <v>YAMAHA_Mounter</v>
      </c>
      <c r="AS523" s="22">
        <f t="shared" si="172"/>
        <v>10</v>
      </c>
      <c r="AT523" s="24" t="str">
        <f t="shared" si="173"/>
        <v>&gt; 6 months</v>
      </c>
    </row>
    <row r="524" spans="1:46" s="12" customFormat="1">
      <c r="A524" s="33" t="str">
        <f t="shared" si="162"/>
        <v>FY 21/22</v>
      </c>
      <c r="B524" s="152">
        <v>2021</v>
      </c>
      <c r="C524" s="152">
        <v>6</v>
      </c>
      <c r="D524" s="33" t="str">
        <f t="shared" si="163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4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59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58"/>
        <v>8800000</v>
      </c>
      <c r="AA524" s="13">
        <v>6.54E-2</v>
      </c>
      <c r="AB524" s="21">
        <f t="shared" si="165"/>
        <v>575520</v>
      </c>
      <c r="AC524" s="130">
        <f t="shared" si="166"/>
        <v>36833.279999999999</v>
      </c>
      <c r="AD524" s="169">
        <v>6.4000000000000001E-2</v>
      </c>
      <c r="AE524" s="154">
        <f t="shared" si="167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0"/>
        <v>46600814.041769907</v>
      </c>
      <c r="AJ524" s="19">
        <f t="shared" si="161"/>
        <v>5956366.3435927071</v>
      </c>
      <c r="AK524" s="20">
        <f t="shared" si="168"/>
        <v>0.1278167874546958</v>
      </c>
      <c r="AL524" s="17"/>
      <c r="AM524" s="17"/>
      <c r="AN524" s="17"/>
      <c r="AO524" s="17"/>
      <c r="AP524" s="28" t="str">
        <f t="shared" si="169"/>
        <v>20224</v>
      </c>
      <c r="AQ524" s="28" t="str">
        <f t="shared" si="170"/>
        <v>20224JPY</v>
      </c>
      <c r="AR524" s="206" t="str">
        <f t="shared" si="171"/>
        <v>YAMAHA_Mounter</v>
      </c>
      <c r="AS524" s="22">
        <f t="shared" si="172"/>
        <v>10</v>
      </c>
      <c r="AT524" s="24" t="str">
        <f t="shared" si="173"/>
        <v>&gt; 6 months</v>
      </c>
    </row>
    <row r="525" spans="1:46" s="12" customFormat="1">
      <c r="A525" s="33" t="str">
        <f t="shared" si="162"/>
        <v>FY 22/23</v>
      </c>
      <c r="B525" s="152">
        <v>2022</v>
      </c>
      <c r="C525" s="152">
        <v>11</v>
      </c>
      <c r="D525" s="33" t="str">
        <f t="shared" si="163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4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59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58"/>
        <v>513000</v>
      </c>
      <c r="AA525" s="13">
        <v>1.0900000000000001</v>
      </c>
      <c r="AB525" s="21">
        <f t="shared" si="165"/>
        <v>494840.70796460187</v>
      </c>
      <c r="AC525" s="130">
        <f t="shared" si="166"/>
        <v>63883.935398230096</v>
      </c>
      <c r="AD525" s="169">
        <v>0.12909999999999999</v>
      </c>
      <c r="AE525" s="154">
        <f t="shared" si="167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0"/>
        <v>17329060.066371687</v>
      </c>
      <c r="AJ525" s="19">
        <f t="shared" si="161"/>
        <v>2472600.2142256643</v>
      </c>
      <c r="AK525" s="20">
        <f t="shared" si="168"/>
        <v>0.14268518919984163</v>
      </c>
      <c r="AL525" s="17"/>
      <c r="AM525" s="17"/>
      <c r="AN525" s="17"/>
      <c r="AO525" s="17"/>
      <c r="AP525" s="28" t="str">
        <f t="shared" si="169"/>
        <v>202212</v>
      </c>
      <c r="AQ525" s="28" t="str">
        <f t="shared" si="170"/>
        <v>202212RMB</v>
      </c>
      <c r="AR525" s="206" t="str">
        <f t="shared" si="171"/>
        <v>YAMAHA_Mounter</v>
      </c>
      <c r="AS525" s="22">
        <f t="shared" si="172"/>
        <v>1</v>
      </c>
      <c r="AT525" s="24" t="str">
        <f t="shared" si="173"/>
        <v>0-3 months</v>
      </c>
    </row>
    <row r="526" spans="1:46" s="12" customFormat="1">
      <c r="A526" s="33" t="str">
        <f t="shared" si="162"/>
        <v>FY 17/18</v>
      </c>
      <c r="B526" s="152">
        <v>2018</v>
      </c>
      <c r="C526" s="152">
        <v>1</v>
      </c>
      <c r="D526" s="33" t="str">
        <f t="shared" si="163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4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59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58"/>
        <v>1250000</v>
      </c>
      <c r="AA526" s="13">
        <v>1.23</v>
      </c>
      <c r="AB526" s="21">
        <f t="shared" si="165"/>
        <v>1314102.5641025642</v>
      </c>
      <c r="AC526" s="130">
        <f t="shared" si="166"/>
        <v>167548.07692307694</v>
      </c>
      <c r="AD526" s="169">
        <v>0.1275</v>
      </c>
      <c r="AE526" s="154">
        <f t="shared" si="167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0"/>
        <v>29288201.603076916</v>
      </c>
      <c r="AJ526" s="19">
        <f t="shared" si="161"/>
        <v>3870159.1769246152</v>
      </c>
      <c r="AK526" s="20">
        <f t="shared" si="168"/>
        <v>0.13214055370740244</v>
      </c>
      <c r="AL526" s="17"/>
      <c r="AM526" s="17"/>
      <c r="AN526" s="17"/>
      <c r="AO526" s="17"/>
      <c r="AP526" s="28" t="str">
        <f t="shared" si="169"/>
        <v>20184</v>
      </c>
      <c r="AQ526" s="28" t="str">
        <f t="shared" si="170"/>
        <v>20184RMB</v>
      </c>
      <c r="AR526" s="206" t="str">
        <f t="shared" si="171"/>
        <v>YAMAHA_Mounter</v>
      </c>
      <c r="AS526" s="22">
        <f t="shared" si="172"/>
        <v>3</v>
      </c>
      <c r="AT526" s="24" t="str">
        <f t="shared" si="173"/>
        <v>0-3 months</v>
      </c>
    </row>
    <row r="527" spans="1:46" s="12" customFormat="1">
      <c r="A527" s="33" t="str">
        <f t="shared" si="162"/>
        <v>FY 20/21</v>
      </c>
      <c r="B527" s="152">
        <v>2020</v>
      </c>
      <c r="C527" s="152">
        <v>12</v>
      </c>
      <c r="D527" s="33" t="str">
        <f t="shared" si="163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4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59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58"/>
        <v>525000</v>
      </c>
      <c r="AA527" s="13">
        <v>1.2</v>
      </c>
      <c r="AB527" s="21">
        <f t="shared" si="165"/>
        <v>557522.12389380531</v>
      </c>
      <c r="AC527" s="130">
        <f t="shared" si="166"/>
        <v>67237.16814159292</v>
      </c>
      <c r="AD527" s="169">
        <v>0.1206</v>
      </c>
      <c r="AE527" s="154">
        <f t="shared" si="167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0"/>
        <v>57778307.282035396</v>
      </c>
      <c r="AJ527" s="19">
        <f t="shared" si="161"/>
        <v>7259860.7225420559</v>
      </c>
      <c r="AK527" s="20">
        <f t="shared" si="168"/>
        <v>0.12565028406083667</v>
      </c>
      <c r="AL527" s="17"/>
      <c r="AM527" s="17"/>
      <c r="AN527" s="17"/>
      <c r="AO527" s="17"/>
      <c r="AP527" s="28" t="str">
        <f t="shared" si="169"/>
        <v>20213</v>
      </c>
      <c r="AQ527" s="28" t="str">
        <f t="shared" si="170"/>
        <v>20213RMB</v>
      </c>
      <c r="AR527" s="206" t="str">
        <f t="shared" si="171"/>
        <v>YAMAHA_Mounter</v>
      </c>
      <c r="AS527" s="22">
        <f t="shared" si="172"/>
        <v>3</v>
      </c>
      <c r="AT527" s="24" t="str">
        <f t="shared" si="173"/>
        <v>0-3 months</v>
      </c>
    </row>
    <row r="528" spans="1:46" s="12" customFormat="1">
      <c r="A528" s="33" t="str">
        <f t="shared" si="162"/>
        <v>FY 19/20</v>
      </c>
      <c r="B528" s="152">
        <v>2019</v>
      </c>
      <c r="C528" s="152">
        <v>6</v>
      </c>
      <c r="D528" s="33" t="str">
        <f t="shared" si="163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4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59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58"/>
        <v>717700</v>
      </c>
      <c r="AA528" s="13">
        <v>1.095</v>
      </c>
      <c r="AB528" s="21">
        <f t="shared" si="165"/>
        <v>695470.35398230085</v>
      </c>
      <c r="AC528" s="130">
        <f t="shared" si="166"/>
        <v>79283.620353982304</v>
      </c>
      <c r="AD528" s="169">
        <v>0.114</v>
      </c>
      <c r="AE528" s="154">
        <f t="shared" si="167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0"/>
        <v>37599388.802345134</v>
      </c>
      <c r="AJ528" s="19">
        <f t="shared" si="161"/>
        <v>4866784.3630338367</v>
      </c>
      <c r="AK528" s="20">
        <f t="shared" si="168"/>
        <v>0.12943785838163113</v>
      </c>
      <c r="AL528" s="17"/>
      <c r="AM528" s="17"/>
      <c r="AN528" s="17"/>
      <c r="AO528" s="17"/>
      <c r="AP528" s="28" t="str">
        <f t="shared" si="169"/>
        <v>20199</v>
      </c>
      <c r="AQ528" s="28" t="str">
        <f t="shared" si="170"/>
        <v>20199RMB</v>
      </c>
      <c r="AR528" s="206" t="str">
        <f t="shared" si="171"/>
        <v>YAMAHA_Mounter</v>
      </c>
      <c r="AS528" s="22">
        <f t="shared" si="172"/>
        <v>3</v>
      </c>
      <c r="AT528" s="24" t="str">
        <f t="shared" si="173"/>
        <v>0-3 months</v>
      </c>
    </row>
    <row r="529" spans="1:46" s="12" customFormat="1">
      <c r="A529" s="33" t="str">
        <f t="shared" si="162"/>
        <v>FY 19/20</v>
      </c>
      <c r="B529" s="152">
        <v>2019</v>
      </c>
      <c r="C529" s="152">
        <v>6</v>
      </c>
      <c r="D529" s="33" t="str">
        <f t="shared" si="163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4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59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58"/>
        <v>268800</v>
      </c>
      <c r="AA529" s="13">
        <v>1.095</v>
      </c>
      <c r="AB529" s="21">
        <f t="shared" si="165"/>
        <v>260474.33628318584</v>
      </c>
      <c r="AC529" s="130">
        <f t="shared" si="166"/>
        <v>65040.441769911507</v>
      </c>
      <c r="AD529" s="169">
        <v>0.24970000000000001</v>
      </c>
      <c r="AE529" s="154">
        <f t="shared" si="167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0"/>
        <v>37599388.802345134</v>
      </c>
      <c r="AJ529" s="19">
        <f t="shared" si="161"/>
        <v>4866784.3630338367</v>
      </c>
      <c r="AK529" s="20">
        <f t="shared" si="168"/>
        <v>0.12943785838163113</v>
      </c>
      <c r="AL529" s="17"/>
      <c r="AM529" s="17"/>
      <c r="AN529" s="17"/>
      <c r="AO529" s="17"/>
      <c r="AP529" s="28" t="str">
        <f t="shared" si="169"/>
        <v>20199</v>
      </c>
      <c r="AQ529" s="28" t="str">
        <f t="shared" si="170"/>
        <v>20199RMB</v>
      </c>
      <c r="AR529" s="206" t="str">
        <f t="shared" si="171"/>
        <v>LOCAL SUPPLIER</v>
      </c>
      <c r="AS529" s="22">
        <f t="shared" si="172"/>
        <v>3</v>
      </c>
      <c r="AT529" s="24" t="str">
        <f t="shared" si="173"/>
        <v>0-3 months</v>
      </c>
    </row>
    <row r="530" spans="1:46" s="12" customFormat="1">
      <c r="A530" s="33" t="str">
        <f t="shared" si="162"/>
        <v>FY 19/20</v>
      </c>
      <c r="B530" s="152">
        <v>2019</v>
      </c>
      <c r="C530" s="152">
        <v>6</v>
      </c>
      <c r="D530" s="33" t="str">
        <f t="shared" si="163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4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59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58"/>
        <v>31100</v>
      </c>
      <c r="AA530" s="13">
        <v>1.095</v>
      </c>
      <c r="AB530" s="21">
        <f t="shared" si="165"/>
        <v>30136.725663716818</v>
      </c>
      <c r="AC530" s="130">
        <f t="shared" si="166"/>
        <v>7525.1403982300899</v>
      </c>
      <c r="AD530" s="169">
        <v>0.24970000000000001</v>
      </c>
      <c r="AE530" s="154">
        <f t="shared" si="167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0"/>
        <v>37599388.802345134</v>
      </c>
      <c r="AJ530" s="19">
        <f t="shared" si="161"/>
        <v>4866784.3630338367</v>
      </c>
      <c r="AK530" s="20">
        <f t="shared" si="168"/>
        <v>0.12943785838163113</v>
      </c>
      <c r="AL530" s="17"/>
      <c r="AM530" s="17"/>
      <c r="AN530" s="17"/>
      <c r="AO530" s="17"/>
      <c r="AP530" s="28" t="str">
        <f t="shared" si="169"/>
        <v>20199</v>
      </c>
      <c r="AQ530" s="28" t="str">
        <f t="shared" si="170"/>
        <v>20199RMB</v>
      </c>
      <c r="AR530" s="206" t="str">
        <f t="shared" si="171"/>
        <v>LOCAL SUPPLIER</v>
      </c>
      <c r="AS530" s="22">
        <f t="shared" si="172"/>
        <v>3</v>
      </c>
      <c r="AT530" s="24" t="str">
        <f t="shared" si="173"/>
        <v>0-3 months</v>
      </c>
    </row>
    <row r="531" spans="1:46" s="12" customFormat="1">
      <c r="A531" s="33" t="str">
        <f t="shared" si="162"/>
        <v>FY 19/20</v>
      </c>
      <c r="B531" s="152">
        <v>2019</v>
      </c>
      <c r="C531" s="152">
        <v>6</v>
      </c>
      <c r="D531" s="33" t="str">
        <f t="shared" si="163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4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59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58"/>
        <v>35000</v>
      </c>
      <c r="AA531" s="13">
        <v>1.095</v>
      </c>
      <c r="AB531" s="21">
        <f t="shared" si="165"/>
        <v>33915.929203539825</v>
      </c>
      <c r="AC531" s="130">
        <f t="shared" si="166"/>
        <v>8468.8075221238942</v>
      </c>
      <c r="AD531" s="169">
        <v>0.24970000000000001</v>
      </c>
      <c r="AE531" s="154">
        <f t="shared" si="167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0"/>
        <v>37599388.802345134</v>
      </c>
      <c r="AJ531" s="19">
        <f t="shared" si="161"/>
        <v>4866784.3630338367</v>
      </c>
      <c r="AK531" s="20">
        <f t="shared" si="168"/>
        <v>0.12943785838163113</v>
      </c>
      <c r="AL531" s="17"/>
      <c r="AM531" s="17"/>
      <c r="AN531" s="17"/>
      <c r="AO531" s="17"/>
      <c r="AP531" s="28" t="str">
        <f t="shared" si="169"/>
        <v>20199</v>
      </c>
      <c r="AQ531" s="28" t="str">
        <f t="shared" si="170"/>
        <v>20199RMB</v>
      </c>
      <c r="AR531" s="206" t="str">
        <f t="shared" si="171"/>
        <v>LOCAL SUPPLIER</v>
      </c>
      <c r="AS531" s="22">
        <f t="shared" si="172"/>
        <v>3</v>
      </c>
      <c r="AT531" s="24" t="str">
        <f t="shared" si="173"/>
        <v>0-3 months</v>
      </c>
    </row>
    <row r="532" spans="1:46" s="12" customFormat="1">
      <c r="A532" s="33" t="str">
        <f t="shared" si="162"/>
        <v>FY 19/20</v>
      </c>
      <c r="B532" s="152">
        <v>2019</v>
      </c>
      <c r="C532" s="152">
        <v>6</v>
      </c>
      <c r="D532" s="33" t="str">
        <f t="shared" si="163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4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59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58"/>
        <v>455000</v>
      </c>
      <c r="AA532" s="13">
        <v>1.095</v>
      </c>
      <c r="AB532" s="21">
        <f t="shared" si="165"/>
        <v>440907.07964601769</v>
      </c>
      <c r="AC532" s="130">
        <f t="shared" si="166"/>
        <v>110094.49778761061</v>
      </c>
      <c r="AD532" s="169">
        <v>0.24970000000000001</v>
      </c>
      <c r="AE532" s="154">
        <f t="shared" si="167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0"/>
        <v>37599388.802345134</v>
      </c>
      <c r="AJ532" s="19">
        <f t="shared" si="161"/>
        <v>4866784.3630338367</v>
      </c>
      <c r="AK532" s="20">
        <f t="shared" si="168"/>
        <v>0.12943785838163113</v>
      </c>
      <c r="AL532" s="17"/>
      <c r="AM532" s="17"/>
      <c r="AN532" s="17"/>
      <c r="AO532" s="17"/>
      <c r="AP532" s="28" t="str">
        <f t="shared" si="169"/>
        <v>20199</v>
      </c>
      <c r="AQ532" s="28" t="str">
        <f t="shared" si="170"/>
        <v>20199RMB</v>
      </c>
      <c r="AR532" s="206" t="str">
        <f t="shared" si="171"/>
        <v>YAMAHA_Non_Mounter</v>
      </c>
      <c r="AS532" s="22">
        <f t="shared" si="172"/>
        <v>3</v>
      </c>
      <c r="AT532" s="24" t="str">
        <f t="shared" si="173"/>
        <v>0-3 months</v>
      </c>
    </row>
    <row r="533" spans="1:46" s="12" customFormat="1">
      <c r="A533" s="33" t="str">
        <f t="shared" si="162"/>
        <v>FY 19/20</v>
      </c>
      <c r="B533" s="152">
        <v>2019</v>
      </c>
      <c r="C533" s="152">
        <v>6</v>
      </c>
      <c r="D533" s="33" t="str">
        <f t="shared" si="163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4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59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58"/>
        <v>334900</v>
      </c>
      <c r="AA533" s="13">
        <v>1.095</v>
      </c>
      <c r="AB533" s="21">
        <f t="shared" si="165"/>
        <v>324526.99115044251</v>
      </c>
      <c r="AC533" s="130">
        <f t="shared" si="166"/>
        <v>81034.389690265496</v>
      </c>
      <c r="AD533" s="169">
        <v>0.24970000000000001</v>
      </c>
      <c r="AE533" s="154">
        <f t="shared" si="167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0"/>
        <v>37599388.802345134</v>
      </c>
      <c r="AJ533" s="19">
        <f t="shared" si="161"/>
        <v>4866784.3630338367</v>
      </c>
      <c r="AK533" s="20">
        <f t="shared" si="168"/>
        <v>0.12943785838163113</v>
      </c>
      <c r="AL533" s="17"/>
      <c r="AM533" s="17"/>
      <c r="AN533" s="17"/>
      <c r="AO533" s="17"/>
      <c r="AP533" s="28" t="str">
        <f t="shared" si="169"/>
        <v>20199</v>
      </c>
      <c r="AQ533" s="28" t="str">
        <f t="shared" si="170"/>
        <v>20199RMB</v>
      </c>
      <c r="AR533" s="206" t="str">
        <f t="shared" si="171"/>
        <v>HELLER</v>
      </c>
      <c r="AS533" s="22">
        <f t="shared" si="172"/>
        <v>3</v>
      </c>
      <c r="AT533" s="24" t="str">
        <f t="shared" si="173"/>
        <v>0-3 months</v>
      </c>
    </row>
    <row r="534" spans="1:46" s="12" customFormat="1">
      <c r="A534" s="33" t="str">
        <f t="shared" si="162"/>
        <v>FY 19/20</v>
      </c>
      <c r="B534" s="152">
        <v>2019</v>
      </c>
      <c r="C534" s="152">
        <v>6</v>
      </c>
      <c r="D534" s="33" t="str">
        <f t="shared" si="163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4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59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58"/>
        <v>813300</v>
      </c>
      <c r="AA534" s="13">
        <v>1.095</v>
      </c>
      <c r="AB534" s="21">
        <f t="shared" si="165"/>
        <v>788109.29203539831</v>
      </c>
      <c r="AC534" s="130">
        <f t="shared" si="166"/>
        <v>196790.89022123895</v>
      </c>
      <c r="AD534" s="169">
        <v>0.24970000000000001</v>
      </c>
      <c r="AE534" s="154">
        <f t="shared" si="167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0"/>
        <v>37599388.802345134</v>
      </c>
      <c r="AJ534" s="19">
        <f t="shared" si="161"/>
        <v>4866784.3630338367</v>
      </c>
      <c r="AK534" s="20">
        <f t="shared" si="168"/>
        <v>0.12943785838163113</v>
      </c>
      <c r="AL534" s="17"/>
      <c r="AM534" s="17"/>
      <c r="AN534" s="17"/>
      <c r="AO534" s="17"/>
      <c r="AP534" s="28" t="str">
        <f t="shared" si="169"/>
        <v>20199</v>
      </c>
      <c r="AQ534" s="28" t="str">
        <f t="shared" si="170"/>
        <v>20199RMB</v>
      </c>
      <c r="AR534" s="206" t="str">
        <f t="shared" si="171"/>
        <v>YAMAHA_Non_Mounter</v>
      </c>
      <c r="AS534" s="22">
        <f t="shared" si="172"/>
        <v>3</v>
      </c>
      <c r="AT534" s="24" t="str">
        <f t="shared" si="173"/>
        <v>0-3 months</v>
      </c>
    </row>
    <row r="535" spans="1:46" s="12" customFormat="1">
      <c r="A535" s="33" t="str">
        <f t="shared" si="162"/>
        <v>FY 22/23</v>
      </c>
      <c r="B535" s="152">
        <v>2023</v>
      </c>
      <c r="C535" s="152">
        <v>2</v>
      </c>
      <c r="D535" s="33" t="str">
        <f t="shared" si="163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4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59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58"/>
        <v>850000</v>
      </c>
      <c r="AA535" s="13">
        <v>1.1399999999999999</v>
      </c>
      <c r="AB535" s="21">
        <f t="shared" si="165"/>
        <v>857522.12389380531</v>
      </c>
      <c r="AC535" s="130">
        <f t="shared" si="166"/>
        <v>65943.45132743362</v>
      </c>
      <c r="AD535" s="169">
        <v>7.6899999999999996E-2</v>
      </c>
      <c r="AE535" s="154">
        <f t="shared" si="167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0"/>
        <v>30573205.452778768</v>
      </c>
      <c r="AJ535" s="19">
        <f t="shared" si="161"/>
        <v>3790930.1683151261</v>
      </c>
      <c r="AK535" s="20">
        <f t="shared" si="168"/>
        <v>0.12399518179964254</v>
      </c>
      <c r="AL535" s="17"/>
      <c r="AM535" s="17"/>
      <c r="AN535" s="17"/>
      <c r="AO535" s="17"/>
      <c r="AP535" s="28" t="str">
        <f t="shared" si="169"/>
        <v>20234</v>
      </c>
      <c r="AQ535" s="28" t="str">
        <f t="shared" si="170"/>
        <v>20234RMB</v>
      </c>
      <c r="AR535" s="206" t="str">
        <f t="shared" si="171"/>
        <v>YAMAHA_Mounter</v>
      </c>
      <c r="AS535" s="22">
        <f t="shared" si="172"/>
        <v>2</v>
      </c>
      <c r="AT535" s="24" t="str">
        <f t="shared" si="173"/>
        <v>0-3 months</v>
      </c>
    </row>
    <row r="536" spans="1:46" s="12" customFormat="1">
      <c r="A536" s="33" t="str">
        <f t="shared" si="162"/>
        <v>FY 22/23</v>
      </c>
      <c r="B536" s="152">
        <v>2023</v>
      </c>
      <c r="C536" s="152">
        <v>2</v>
      </c>
      <c r="D536" s="33" t="str">
        <f t="shared" si="163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4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59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58"/>
        <v>500000</v>
      </c>
      <c r="AA536" s="13">
        <v>1.1399999999999999</v>
      </c>
      <c r="AB536" s="21">
        <f t="shared" si="165"/>
        <v>504424.77876106196</v>
      </c>
      <c r="AC536" s="130">
        <f t="shared" si="166"/>
        <v>38790.265486725664</v>
      </c>
      <c r="AD536" s="169">
        <v>7.6899999999999996E-2</v>
      </c>
      <c r="AE536" s="154">
        <f t="shared" si="167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0"/>
        <v>30573205.452778768</v>
      </c>
      <c r="AJ536" s="19">
        <f t="shared" si="161"/>
        <v>3790930.1683151261</v>
      </c>
      <c r="AK536" s="20">
        <f t="shared" si="168"/>
        <v>0.12399518179964254</v>
      </c>
      <c r="AL536" s="17"/>
      <c r="AM536" s="17"/>
      <c r="AN536" s="17"/>
      <c r="AO536" s="17"/>
      <c r="AP536" s="28" t="str">
        <f t="shared" si="169"/>
        <v>20234</v>
      </c>
      <c r="AQ536" s="28" t="str">
        <f t="shared" si="170"/>
        <v>20234RMB</v>
      </c>
      <c r="AR536" s="206" t="str">
        <f t="shared" si="171"/>
        <v>YAMAHA_Mounter</v>
      </c>
      <c r="AS536" s="22">
        <f t="shared" si="172"/>
        <v>2</v>
      </c>
      <c r="AT536" s="24" t="str">
        <f t="shared" si="173"/>
        <v>0-3 months</v>
      </c>
    </row>
    <row r="537" spans="1:46" s="12" customFormat="1">
      <c r="A537" s="33" t="str">
        <f t="shared" si="162"/>
        <v>FY 19/20</v>
      </c>
      <c r="B537" s="152">
        <v>2019</v>
      </c>
      <c r="C537" s="152">
        <v>6</v>
      </c>
      <c r="D537" s="33" t="str">
        <f t="shared" si="163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4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59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58"/>
        <v>1000000</v>
      </c>
      <c r="AA537" s="13">
        <v>1.135</v>
      </c>
      <c r="AB537" s="21">
        <f t="shared" si="165"/>
        <v>1004424.7787610621</v>
      </c>
      <c r="AC537" s="130">
        <f t="shared" si="166"/>
        <v>80856.194690265504</v>
      </c>
      <c r="AD537" s="169">
        <v>8.0500000000000002E-2</v>
      </c>
      <c r="AE537" s="154">
        <f t="shared" si="167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0"/>
        <v>21386017.707964607</v>
      </c>
      <c r="AJ537" s="19">
        <f t="shared" si="161"/>
        <v>2238764.3265707968</v>
      </c>
      <c r="AK537" s="20">
        <f t="shared" si="168"/>
        <v>0.10468355339185161</v>
      </c>
      <c r="AL537" s="17"/>
      <c r="AM537" s="17"/>
      <c r="AN537" s="17"/>
      <c r="AO537" s="17"/>
      <c r="AP537" s="28" t="str">
        <f t="shared" si="169"/>
        <v>20198</v>
      </c>
      <c r="AQ537" s="28" t="str">
        <f t="shared" si="170"/>
        <v>20198RMB</v>
      </c>
      <c r="AR537" s="206" t="str">
        <f t="shared" si="171"/>
        <v>YAMAHA_Mounter</v>
      </c>
      <c r="AS537" s="22">
        <f t="shared" si="172"/>
        <v>2</v>
      </c>
      <c r="AT537" s="24" t="str">
        <f t="shared" si="173"/>
        <v>0-3 months</v>
      </c>
    </row>
    <row r="538" spans="1:46" s="12" customFormat="1">
      <c r="A538" s="33" t="str">
        <f t="shared" si="162"/>
        <v>FY 19/20</v>
      </c>
      <c r="B538" s="152">
        <v>2019</v>
      </c>
      <c r="C538" s="152">
        <v>6</v>
      </c>
      <c r="D538" s="33" t="str">
        <f t="shared" si="163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4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59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58"/>
        <v>1000000</v>
      </c>
      <c r="AA538" s="13">
        <v>1.135</v>
      </c>
      <c r="AB538" s="21">
        <f t="shared" si="165"/>
        <v>1004424.7787610621</v>
      </c>
      <c r="AC538" s="130">
        <f t="shared" si="166"/>
        <v>80856.194690265504</v>
      </c>
      <c r="AD538" s="169">
        <v>8.0500000000000002E-2</v>
      </c>
      <c r="AE538" s="154">
        <f t="shared" si="167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0"/>
        <v>21386017.707964607</v>
      </c>
      <c r="AJ538" s="19">
        <f t="shared" si="161"/>
        <v>2238764.3265707968</v>
      </c>
      <c r="AK538" s="20">
        <f t="shared" si="168"/>
        <v>0.10468355339185161</v>
      </c>
      <c r="AL538" s="17"/>
      <c r="AM538" s="17"/>
      <c r="AN538" s="17"/>
      <c r="AO538" s="17"/>
      <c r="AP538" s="28" t="str">
        <f t="shared" si="169"/>
        <v>20198</v>
      </c>
      <c r="AQ538" s="28" t="str">
        <f t="shared" si="170"/>
        <v>20198RMB</v>
      </c>
      <c r="AR538" s="206" t="str">
        <f t="shared" si="171"/>
        <v>YAMAHA_Mounter</v>
      </c>
      <c r="AS538" s="22">
        <f t="shared" si="172"/>
        <v>2</v>
      </c>
      <c r="AT538" s="24" t="str">
        <f t="shared" si="173"/>
        <v>0-3 months</v>
      </c>
    </row>
    <row r="539" spans="1:46" s="12" customFormat="1">
      <c r="A539" s="33" t="str">
        <f t="shared" si="162"/>
        <v>FY 19/20</v>
      </c>
      <c r="B539" s="152">
        <v>2019</v>
      </c>
      <c r="C539" s="152">
        <v>6</v>
      </c>
      <c r="D539" s="33" t="str">
        <f t="shared" si="163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4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59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58"/>
        <v>1515530</v>
      </c>
      <c r="AA539" s="13">
        <v>1.135</v>
      </c>
      <c r="AB539" s="21">
        <f t="shared" si="165"/>
        <v>1522235.8849557522</v>
      </c>
      <c r="AC539" s="130">
        <f t="shared" si="166"/>
        <v>122539.98873893806</v>
      </c>
      <c r="AD539" s="169">
        <v>8.0500000000000002E-2</v>
      </c>
      <c r="AE539" s="154">
        <f t="shared" si="167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0"/>
        <v>21386017.707964607</v>
      </c>
      <c r="AJ539" s="19">
        <f t="shared" si="161"/>
        <v>2238764.3265707968</v>
      </c>
      <c r="AK539" s="20">
        <f t="shared" si="168"/>
        <v>0.10468355339185161</v>
      </c>
      <c r="AL539" s="17"/>
      <c r="AM539" s="17"/>
      <c r="AN539" s="17"/>
      <c r="AO539" s="17"/>
      <c r="AP539" s="28" t="str">
        <f t="shared" si="169"/>
        <v>20198</v>
      </c>
      <c r="AQ539" s="28" t="str">
        <f t="shared" si="170"/>
        <v>20198RMB</v>
      </c>
      <c r="AR539" s="206" t="str">
        <f t="shared" si="171"/>
        <v>YAMAHA_Mounter</v>
      </c>
      <c r="AS539" s="22">
        <f t="shared" si="172"/>
        <v>2</v>
      </c>
      <c r="AT539" s="24" t="str">
        <f t="shared" si="173"/>
        <v>0-3 months</v>
      </c>
    </row>
    <row r="540" spans="1:46" s="12" customFormat="1">
      <c r="A540" s="33" t="str">
        <f t="shared" si="162"/>
        <v/>
      </c>
      <c r="B540" s="152" t="s">
        <v>2585</v>
      </c>
      <c r="C540" s="152" t="s">
        <v>2585</v>
      </c>
      <c r="D540" s="33" t="b">
        <f t="shared" si="163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4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59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58"/>
        <v>900000</v>
      </c>
      <c r="AA540" s="13">
        <v>1.095</v>
      </c>
      <c r="AB540" s="21">
        <f t="shared" si="165"/>
        <v>872123.89380530978</v>
      </c>
      <c r="AC540" s="130">
        <f t="shared" si="166"/>
        <v>104654.86725663717</v>
      </c>
      <c r="AD540" s="169">
        <v>0.12</v>
      </c>
      <c r="AE540" s="154">
        <f t="shared" si="167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0"/>
        <v>16602721.68141593</v>
      </c>
      <c r="AJ540" s="19">
        <f t="shared" si="161"/>
        <v>1923201.4867699118</v>
      </c>
      <c r="AK540" s="20">
        <f t="shared" si="168"/>
        <v>0.11583651907642503</v>
      </c>
      <c r="AL540" s="17"/>
      <c r="AM540" s="17"/>
      <c r="AN540" s="17"/>
      <c r="AO540" s="17"/>
      <c r="AP540" s="28" t="str">
        <f t="shared" si="169"/>
        <v>TBATBA</v>
      </c>
      <c r="AQ540" s="28" t="str">
        <f t="shared" si="170"/>
        <v>TBATBARMB</v>
      </c>
      <c r="AR540" s="206" t="str">
        <f t="shared" si="171"/>
        <v>YAMAHA_Mounter</v>
      </c>
      <c r="AS540" s="22" t="str">
        <f t="shared" si="172"/>
        <v/>
      </c>
      <c r="AT540" s="24" t="str">
        <f t="shared" si="173"/>
        <v/>
      </c>
    </row>
    <row r="541" spans="1:46" s="12" customFormat="1">
      <c r="A541" s="33" t="str">
        <f t="shared" si="162"/>
        <v/>
      </c>
      <c r="B541" s="152" t="s">
        <v>2585</v>
      </c>
      <c r="C541" s="152" t="s">
        <v>2585</v>
      </c>
      <c r="D541" s="33" t="b">
        <f t="shared" si="163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4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59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58"/>
        <v>600000</v>
      </c>
      <c r="AA541" s="13">
        <v>1.095</v>
      </c>
      <c r="AB541" s="21">
        <f t="shared" si="165"/>
        <v>581415.92920353985</v>
      </c>
      <c r="AC541" s="130">
        <f t="shared" si="166"/>
        <v>69769.911504424774</v>
      </c>
      <c r="AD541" s="169">
        <v>0.12</v>
      </c>
      <c r="AE541" s="154">
        <f t="shared" si="167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0"/>
        <v>16602721.68141593</v>
      </c>
      <c r="AJ541" s="19">
        <f t="shared" si="161"/>
        <v>1923201.4867699118</v>
      </c>
      <c r="AK541" s="20">
        <f t="shared" si="168"/>
        <v>0.11583651907642503</v>
      </c>
      <c r="AL541" s="17"/>
      <c r="AM541" s="17"/>
      <c r="AN541" s="17"/>
      <c r="AO541" s="17"/>
      <c r="AP541" s="28" t="str">
        <f t="shared" si="169"/>
        <v>TBATBA</v>
      </c>
      <c r="AQ541" s="28" t="str">
        <f t="shared" si="170"/>
        <v>TBATBARMB</v>
      </c>
      <c r="AR541" s="206" t="str">
        <f t="shared" si="171"/>
        <v>YAMAHA_Mounter</v>
      </c>
      <c r="AS541" s="22" t="str">
        <f t="shared" si="172"/>
        <v/>
      </c>
      <c r="AT541" s="24" t="str">
        <f t="shared" si="173"/>
        <v/>
      </c>
    </row>
    <row r="542" spans="1:46" s="12" customFormat="1">
      <c r="A542" s="33" t="str">
        <f t="shared" si="162"/>
        <v/>
      </c>
      <c r="B542" s="152" t="s">
        <v>2585</v>
      </c>
      <c r="C542" s="152" t="s">
        <v>2585</v>
      </c>
      <c r="D542" s="33" t="b">
        <f t="shared" si="163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4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59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58"/>
        <v>600000</v>
      </c>
      <c r="AA542" s="13">
        <v>1.095</v>
      </c>
      <c r="AB542" s="21">
        <f t="shared" si="165"/>
        <v>581415.92920353985</v>
      </c>
      <c r="AC542" s="130">
        <f t="shared" si="166"/>
        <v>69769.911504424774</v>
      </c>
      <c r="AD542" s="169">
        <v>0.12</v>
      </c>
      <c r="AE542" s="154">
        <f t="shared" si="167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0"/>
        <v>16602721.68141593</v>
      </c>
      <c r="AJ542" s="19">
        <f t="shared" si="161"/>
        <v>1923201.4867699118</v>
      </c>
      <c r="AK542" s="20">
        <f t="shared" si="168"/>
        <v>0.11583651907642503</v>
      </c>
      <c r="AL542" s="17"/>
      <c r="AM542" s="17"/>
      <c r="AN542" s="17"/>
      <c r="AO542" s="17"/>
      <c r="AP542" s="28" t="str">
        <f t="shared" si="169"/>
        <v>TBATBA</v>
      </c>
      <c r="AQ542" s="28" t="str">
        <f t="shared" si="170"/>
        <v>TBATBARMB</v>
      </c>
      <c r="AR542" s="206" t="str">
        <f t="shared" si="171"/>
        <v>YAMAHA_Mounter</v>
      </c>
      <c r="AS542" s="22" t="str">
        <f t="shared" si="172"/>
        <v/>
      </c>
      <c r="AT542" s="24" t="str">
        <f t="shared" si="173"/>
        <v/>
      </c>
    </row>
    <row r="543" spans="1:46" s="12" customFormat="1">
      <c r="A543" s="33" t="str">
        <f t="shared" si="162"/>
        <v>FY 22/23</v>
      </c>
      <c r="B543" s="152">
        <v>2022</v>
      </c>
      <c r="C543" s="152">
        <v>10</v>
      </c>
      <c r="D543" s="33" t="str">
        <f t="shared" si="163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4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59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58"/>
        <v>336000</v>
      </c>
      <c r="AA543" s="13">
        <v>1.08</v>
      </c>
      <c r="AB543" s="21">
        <f t="shared" si="165"/>
        <v>321132.74336283188</v>
      </c>
      <c r="AC543" s="130">
        <f t="shared" si="166"/>
        <v>35131.922123893804</v>
      </c>
      <c r="AD543" s="169">
        <v>0.1094</v>
      </c>
      <c r="AE543" s="154">
        <f t="shared" si="167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0"/>
        <v>31017966.201968137</v>
      </c>
      <c r="AJ543" s="19">
        <f t="shared" si="161"/>
        <v>4704250.3347305888</v>
      </c>
      <c r="AK543" s="20">
        <f t="shared" si="168"/>
        <v>0.15166211427595458</v>
      </c>
      <c r="AL543" s="17"/>
      <c r="AM543" s="17"/>
      <c r="AN543" s="17"/>
      <c r="AO543" s="17"/>
      <c r="AP543" s="28" t="str">
        <f t="shared" si="169"/>
        <v>202211</v>
      </c>
      <c r="AQ543" s="28" t="str">
        <f t="shared" si="170"/>
        <v>202211RMB</v>
      </c>
      <c r="AR543" s="206" t="str">
        <f t="shared" si="171"/>
        <v>HELLER</v>
      </c>
      <c r="AS543" s="22">
        <f t="shared" si="172"/>
        <v>1</v>
      </c>
      <c r="AT543" s="24" t="str">
        <f t="shared" si="173"/>
        <v>0-3 months</v>
      </c>
    </row>
    <row r="544" spans="1:46" s="12" customFormat="1">
      <c r="A544" s="33" t="str">
        <f t="shared" si="162"/>
        <v>FY 20/21</v>
      </c>
      <c r="B544" s="152">
        <v>2021</v>
      </c>
      <c r="C544" s="152">
        <v>3</v>
      </c>
      <c r="D544" s="33" t="str">
        <f t="shared" si="163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4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59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4">IF(W544="RMB","1.13", "1")</f>
        <v>1.13</v>
      </c>
      <c r="Z544" s="18">
        <f t="shared" si="158"/>
        <v>772600</v>
      </c>
      <c r="AA544" s="13">
        <v>1.1950000000000001</v>
      </c>
      <c r="AB544" s="21">
        <f t="shared" si="165"/>
        <v>817041.5929203541</v>
      </c>
      <c r="AC544" s="130">
        <f t="shared" si="166"/>
        <v>132033.92141592922</v>
      </c>
      <c r="AD544" s="169">
        <v>0.16159999999999999</v>
      </c>
      <c r="AE544" s="154">
        <f t="shared" si="167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0"/>
        <v>63006605.696460173</v>
      </c>
      <c r="AJ544" s="19">
        <f t="shared" si="161"/>
        <v>8897485.660753984</v>
      </c>
      <c r="AK544" s="20">
        <f t="shared" si="168"/>
        <v>0.141215124388995</v>
      </c>
      <c r="AL544" s="17"/>
      <c r="AM544" s="17"/>
      <c r="AN544" s="17"/>
      <c r="AO544" s="17"/>
      <c r="AP544" s="28" t="str">
        <f t="shared" si="169"/>
        <v>20215</v>
      </c>
      <c r="AQ544" s="28" t="str">
        <f t="shared" si="170"/>
        <v>20215RMB</v>
      </c>
      <c r="AR544" s="206" t="str">
        <f t="shared" si="171"/>
        <v>YAMAHA_Mounter</v>
      </c>
      <c r="AS544" s="22">
        <f t="shared" si="172"/>
        <v>2</v>
      </c>
      <c r="AT544" s="24" t="str">
        <f t="shared" si="173"/>
        <v>0-3 months</v>
      </c>
    </row>
    <row r="545" spans="1:46" s="12" customFormat="1">
      <c r="A545" s="33" t="str">
        <f t="shared" si="162"/>
        <v>FY 21/22</v>
      </c>
      <c r="B545" s="152">
        <v>2021</v>
      </c>
      <c r="C545" s="152">
        <v>12</v>
      </c>
      <c r="D545" s="33" t="str">
        <f t="shared" si="163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4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59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4"/>
        <v>1.13</v>
      </c>
      <c r="Z545" s="18">
        <f t="shared" si="158"/>
        <v>730000</v>
      </c>
      <c r="AA545" s="13">
        <v>1.1950000000000001</v>
      </c>
      <c r="AB545" s="21">
        <f t="shared" si="165"/>
        <v>771991.15044247801</v>
      </c>
      <c r="AC545" s="130">
        <f t="shared" si="166"/>
        <v>123827.38053097346</v>
      </c>
      <c r="AD545" s="169">
        <v>0.16039999999999999</v>
      </c>
      <c r="AE545" s="154">
        <f t="shared" si="167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0"/>
        <v>44014086.982070789</v>
      </c>
      <c r="AJ545" s="19">
        <f t="shared" si="161"/>
        <v>6419974.0221889298</v>
      </c>
      <c r="AK545" s="20">
        <f t="shared" si="168"/>
        <v>0.14586180158193709</v>
      </c>
      <c r="AL545" s="17"/>
      <c r="AM545" s="17"/>
      <c r="AN545" s="17"/>
      <c r="AO545" s="17"/>
      <c r="AP545" s="28" t="str">
        <f t="shared" si="169"/>
        <v>20225</v>
      </c>
      <c r="AQ545" s="28" t="str">
        <f t="shared" si="170"/>
        <v>20225RMB</v>
      </c>
      <c r="AR545" s="206" t="str">
        <f t="shared" si="171"/>
        <v>YAMAHA_Mounter</v>
      </c>
      <c r="AS545" s="22">
        <f t="shared" si="172"/>
        <v>5</v>
      </c>
      <c r="AT545" s="24" t="str">
        <f t="shared" si="173"/>
        <v>4-6 months</v>
      </c>
    </row>
    <row r="546" spans="1:46" s="12" customFormat="1">
      <c r="A546" s="33" t="str">
        <f t="shared" si="162"/>
        <v>FY 20/21</v>
      </c>
      <c r="B546" s="152">
        <v>2020</v>
      </c>
      <c r="C546" s="152">
        <v>10</v>
      </c>
      <c r="D546" s="33" t="str">
        <f t="shared" si="163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4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59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4"/>
        <v>1.13</v>
      </c>
      <c r="Z546" s="18">
        <f t="shared" si="158"/>
        <v>900000</v>
      </c>
      <c r="AA546" s="13">
        <v>1.175</v>
      </c>
      <c r="AB546" s="21">
        <f t="shared" si="165"/>
        <v>935840.70796460181</v>
      </c>
      <c r="AC546" s="130">
        <f t="shared" si="166"/>
        <v>86378.097345132745</v>
      </c>
      <c r="AD546" s="169">
        <v>9.2299999999999993E-2</v>
      </c>
      <c r="AE546" s="154">
        <f t="shared" si="167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0"/>
        <v>48763143.537654862</v>
      </c>
      <c r="AJ546" s="19">
        <f t="shared" si="161"/>
        <v>5924029.9702154724</v>
      </c>
      <c r="AK546" s="20">
        <f t="shared" si="168"/>
        <v>0.1214858095774925</v>
      </c>
      <c r="AL546" s="17"/>
      <c r="AM546" s="17"/>
      <c r="AN546" s="17"/>
      <c r="AO546" s="17"/>
      <c r="AP546" s="28" t="str">
        <f t="shared" si="169"/>
        <v>202012</v>
      </c>
      <c r="AQ546" s="28" t="str">
        <f t="shared" si="170"/>
        <v>202012RMB</v>
      </c>
      <c r="AR546" s="206" t="str">
        <f t="shared" si="171"/>
        <v>YAMAHA_Mounter</v>
      </c>
      <c r="AS546" s="22">
        <f t="shared" si="172"/>
        <v>2</v>
      </c>
      <c r="AT546" s="24" t="str">
        <f t="shared" si="173"/>
        <v>0-3 months</v>
      </c>
    </row>
    <row r="547" spans="1:46" s="12" customFormat="1">
      <c r="A547" s="33" t="str">
        <f t="shared" si="162"/>
        <v>FY 20/21</v>
      </c>
      <c r="B547" s="152">
        <v>2020</v>
      </c>
      <c r="C547" s="152">
        <v>10</v>
      </c>
      <c r="D547" s="33" t="str">
        <f t="shared" si="163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4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59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4"/>
        <v>1.13</v>
      </c>
      <c r="Z547" s="18">
        <f t="shared" si="158"/>
        <v>900000</v>
      </c>
      <c r="AA547" s="13">
        <v>1.175</v>
      </c>
      <c r="AB547" s="21">
        <f t="shared" si="165"/>
        <v>935840.70796460181</v>
      </c>
      <c r="AC547" s="130">
        <f t="shared" si="166"/>
        <v>86378.097345132745</v>
      </c>
      <c r="AD547" s="169">
        <v>9.2299999999999993E-2</v>
      </c>
      <c r="AE547" s="154">
        <f t="shared" si="167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0"/>
        <v>48763143.537654862</v>
      </c>
      <c r="AJ547" s="19">
        <f t="shared" si="161"/>
        <v>5924029.9702154724</v>
      </c>
      <c r="AK547" s="20">
        <f t="shared" si="168"/>
        <v>0.1214858095774925</v>
      </c>
      <c r="AL547" s="17"/>
      <c r="AM547" s="17"/>
      <c r="AN547" s="17"/>
      <c r="AO547" s="17"/>
      <c r="AP547" s="28" t="str">
        <f t="shared" si="169"/>
        <v>202012</v>
      </c>
      <c r="AQ547" s="28" t="str">
        <f t="shared" si="170"/>
        <v>202012RMB</v>
      </c>
      <c r="AR547" s="206" t="str">
        <f t="shared" si="171"/>
        <v>YAMAHA_Mounter</v>
      </c>
      <c r="AS547" s="22">
        <f t="shared" si="172"/>
        <v>2</v>
      </c>
      <c r="AT547" s="24" t="str">
        <f t="shared" si="173"/>
        <v>0-3 months</v>
      </c>
    </row>
    <row r="548" spans="1:46" s="12" customFormat="1">
      <c r="A548" s="33" t="str">
        <f t="shared" si="162"/>
        <v>FY 20/21</v>
      </c>
      <c r="B548" s="152">
        <v>2020</v>
      </c>
      <c r="C548" s="152">
        <v>10</v>
      </c>
      <c r="D548" s="33" t="str">
        <f t="shared" si="163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4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59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4"/>
        <v>1.13</v>
      </c>
      <c r="Z548" s="18">
        <f t="shared" si="158"/>
        <v>978000</v>
      </c>
      <c r="AA548" s="13">
        <v>1.175</v>
      </c>
      <c r="AB548" s="21">
        <f t="shared" si="165"/>
        <v>1016946.9026548674</v>
      </c>
      <c r="AC548" s="130">
        <f t="shared" si="166"/>
        <v>93864.199115044248</v>
      </c>
      <c r="AD548" s="169">
        <v>9.2299999999999993E-2</v>
      </c>
      <c r="AE548" s="154">
        <f t="shared" si="167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0"/>
        <v>48763143.537654862</v>
      </c>
      <c r="AJ548" s="19">
        <f t="shared" si="161"/>
        <v>5924029.9702154724</v>
      </c>
      <c r="AK548" s="20">
        <f t="shared" si="168"/>
        <v>0.1214858095774925</v>
      </c>
      <c r="AL548" s="17"/>
      <c r="AM548" s="17"/>
      <c r="AN548" s="17"/>
      <c r="AO548" s="17"/>
      <c r="AP548" s="28" t="str">
        <f t="shared" si="169"/>
        <v>202012</v>
      </c>
      <c r="AQ548" s="28" t="str">
        <f t="shared" si="170"/>
        <v>202012RMB</v>
      </c>
      <c r="AR548" s="206" t="str">
        <f t="shared" si="171"/>
        <v>YAMAHA_Mounter</v>
      </c>
      <c r="AS548" s="22">
        <f t="shared" si="172"/>
        <v>2</v>
      </c>
      <c r="AT548" s="24" t="str">
        <f t="shared" si="173"/>
        <v>0-3 months</v>
      </c>
    </row>
    <row r="549" spans="1:46" s="12" customFormat="1">
      <c r="A549" s="33" t="str">
        <f t="shared" si="162"/>
        <v>FY 22/23</v>
      </c>
      <c r="B549" s="152">
        <v>2022</v>
      </c>
      <c r="C549" s="152">
        <v>12</v>
      </c>
      <c r="D549" s="33" t="str">
        <f t="shared" si="163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4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59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4"/>
        <v>1.13</v>
      </c>
      <c r="Z549" s="18">
        <f t="shared" si="158"/>
        <v>1040000</v>
      </c>
      <c r="AA549" s="13">
        <v>1.105</v>
      </c>
      <c r="AB549" s="21">
        <f t="shared" si="165"/>
        <v>1016991.1504424779</v>
      </c>
      <c r="AC549" s="130">
        <f t="shared" si="166"/>
        <v>122038.93805309734</v>
      </c>
      <c r="AD549" s="169">
        <v>0.12</v>
      </c>
      <c r="AE549" s="154">
        <f t="shared" si="167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0"/>
        <v>477651199.57437885</v>
      </c>
      <c r="AJ549" s="19">
        <f t="shared" si="161"/>
        <v>56918800.518691957</v>
      </c>
      <c r="AK549" s="20">
        <f t="shared" si="168"/>
        <v>0.11916394341605475</v>
      </c>
      <c r="AL549" s="17"/>
      <c r="AM549" s="17"/>
      <c r="AN549" s="17"/>
      <c r="AO549" s="17"/>
      <c r="AP549" s="28" t="str">
        <f t="shared" si="169"/>
        <v>CancelCANCEL</v>
      </c>
      <c r="AQ549" s="28" t="str">
        <f t="shared" si="170"/>
        <v>CancelCANCELRMB</v>
      </c>
      <c r="AR549" s="206" t="str">
        <f t="shared" si="171"/>
        <v>YAMAHA_Mounter</v>
      </c>
      <c r="AS549" s="22" t="str">
        <f t="shared" si="172"/>
        <v/>
      </c>
      <c r="AT549" s="24" t="str">
        <f t="shared" si="173"/>
        <v/>
      </c>
    </row>
    <row r="550" spans="1:46" s="12" customFormat="1">
      <c r="A550" s="33" t="str">
        <f t="shared" si="162"/>
        <v>FY 22/23</v>
      </c>
      <c r="B550" s="152">
        <v>2022</v>
      </c>
      <c r="C550" s="152">
        <v>12</v>
      </c>
      <c r="D550" s="33" t="str">
        <f t="shared" si="163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4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59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4"/>
        <v>1.13</v>
      </c>
      <c r="Z550" s="18">
        <f t="shared" si="158"/>
        <v>900000</v>
      </c>
      <c r="AA550" s="13">
        <v>1.105</v>
      </c>
      <c r="AB550" s="21">
        <f t="shared" si="165"/>
        <v>880088.49557522126</v>
      </c>
      <c r="AC550" s="130">
        <f t="shared" si="166"/>
        <v>105610.61946902654</v>
      </c>
      <c r="AD550" s="169">
        <v>0.12</v>
      </c>
      <c r="AE550" s="154">
        <f t="shared" si="167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0"/>
        <v>477651199.57437885</v>
      </c>
      <c r="AJ550" s="19">
        <f t="shared" si="161"/>
        <v>56918800.518691957</v>
      </c>
      <c r="AK550" s="20">
        <f t="shared" si="168"/>
        <v>0.11916394341605475</v>
      </c>
      <c r="AL550" s="17"/>
      <c r="AM550" s="17"/>
      <c r="AN550" s="17"/>
      <c r="AO550" s="17"/>
      <c r="AP550" s="28" t="str">
        <f t="shared" si="169"/>
        <v>CancelCANCEL</v>
      </c>
      <c r="AQ550" s="28" t="str">
        <f t="shared" si="170"/>
        <v>CancelCANCELRMB</v>
      </c>
      <c r="AR550" s="206" t="str">
        <f t="shared" si="171"/>
        <v>YAMAHA_Mounter</v>
      </c>
      <c r="AS550" s="22" t="str">
        <f t="shared" si="172"/>
        <v/>
      </c>
      <c r="AT550" s="24" t="str">
        <f t="shared" si="173"/>
        <v/>
      </c>
    </row>
    <row r="551" spans="1:46" s="12" customFormat="1">
      <c r="A551" s="33" t="str">
        <f t="shared" si="162"/>
        <v>FY 23/24</v>
      </c>
      <c r="B551" s="152">
        <v>2023</v>
      </c>
      <c r="C551" s="152">
        <v>8</v>
      </c>
      <c r="D551" s="33" t="str">
        <f t="shared" si="163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4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59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4"/>
        <v>1.13</v>
      </c>
      <c r="Z551" s="18">
        <f t="shared" si="158"/>
        <v>655000</v>
      </c>
      <c r="AA551" s="13">
        <v>1.077</v>
      </c>
      <c r="AB551" s="21">
        <f t="shared" si="165"/>
        <v>624278.76106194698</v>
      </c>
      <c r="AC551" s="130">
        <f t="shared" si="166"/>
        <v>60617.467699115055</v>
      </c>
      <c r="AD551" s="169">
        <v>9.7100000000000006E-2</v>
      </c>
      <c r="AE551" s="154">
        <f t="shared" si="167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0"/>
        <v>26078226.463097349</v>
      </c>
      <c r="AJ551" s="19">
        <f t="shared" si="161"/>
        <v>3137870.4427774516</v>
      </c>
      <c r="AK551" s="20">
        <f t="shared" si="168"/>
        <v>0.12032530077218917</v>
      </c>
      <c r="AL551" s="17"/>
      <c r="AM551" s="17"/>
      <c r="AN551" s="17"/>
      <c r="AO551" s="17"/>
      <c r="AP551" s="28" t="str">
        <f t="shared" si="169"/>
        <v>20239</v>
      </c>
      <c r="AQ551" s="28" t="str">
        <f t="shared" si="170"/>
        <v>20239RMB</v>
      </c>
      <c r="AR551" s="206" t="str">
        <f t="shared" si="171"/>
        <v>YAMAHA_Mounter</v>
      </c>
      <c r="AS551" s="22">
        <f t="shared" si="172"/>
        <v>1</v>
      </c>
      <c r="AT551" s="24" t="str">
        <f t="shared" si="173"/>
        <v>0-3 months</v>
      </c>
    </row>
    <row r="552" spans="1:46" s="12" customFormat="1">
      <c r="A552" s="33" t="str">
        <f t="shared" si="162"/>
        <v>FY 22/23</v>
      </c>
      <c r="B552" s="152">
        <v>2022</v>
      </c>
      <c r="C552" s="152">
        <v>6</v>
      </c>
      <c r="D552" s="33" t="str">
        <f t="shared" si="163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4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59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4"/>
        <v>1.13</v>
      </c>
      <c r="Z552" s="18">
        <f t="shared" si="158"/>
        <v>605000</v>
      </c>
      <c r="AA552" s="13">
        <v>1.175</v>
      </c>
      <c r="AB552" s="21">
        <f t="shared" si="165"/>
        <v>629092.92035398236</v>
      </c>
      <c r="AC552" s="130">
        <f t="shared" si="166"/>
        <v>91470.110619469036</v>
      </c>
      <c r="AD552" s="169">
        <v>0.1454</v>
      </c>
      <c r="AE552" s="154">
        <f t="shared" si="167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0"/>
        <v>35682787.057522126</v>
      </c>
      <c r="AJ552" s="19">
        <f t="shared" si="161"/>
        <v>5833368.3789623892</v>
      </c>
      <c r="AK552" s="20">
        <f t="shared" si="168"/>
        <v>0.16347849649632912</v>
      </c>
      <c r="AL552" s="17"/>
      <c r="AM552" s="17"/>
      <c r="AN552" s="17"/>
      <c r="AO552" s="17"/>
      <c r="AP552" s="28" t="str">
        <f t="shared" si="169"/>
        <v>20226</v>
      </c>
      <c r="AQ552" s="28" t="str">
        <f t="shared" si="170"/>
        <v>20226RMB</v>
      </c>
      <c r="AR552" s="206" t="str">
        <f t="shared" si="171"/>
        <v>YAMAHA_Mounter</v>
      </c>
      <c r="AS552" s="22">
        <f t="shared" si="172"/>
        <v>0</v>
      </c>
      <c r="AT552" s="24" t="str">
        <f t="shared" si="173"/>
        <v>0-3 months</v>
      </c>
    </row>
    <row r="553" spans="1:46" s="12" customFormat="1">
      <c r="A553" s="33" t="str">
        <f t="shared" si="162"/>
        <v>FY 19/20</v>
      </c>
      <c r="B553" s="152">
        <v>2019</v>
      </c>
      <c r="C553" s="152">
        <v>10</v>
      </c>
      <c r="D553" s="33" t="str">
        <f t="shared" si="163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4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59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58"/>
        <v>611500</v>
      </c>
      <c r="AA553" s="13">
        <v>1.095</v>
      </c>
      <c r="AB553" s="21">
        <f t="shared" si="165"/>
        <v>592559.73451327439</v>
      </c>
      <c r="AC553" s="130">
        <f t="shared" si="166"/>
        <v>52856.328318584077</v>
      </c>
      <c r="AD553" s="169">
        <v>8.9200000000000002E-2</v>
      </c>
      <c r="AE553" s="154">
        <f t="shared" si="167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0"/>
        <v>28647263.974455759</v>
      </c>
      <c r="AJ553" s="19">
        <f t="shared" si="161"/>
        <v>3219855.6912513468</v>
      </c>
      <c r="AK553" s="20">
        <f t="shared" si="168"/>
        <v>0.11239662168514358</v>
      </c>
      <c r="AL553" s="17"/>
      <c r="AM553" s="17"/>
      <c r="AN553" s="17"/>
      <c r="AO553" s="17"/>
      <c r="AP553" s="28" t="str">
        <f t="shared" si="169"/>
        <v>201910</v>
      </c>
      <c r="AQ553" s="28" t="str">
        <f t="shared" si="170"/>
        <v>201910RMB</v>
      </c>
      <c r="AR553" s="206" t="str">
        <f t="shared" si="171"/>
        <v>YAMAHA_Mounter</v>
      </c>
      <c r="AS553" s="22">
        <f t="shared" si="172"/>
        <v>0</v>
      </c>
      <c r="AT553" s="24" t="str">
        <f t="shared" si="173"/>
        <v>0-3 months</v>
      </c>
    </row>
    <row r="554" spans="1:46" s="12" customFormat="1">
      <c r="A554" s="33" t="str">
        <f t="shared" si="162"/>
        <v>FY 19/20</v>
      </c>
      <c r="B554" s="152">
        <v>2019</v>
      </c>
      <c r="C554" s="152">
        <v>10</v>
      </c>
      <c r="D554" s="33" t="str">
        <f t="shared" si="163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4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59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58"/>
        <v>611500</v>
      </c>
      <c r="AA554" s="13">
        <v>1.095</v>
      </c>
      <c r="AB554" s="21">
        <f t="shared" si="165"/>
        <v>592559.73451327439</v>
      </c>
      <c r="AC554" s="130">
        <f t="shared" si="166"/>
        <v>52856.328318584077</v>
      </c>
      <c r="AD554" s="169">
        <v>8.9200000000000002E-2</v>
      </c>
      <c r="AE554" s="154">
        <f t="shared" si="167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0"/>
        <v>28647263.974455759</v>
      </c>
      <c r="AJ554" s="19">
        <f t="shared" si="161"/>
        <v>3219855.6912513468</v>
      </c>
      <c r="AK554" s="20">
        <f t="shared" si="168"/>
        <v>0.11239662168514358</v>
      </c>
      <c r="AL554" s="17"/>
      <c r="AM554" s="17"/>
      <c r="AN554" s="17"/>
      <c r="AO554" s="17"/>
      <c r="AP554" s="28" t="str">
        <f t="shared" si="169"/>
        <v>201910</v>
      </c>
      <c r="AQ554" s="28" t="str">
        <f t="shared" si="170"/>
        <v>201910RMB</v>
      </c>
      <c r="AR554" s="206" t="str">
        <f t="shared" si="171"/>
        <v>YAMAHA_Mounter</v>
      </c>
      <c r="AS554" s="22">
        <f t="shared" si="172"/>
        <v>0</v>
      </c>
      <c r="AT554" s="24" t="str">
        <f t="shared" si="173"/>
        <v>0-3 months</v>
      </c>
    </row>
    <row r="555" spans="1:46" s="12" customFormat="1">
      <c r="A555" s="33" t="str">
        <f t="shared" si="162"/>
        <v>FY 18/19</v>
      </c>
      <c r="B555" s="152">
        <v>2019</v>
      </c>
      <c r="C555" s="152">
        <v>3</v>
      </c>
      <c r="D555" s="33" t="str">
        <f t="shared" si="163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4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59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58"/>
        <v>681896.55</v>
      </c>
      <c r="AA555" s="13">
        <v>1.1599999999999999</v>
      </c>
      <c r="AB555" s="21">
        <f t="shared" si="165"/>
        <v>699999.99823008862</v>
      </c>
      <c r="AC555" s="130">
        <f t="shared" si="166"/>
        <v>73429.99981433629</v>
      </c>
      <c r="AD555" s="169">
        <v>0.10489999999999999</v>
      </c>
      <c r="AE555" s="154">
        <f t="shared" si="167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0"/>
        <v>32843736.557277881</v>
      </c>
      <c r="AJ555" s="19">
        <f t="shared" si="161"/>
        <v>3921470.6822663117</v>
      </c>
      <c r="AK555" s="20">
        <f t="shared" si="168"/>
        <v>0.11939782416131177</v>
      </c>
      <c r="AL555" s="17"/>
      <c r="AM555" s="17"/>
      <c r="AN555" s="17"/>
      <c r="AO555" s="17"/>
      <c r="AP555" s="28" t="str">
        <f t="shared" si="169"/>
        <v>20194</v>
      </c>
      <c r="AQ555" s="28" t="str">
        <f t="shared" si="170"/>
        <v>20194RMB</v>
      </c>
      <c r="AR555" s="206" t="str">
        <f t="shared" si="171"/>
        <v>YAMAHA_Mounter</v>
      </c>
      <c r="AS555" s="22">
        <f t="shared" si="172"/>
        <v>1</v>
      </c>
      <c r="AT555" s="24" t="str">
        <f t="shared" si="173"/>
        <v>0-3 months</v>
      </c>
    </row>
    <row r="556" spans="1:46" s="12" customFormat="1">
      <c r="A556" s="33" t="str">
        <f t="shared" si="162"/>
        <v>FY 18/19</v>
      </c>
      <c r="B556" s="152">
        <v>2019</v>
      </c>
      <c r="C556" s="152">
        <v>3</v>
      </c>
      <c r="D556" s="33" t="str">
        <f t="shared" si="163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4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59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58"/>
        <v>750086.21</v>
      </c>
      <c r="AA556" s="13">
        <v>1.1599999999999999</v>
      </c>
      <c r="AB556" s="21">
        <f t="shared" si="165"/>
        <v>770000.00318584079</v>
      </c>
      <c r="AC556" s="130">
        <f t="shared" si="166"/>
        <v>80773.000334194687</v>
      </c>
      <c r="AD556" s="169">
        <v>0.10489999999999999</v>
      </c>
      <c r="AE556" s="154">
        <f t="shared" si="167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0"/>
        <v>32843736.557277881</v>
      </c>
      <c r="AJ556" s="19">
        <f t="shared" si="161"/>
        <v>3921470.6822663117</v>
      </c>
      <c r="AK556" s="20">
        <f t="shared" si="168"/>
        <v>0.11939782416131177</v>
      </c>
      <c r="AL556" s="17"/>
      <c r="AM556" s="17"/>
      <c r="AN556" s="17"/>
      <c r="AO556" s="17"/>
      <c r="AP556" s="28" t="str">
        <f t="shared" si="169"/>
        <v>20194</v>
      </c>
      <c r="AQ556" s="28" t="str">
        <f t="shared" si="170"/>
        <v>20194RMB</v>
      </c>
      <c r="AR556" s="206" t="str">
        <f t="shared" si="171"/>
        <v>YAMAHA_Mounter</v>
      </c>
      <c r="AS556" s="22">
        <f t="shared" si="172"/>
        <v>1</v>
      </c>
      <c r="AT556" s="24" t="str">
        <f t="shared" si="173"/>
        <v>0-3 months</v>
      </c>
    </row>
    <row r="557" spans="1:46" s="12" customFormat="1">
      <c r="A557" s="33" t="str">
        <f t="shared" si="162"/>
        <v>FY 18/19</v>
      </c>
      <c r="B557" s="152">
        <v>2019</v>
      </c>
      <c r="C557" s="152">
        <v>3</v>
      </c>
      <c r="D557" s="33" t="str">
        <f t="shared" si="163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4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59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58"/>
        <v>292241.38</v>
      </c>
      <c r="AA557" s="13">
        <v>1.1599999999999999</v>
      </c>
      <c r="AB557" s="21">
        <f t="shared" si="165"/>
        <v>300000.00070796459</v>
      </c>
      <c r="AC557" s="130">
        <f t="shared" si="166"/>
        <v>50250.000118584074</v>
      </c>
      <c r="AD557" s="169">
        <v>0.16750000000000001</v>
      </c>
      <c r="AE557" s="154">
        <f t="shared" si="167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0"/>
        <v>32843736.557277881</v>
      </c>
      <c r="AJ557" s="19">
        <f t="shared" si="161"/>
        <v>3921470.6822663117</v>
      </c>
      <c r="AK557" s="20">
        <f t="shared" si="168"/>
        <v>0.11939782416131177</v>
      </c>
      <c r="AL557" s="17"/>
      <c r="AM557" s="17"/>
      <c r="AN557" s="17"/>
      <c r="AO557" s="17"/>
      <c r="AP557" s="28" t="str">
        <f t="shared" si="169"/>
        <v>20194</v>
      </c>
      <c r="AQ557" s="28" t="str">
        <f t="shared" si="170"/>
        <v>20194RMB</v>
      </c>
      <c r="AR557" s="206" t="str">
        <f t="shared" si="171"/>
        <v>HELLER</v>
      </c>
      <c r="AS557" s="22">
        <f t="shared" si="172"/>
        <v>1</v>
      </c>
      <c r="AT557" s="24" t="str">
        <f t="shared" si="173"/>
        <v>0-3 months</v>
      </c>
    </row>
    <row r="558" spans="1:46" s="12" customFormat="1">
      <c r="A558" s="33" t="str">
        <f t="shared" si="162"/>
        <v>FY 22/23</v>
      </c>
      <c r="B558" s="152">
        <v>2023</v>
      </c>
      <c r="C558" s="152">
        <v>1</v>
      </c>
      <c r="D558" s="33" t="str">
        <f t="shared" si="163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4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59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5">IF(W558="RMB","1.13", "1")</f>
        <v>1.13</v>
      </c>
      <c r="Z558" s="18">
        <f t="shared" si="158"/>
        <v>700000</v>
      </c>
      <c r="AA558" s="13">
        <v>1.1399999999999999</v>
      </c>
      <c r="AB558" s="21">
        <f t="shared" si="165"/>
        <v>706194.69026548672</v>
      </c>
      <c r="AC558" s="130">
        <f t="shared" si="166"/>
        <v>73161.769911504423</v>
      </c>
      <c r="AD558" s="169">
        <v>0.1036</v>
      </c>
      <c r="AE558" s="154">
        <f t="shared" si="167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0"/>
        <v>30573205.452778768</v>
      </c>
      <c r="AJ558" s="19">
        <f t="shared" si="161"/>
        <v>3790930.1683151261</v>
      </c>
      <c r="AK558" s="20">
        <f t="shared" si="168"/>
        <v>0.12399518179964254</v>
      </c>
      <c r="AL558" s="17"/>
      <c r="AM558" s="17"/>
      <c r="AN558" s="17"/>
      <c r="AO558" s="17"/>
      <c r="AP558" s="28" t="str">
        <f t="shared" si="169"/>
        <v>20234</v>
      </c>
      <c r="AQ558" s="28" t="str">
        <f t="shared" si="170"/>
        <v>20234RMB</v>
      </c>
      <c r="AR558" s="206" t="str">
        <f t="shared" si="171"/>
        <v>YAMAHA_Mounter</v>
      </c>
      <c r="AS558" s="22">
        <f t="shared" si="172"/>
        <v>3</v>
      </c>
      <c r="AT558" s="24" t="str">
        <f t="shared" si="173"/>
        <v>0-3 months</v>
      </c>
    </row>
    <row r="559" spans="1:46" s="12" customFormat="1">
      <c r="A559" s="33" t="str">
        <f t="shared" si="162"/>
        <v>FY 22/23</v>
      </c>
      <c r="B559" s="152">
        <v>2023</v>
      </c>
      <c r="C559" s="152">
        <v>1</v>
      </c>
      <c r="D559" s="33" t="str">
        <f t="shared" si="163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4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59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5"/>
        <v>1.13</v>
      </c>
      <c r="Z559" s="18">
        <f t="shared" si="158"/>
        <v>730000</v>
      </c>
      <c r="AA559" s="13">
        <v>1.105</v>
      </c>
      <c r="AB559" s="21">
        <f t="shared" si="165"/>
        <v>713849.55752212391</v>
      </c>
      <c r="AC559" s="130">
        <f t="shared" si="166"/>
        <v>73954.814159292029</v>
      </c>
      <c r="AD559" s="169">
        <v>0.1036</v>
      </c>
      <c r="AE559" s="154">
        <f t="shared" si="167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0"/>
        <v>13640480.497522123</v>
      </c>
      <c r="AJ559" s="19">
        <f t="shared" si="161"/>
        <v>1928605.8020906283</v>
      </c>
      <c r="AK559" s="20">
        <f t="shared" si="168"/>
        <v>0.1413884065477731</v>
      </c>
      <c r="AL559" s="17"/>
      <c r="AM559" s="17"/>
      <c r="AN559" s="17"/>
      <c r="AO559" s="17"/>
      <c r="AP559" s="28" t="str">
        <f t="shared" si="169"/>
        <v>20236</v>
      </c>
      <c r="AQ559" s="28" t="str">
        <f t="shared" si="170"/>
        <v>20236RMB</v>
      </c>
      <c r="AR559" s="206" t="str">
        <f t="shared" si="171"/>
        <v>YAMAHA_Mounter</v>
      </c>
      <c r="AS559" s="22">
        <f t="shared" si="172"/>
        <v>5</v>
      </c>
      <c r="AT559" s="24" t="str">
        <f t="shared" si="173"/>
        <v>4-6 months</v>
      </c>
    </row>
    <row r="560" spans="1:46" s="12" customFormat="1">
      <c r="A560" s="33" t="str">
        <f t="shared" si="162"/>
        <v>FY 21/22</v>
      </c>
      <c r="B560" s="152">
        <v>2021</v>
      </c>
      <c r="C560" s="152">
        <v>6</v>
      </c>
      <c r="D560" s="33" t="str">
        <f t="shared" si="163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4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59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5"/>
        <v>1.13</v>
      </c>
      <c r="Z560" s="18">
        <f t="shared" ref="Z560:Z623" si="176">IF(X560="","",X560*MAX(O560,N560))</f>
        <v>884450</v>
      </c>
      <c r="AA560" s="13">
        <v>1.2150000000000001</v>
      </c>
      <c r="AB560" s="21">
        <f t="shared" si="165"/>
        <v>950979.42477876123</v>
      </c>
      <c r="AC560" s="130">
        <f t="shared" si="166"/>
        <v>97950.880752212397</v>
      </c>
      <c r="AD560" s="169">
        <v>0.10299999999999999</v>
      </c>
      <c r="AE560" s="154">
        <f t="shared" si="167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0"/>
        <v>25380121.402654871</v>
      </c>
      <c r="AJ560" s="19">
        <f t="shared" si="161"/>
        <v>3850343.1237796471</v>
      </c>
      <c r="AK560" s="20">
        <f t="shared" si="168"/>
        <v>0.1517070412191521</v>
      </c>
      <c r="AL560" s="17"/>
      <c r="AM560" s="17"/>
      <c r="AN560" s="17"/>
      <c r="AO560" s="17"/>
      <c r="AP560" s="28" t="str">
        <f t="shared" si="169"/>
        <v>202112</v>
      </c>
      <c r="AQ560" s="28" t="str">
        <f t="shared" si="170"/>
        <v>202112RMB</v>
      </c>
      <c r="AR560" s="206" t="str">
        <f t="shared" si="171"/>
        <v>YAMAHA_Mounter</v>
      </c>
      <c r="AS560" s="22">
        <f t="shared" si="172"/>
        <v>6</v>
      </c>
      <c r="AT560" s="24" t="str">
        <f t="shared" si="173"/>
        <v>4-6 months</v>
      </c>
    </row>
    <row r="561" spans="1:46" s="12" customFormat="1">
      <c r="A561" s="33" t="str">
        <f t="shared" si="162"/>
        <v>FY 21/22</v>
      </c>
      <c r="B561" s="152">
        <v>2021</v>
      </c>
      <c r="C561" s="152">
        <v>6</v>
      </c>
      <c r="D561" s="33" t="str">
        <f t="shared" si="163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4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59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5"/>
        <v>1.13</v>
      </c>
      <c r="Z561" s="18">
        <f t="shared" si="176"/>
        <v>884450</v>
      </c>
      <c r="AA561" s="13">
        <v>1.2150000000000001</v>
      </c>
      <c r="AB561" s="21">
        <f t="shared" si="165"/>
        <v>950979.42477876123</v>
      </c>
      <c r="AC561" s="130">
        <f t="shared" si="166"/>
        <v>97950.880752212397</v>
      </c>
      <c r="AD561" s="169">
        <v>0.10299999999999999</v>
      </c>
      <c r="AE561" s="154">
        <f t="shared" si="167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0"/>
        <v>25380121.402654871</v>
      </c>
      <c r="AJ561" s="19">
        <f t="shared" si="161"/>
        <v>3850343.1237796471</v>
      </c>
      <c r="AK561" s="20">
        <f t="shared" si="168"/>
        <v>0.1517070412191521</v>
      </c>
      <c r="AL561" s="17"/>
      <c r="AM561" s="17"/>
      <c r="AN561" s="17"/>
      <c r="AO561" s="17"/>
      <c r="AP561" s="28" t="str">
        <f t="shared" si="169"/>
        <v>202112</v>
      </c>
      <c r="AQ561" s="28" t="str">
        <f t="shared" si="170"/>
        <v>202112RMB</v>
      </c>
      <c r="AR561" s="206" t="str">
        <f t="shared" si="171"/>
        <v>YAMAHA_Mounter</v>
      </c>
      <c r="AS561" s="22">
        <f t="shared" si="172"/>
        <v>6</v>
      </c>
      <c r="AT561" s="24" t="str">
        <f t="shared" si="173"/>
        <v>4-6 months</v>
      </c>
    </row>
    <row r="562" spans="1:46" s="12" customFormat="1">
      <c r="A562" s="33" t="str">
        <f t="shared" si="162"/>
        <v>FY 21/22</v>
      </c>
      <c r="B562" s="152">
        <v>2021</v>
      </c>
      <c r="C562" s="152">
        <v>6</v>
      </c>
      <c r="D562" s="33" t="str">
        <f t="shared" si="163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4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59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5"/>
        <v>1.13</v>
      </c>
      <c r="Z562" s="18">
        <f t="shared" si="176"/>
        <v>495000</v>
      </c>
      <c r="AA562" s="13">
        <v>1.175</v>
      </c>
      <c r="AB562" s="21">
        <f t="shared" si="165"/>
        <v>514712.38938053104</v>
      </c>
      <c r="AC562" s="130">
        <f t="shared" si="166"/>
        <v>56875.719026548679</v>
      </c>
      <c r="AD562" s="169">
        <v>0.1105</v>
      </c>
      <c r="AE562" s="154">
        <f t="shared" si="167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0"/>
        <v>35682787.057522126</v>
      </c>
      <c r="AJ562" s="19">
        <f t="shared" si="161"/>
        <v>5833368.3789623892</v>
      </c>
      <c r="AK562" s="20">
        <f t="shared" si="168"/>
        <v>0.16347849649632912</v>
      </c>
      <c r="AL562" s="17"/>
      <c r="AM562" s="17"/>
      <c r="AN562" s="17"/>
      <c r="AO562" s="17"/>
      <c r="AP562" s="28" t="str">
        <f t="shared" si="169"/>
        <v>20226</v>
      </c>
      <c r="AQ562" s="28" t="str">
        <f t="shared" si="170"/>
        <v>20226RMB</v>
      </c>
      <c r="AR562" s="206" t="str">
        <f t="shared" si="171"/>
        <v>YAMAHA_Mounter</v>
      </c>
      <c r="AS562" s="22">
        <f t="shared" si="172"/>
        <v>12</v>
      </c>
      <c r="AT562" s="24" t="str">
        <f t="shared" si="173"/>
        <v>&gt; 6 months</v>
      </c>
    </row>
    <row r="563" spans="1:46" s="12" customFormat="1">
      <c r="A563" s="33" t="str">
        <f t="shared" si="162"/>
        <v>FY 21/22</v>
      </c>
      <c r="B563" s="152">
        <v>2021</v>
      </c>
      <c r="C563" s="152">
        <v>6</v>
      </c>
      <c r="D563" s="33" t="str">
        <f t="shared" si="163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4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59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5"/>
        <v>1.13</v>
      </c>
      <c r="Z563" s="18">
        <f t="shared" si="176"/>
        <v>495000</v>
      </c>
      <c r="AA563" s="13">
        <v>1.175</v>
      </c>
      <c r="AB563" s="21">
        <f t="shared" si="165"/>
        <v>514712.38938053104</v>
      </c>
      <c r="AC563" s="130">
        <f t="shared" si="166"/>
        <v>56875.719026548679</v>
      </c>
      <c r="AD563" s="169">
        <v>0.1105</v>
      </c>
      <c r="AE563" s="154">
        <f t="shared" si="167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0"/>
        <v>35682787.057522126</v>
      </c>
      <c r="AJ563" s="19">
        <f t="shared" si="161"/>
        <v>5833368.3789623892</v>
      </c>
      <c r="AK563" s="20">
        <f t="shared" si="168"/>
        <v>0.16347849649632912</v>
      </c>
      <c r="AL563" s="17"/>
      <c r="AM563" s="17"/>
      <c r="AN563" s="17"/>
      <c r="AO563" s="17"/>
      <c r="AP563" s="28" t="str">
        <f t="shared" si="169"/>
        <v>20226</v>
      </c>
      <c r="AQ563" s="28" t="str">
        <f t="shared" si="170"/>
        <v>20226RMB</v>
      </c>
      <c r="AR563" s="206" t="str">
        <f t="shared" si="171"/>
        <v>YAMAHA_Mounter</v>
      </c>
      <c r="AS563" s="22">
        <f t="shared" si="172"/>
        <v>12</v>
      </c>
      <c r="AT563" s="24" t="str">
        <f t="shared" si="173"/>
        <v>&gt; 6 months</v>
      </c>
    </row>
    <row r="564" spans="1:46" s="12" customFormat="1">
      <c r="A564" s="33" t="str">
        <f t="shared" si="162"/>
        <v>FY 21/22</v>
      </c>
      <c r="B564" s="152">
        <v>2021</v>
      </c>
      <c r="C564" s="152">
        <v>6</v>
      </c>
      <c r="D564" s="33" t="str">
        <f t="shared" si="163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4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59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5"/>
        <v>1.13</v>
      </c>
      <c r="Z564" s="18">
        <f t="shared" si="176"/>
        <v>495000</v>
      </c>
      <c r="AA564" s="13">
        <v>1.175</v>
      </c>
      <c r="AB564" s="21">
        <f t="shared" si="165"/>
        <v>514712.38938053104</v>
      </c>
      <c r="AC564" s="130">
        <f t="shared" si="166"/>
        <v>56875.719026548679</v>
      </c>
      <c r="AD564" s="169">
        <v>0.1105</v>
      </c>
      <c r="AE564" s="154">
        <f t="shared" si="167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0"/>
        <v>35682787.057522126</v>
      </c>
      <c r="AJ564" s="19">
        <f t="shared" si="161"/>
        <v>5833368.3789623892</v>
      </c>
      <c r="AK564" s="20">
        <f t="shared" si="168"/>
        <v>0.16347849649632912</v>
      </c>
      <c r="AL564" s="17"/>
      <c r="AM564" s="17"/>
      <c r="AN564" s="17"/>
      <c r="AO564" s="17"/>
      <c r="AP564" s="28" t="str">
        <f t="shared" si="169"/>
        <v>20226</v>
      </c>
      <c r="AQ564" s="28" t="str">
        <f t="shared" si="170"/>
        <v>20226RMB</v>
      </c>
      <c r="AR564" s="206" t="str">
        <f t="shared" si="171"/>
        <v>YAMAHA_Mounter</v>
      </c>
      <c r="AS564" s="22">
        <f t="shared" si="172"/>
        <v>12</v>
      </c>
      <c r="AT564" s="24" t="str">
        <f t="shared" si="173"/>
        <v>&gt; 6 months</v>
      </c>
    </row>
    <row r="565" spans="1:46" s="12" customFormat="1">
      <c r="A565" s="33" t="str">
        <f t="shared" si="162"/>
        <v>FY 21/22</v>
      </c>
      <c r="B565" s="152">
        <v>2021</v>
      </c>
      <c r="C565" s="152">
        <v>9</v>
      </c>
      <c r="D565" s="33" t="str">
        <f t="shared" si="163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4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59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5"/>
        <v>1.13</v>
      </c>
      <c r="Z565" s="18">
        <f t="shared" si="176"/>
        <v>315835</v>
      </c>
      <c r="AA565" s="13">
        <v>1.2150000000000001</v>
      </c>
      <c r="AB565" s="21">
        <f t="shared" si="165"/>
        <v>339592.5</v>
      </c>
      <c r="AC565" s="130">
        <f t="shared" si="166"/>
        <v>55557.332999999999</v>
      </c>
      <c r="AD565" s="169">
        <v>0.1636</v>
      </c>
      <c r="AE565" s="154">
        <f t="shared" si="167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0"/>
        <v>25380121.402654871</v>
      </c>
      <c r="AJ565" s="19">
        <f t="shared" si="161"/>
        <v>3850343.1237796471</v>
      </c>
      <c r="AK565" s="20">
        <f t="shared" si="168"/>
        <v>0.1517070412191521</v>
      </c>
      <c r="AL565" s="17"/>
      <c r="AM565" s="17"/>
      <c r="AN565" s="17"/>
      <c r="AO565" s="17"/>
      <c r="AP565" s="28" t="str">
        <f t="shared" si="169"/>
        <v>202112</v>
      </c>
      <c r="AQ565" s="28" t="str">
        <f t="shared" si="170"/>
        <v>202112RMB</v>
      </c>
      <c r="AR565" s="206" t="str">
        <f t="shared" si="171"/>
        <v>PEMTRON</v>
      </c>
      <c r="AS565" s="22">
        <f t="shared" si="172"/>
        <v>3</v>
      </c>
      <c r="AT565" s="24" t="str">
        <f t="shared" si="173"/>
        <v>0-3 months</v>
      </c>
    </row>
    <row r="566" spans="1:46" s="12" customFormat="1">
      <c r="A566" s="33" t="str">
        <f t="shared" si="162"/>
        <v>FY 21/22</v>
      </c>
      <c r="B566" s="152">
        <v>2021</v>
      </c>
      <c r="C566" s="152">
        <v>9</v>
      </c>
      <c r="D566" s="33" t="str">
        <f t="shared" si="163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4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59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5"/>
        <v>1.13</v>
      </c>
      <c r="Z566" s="18">
        <f t="shared" si="176"/>
        <v>602290</v>
      </c>
      <c r="AA566" s="13">
        <v>1.2150000000000001</v>
      </c>
      <c r="AB566" s="21">
        <f t="shared" si="165"/>
        <v>647595</v>
      </c>
      <c r="AC566" s="130">
        <f t="shared" si="166"/>
        <v>105946.542</v>
      </c>
      <c r="AD566" s="169">
        <v>0.1636</v>
      </c>
      <c r="AE566" s="154">
        <f t="shared" si="167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0"/>
        <v>25380121.402654871</v>
      </c>
      <c r="AJ566" s="19">
        <f t="shared" si="161"/>
        <v>3850343.1237796471</v>
      </c>
      <c r="AK566" s="20">
        <f t="shared" si="168"/>
        <v>0.1517070412191521</v>
      </c>
      <c r="AL566" s="17"/>
      <c r="AM566" s="17"/>
      <c r="AN566" s="17"/>
      <c r="AO566" s="17"/>
      <c r="AP566" s="28" t="str">
        <f t="shared" si="169"/>
        <v>202112</v>
      </c>
      <c r="AQ566" s="28" t="str">
        <f t="shared" si="170"/>
        <v>202112RMB</v>
      </c>
      <c r="AR566" s="206" t="str">
        <f t="shared" si="171"/>
        <v>PEMTRON</v>
      </c>
      <c r="AS566" s="22">
        <f t="shared" si="172"/>
        <v>3</v>
      </c>
      <c r="AT566" s="24" t="str">
        <f t="shared" si="173"/>
        <v>0-3 months</v>
      </c>
    </row>
    <row r="567" spans="1:46" s="12" customFormat="1">
      <c r="A567" s="33" t="str">
        <f t="shared" si="162"/>
        <v>FY 21/22</v>
      </c>
      <c r="B567" s="152">
        <v>2021</v>
      </c>
      <c r="C567" s="152">
        <v>9</v>
      </c>
      <c r="D567" s="33" t="str">
        <f t="shared" si="163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4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59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76"/>
        <v>-315835</v>
      </c>
      <c r="AA567" s="13">
        <v>1.077</v>
      </c>
      <c r="AB567" s="21">
        <f t="shared" si="165"/>
        <v>-301021.5</v>
      </c>
      <c r="AC567" s="130">
        <f t="shared" si="166"/>
        <v>-49247.117399999996</v>
      </c>
      <c r="AD567" s="169">
        <v>0.1636</v>
      </c>
      <c r="AE567" s="154">
        <f t="shared" si="167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0"/>
        <v>26078226.463097349</v>
      </c>
      <c r="AJ567" s="19">
        <f t="shared" si="161"/>
        <v>3137870.4427774516</v>
      </c>
      <c r="AK567" s="20">
        <f t="shared" si="168"/>
        <v>0.12032530077218917</v>
      </c>
      <c r="AL567" s="17"/>
      <c r="AM567" s="17"/>
      <c r="AN567" s="17"/>
      <c r="AO567" s="17" t="s">
        <v>2990</v>
      </c>
      <c r="AP567" s="28" t="str">
        <f t="shared" si="169"/>
        <v>20239</v>
      </c>
      <c r="AQ567" s="28" t="str">
        <f t="shared" si="170"/>
        <v>20239RMB</v>
      </c>
      <c r="AR567" s="206" t="str">
        <f t="shared" si="171"/>
        <v>PEMTRON</v>
      </c>
      <c r="AS567" s="22">
        <f t="shared" si="172"/>
        <v>24</v>
      </c>
      <c r="AT567" s="24" t="str">
        <f t="shared" si="173"/>
        <v>&gt; 6 months</v>
      </c>
    </row>
    <row r="568" spans="1:46" s="12" customFormat="1">
      <c r="A568" s="33" t="str">
        <f t="shared" si="162"/>
        <v>FY 21/22</v>
      </c>
      <c r="B568" s="152">
        <v>2021</v>
      </c>
      <c r="C568" s="152">
        <v>9</v>
      </c>
      <c r="D568" s="33" t="str">
        <f t="shared" si="163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4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59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76"/>
        <v>-602290</v>
      </c>
      <c r="AA568" s="13">
        <v>1.077</v>
      </c>
      <c r="AB568" s="21">
        <f t="shared" si="165"/>
        <v>-574041</v>
      </c>
      <c r="AC568" s="130">
        <f t="shared" si="166"/>
        <v>-93913.107600000003</v>
      </c>
      <c r="AD568" s="169">
        <v>0.1636</v>
      </c>
      <c r="AE568" s="154">
        <f t="shared" si="167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0"/>
        <v>26078226.463097349</v>
      </c>
      <c r="AJ568" s="19">
        <f t="shared" si="161"/>
        <v>3137870.4427774516</v>
      </c>
      <c r="AK568" s="20">
        <f t="shared" si="168"/>
        <v>0.12032530077218917</v>
      </c>
      <c r="AL568" s="17"/>
      <c r="AM568" s="17"/>
      <c r="AN568" s="17"/>
      <c r="AO568" s="17" t="s">
        <v>2990</v>
      </c>
      <c r="AP568" s="28" t="str">
        <f t="shared" si="169"/>
        <v>20239</v>
      </c>
      <c r="AQ568" s="28" t="str">
        <f t="shared" si="170"/>
        <v>20239RMB</v>
      </c>
      <c r="AR568" s="206" t="str">
        <f t="shared" si="171"/>
        <v>PEMTRON</v>
      </c>
      <c r="AS568" s="22">
        <f t="shared" si="172"/>
        <v>24</v>
      </c>
      <c r="AT568" s="24" t="str">
        <f t="shared" si="173"/>
        <v>&gt; 6 months</v>
      </c>
    </row>
    <row r="569" spans="1:46" s="12" customFormat="1">
      <c r="A569" s="33" t="str">
        <f t="shared" si="162"/>
        <v>FY 18/19</v>
      </c>
      <c r="B569" s="152">
        <v>2018</v>
      </c>
      <c r="C569" s="152">
        <v>6</v>
      </c>
      <c r="D569" s="33" t="str">
        <f t="shared" si="163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4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59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76"/>
        <v>800000</v>
      </c>
      <c r="AA569" s="13">
        <v>1.1499999999999999</v>
      </c>
      <c r="AB569" s="21">
        <f t="shared" si="165"/>
        <v>793103.44827586203</v>
      </c>
      <c r="AC569" s="130">
        <f t="shared" si="166"/>
        <v>56310.344827586196</v>
      </c>
      <c r="AD569" s="169">
        <v>7.0999999999999994E-2</v>
      </c>
      <c r="AE569" s="154">
        <f t="shared" si="167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0"/>
        <v>26754147.763010349</v>
      </c>
      <c r="AJ569" s="19">
        <f t="shared" si="161"/>
        <v>3429137.9965357962</v>
      </c>
      <c r="AK569" s="20">
        <f t="shared" si="168"/>
        <v>0.12817220069617921</v>
      </c>
      <c r="AL569" s="17"/>
      <c r="AM569" s="17"/>
      <c r="AN569" s="17"/>
      <c r="AO569" s="17" t="s">
        <v>389</v>
      </c>
      <c r="AP569" s="28" t="str">
        <f t="shared" si="169"/>
        <v>20188</v>
      </c>
      <c r="AQ569" s="28" t="str">
        <f t="shared" si="170"/>
        <v>20188RMB</v>
      </c>
      <c r="AR569" s="206" t="str">
        <f t="shared" si="171"/>
        <v>YAMAHA_Mounter</v>
      </c>
      <c r="AS569" s="22">
        <f t="shared" si="172"/>
        <v>2</v>
      </c>
      <c r="AT569" s="24" t="str">
        <f t="shared" si="173"/>
        <v>0-3 months</v>
      </c>
    </row>
    <row r="570" spans="1:46" s="12" customFormat="1">
      <c r="A570" s="33" t="str">
        <f t="shared" si="162"/>
        <v>FY 18/19</v>
      </c>
      <c r="B570" s="152">
        <v>2018</v>
      </c>
      <c r="C570" s="152">
        <v>6</v>
      </c>
      <c r="D570" s="33" t="str">
        <f t="shared" si="163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4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59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76"/>
        <v>675700</v>
      </c>
      <c r="AA570" s="13">
        <v>1.1499999999999999</v>
      </c>
      <c r="AB570" s="21">
        <f t="shared" si="165"/>
        <v>669875</v>
      </c>
      <c r="AC570" s="130">
        <f t="shared" si="166"/>
        <v>47561.124999999993</v>
      </c>
      <c r="AD570" s="169">
        <v>7.0999999999999994E-2</v>
      </c>
      <c r="AE570" s="154">
        <f t="shared" si="167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0"/>
        <v>26754147.763010349</v>
      </c>
      <c r="AJ570" s="19">
        <f t="shared" si="161"/>
        <v>3429137.9965357962</v>
      </c>
      <c r="AK570" s="20">
        <f t="shared" si="168"/>
        <v>0.12817220069617921</v>
      </c>
      <c r="AL570" s="17"/>
      <c r="AM570" s="17"/>
      <c r="AN570" s="17"/>
      <c r="AO570" s="17" t="s">
        <v>389</v>
      </c>
      <c r="AP570" s="28" t="str">
        <f t="shared" si="169"/>
        <v>20188</v>
      </c>
      <c r="AQ570" s="28" t="str">
        <f t="shared" si="170"/>
        <v>20188RMB</v>
      </c>
      <c r="AR570" s="206" t="str">
        <f t="shared" si="171"/>
        <v>YAMAHA_Mounter</v>
      </c>
      <c r="AS570" s="22">
        <f t="shared" si="172"/>
        <v>2</v>
      </c>
      <c r="AT570" s="24" t="str">
        <f t="shared" si="173"/>
        <v>0-3 months</v>
      </c>
    </row>
    <row r="571" spans="1:46" s="12" customFormat="1">
      <c r="A571" s="33" t="str">
        <f t="shared" si="162"/>
        <v>FY 17/18</v>
      </c>
      <c r="B571" s="152">
        <v>2018</v>
      </c>
      <c r="C571" s="152">
        <v>1</v>
      </c>
      <c r="D571" s="33" t="str">
        <f t="shared" si="163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4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59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76"/>
        <v>800000</v>
      </c>
      <c r="AA571" s="13">
        <v>1.123</v>
      </c>
      <c r="AB571" s="21">
        <f t="shared" si="165"/>
        <v>767863.24786324787</v>
      </c>
      <c r="AC571" s="130">
        <f t="shared" si="166"/>
        <v>92143.589743589735</v>
      </c>
      <c r="AD571" s="169">
        <v>0.12</v>
      </c>
      <c r="AE571" s="154">
        <f t="shared" si="167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0"/>
        <v>13250187.062905986</v>
      </c>
      <c r="AJ571" s="19">
        <f t="shared" si="161"/>
        <v>1545643.7555487182</v>
      </c>
      <c r="AK571" s="20">
        <f t="shared" si="168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69"/>
        <v>20183</v>
      </c>
      <c r="AQ571" s="28" t="str">
        <f t="shared" si="170"/>
        <v>20183RMB</v>
      </c>
      <c r="AR571" s="206" t="str">
        <f t="shared" si="171"/>
        <v>YAMAHA_Mounter</v>
      </c>
      <c r="AS571" s="22">
        <f t="shared" si="172"/>
        <v>2</v>
      </c>
      <c r="AT571" s="24" t="str">
        <f t="shared" si="173"/>
        <v>0-3 months</v>
      </c>
    </row>
    <row r="572" spans="1:46" s="12" customFormat="1">
      <c r="A572" s="33" t="str">
        <f t="shared" si="162"/>
        <v>FY 17/18</v>
      </c>
      <c r="B572" s="152">
        <v>2018</v>
      </c>
      <c r="C572" s="152">
        <v>1</v>
      </c>
      <c r="D572" s="33" t="str">
        <f t="shared" si="163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4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59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76"/>
        <v>544500</v>
      </c>
      <c r="AA572" s="13">
        <v>1.123</v>
      </c>
      <c r="AB572" s="21">
        <f t="shared" si="165"/>
        <v>522626.92307692312</v>
      </c>
      <c r="AC572" s="130">
        <f t="shared" si="166"/>
        <v>62715.230769230773</v>
      </c>
      <c r="AD572" s="169">
        <v>0.12</v>
      </c>
      <c r="AE572" s="154">
        <f t="shared" si="167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0"/>
        <v>13250187.062905986</v>
      </c>
      <c r="AJ572" s="19">
        <f t="shared" si="161"/>
        <v>1545643.7555487182</v>
      </c>
      <c r="AK572" s="20">
        <f t="shared" si="168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69"/>
        <v>20183</v>
      </c>
      <c r="AQ572" s="28" t="str">
        <f t="shared" si="170"/>
        <v>20183RMB</v>
      </c>
      <c r="AR572" s="206" t="str">
        <f t="shared" si="171"/>
        <v>YAMAHA_Mounter</v>
      </c>
      <c r="AS572" s="22">
        <f t="shared" si="172"/>
        <v>2</v>
      </c>
      <c r="AT572" s="24" t="str">
        <f t="shared" si="173"/>
        <v>0-3 months</v>
      </c>
    </row>
    <row r="573" spans="1:46" s="12" customFormat="1">
      <c r="A573" s="33" t="str">
        <f t="shared" si="162"/>
        <v>FY 19/20</v>
      </c>
      <c r="B573" s="152">
        <v>2019</v>
      </c>
      <c r="C573" s="152">
        <v>4</v>
      </c>
      <c r="D573" s="33" t="str">
        <f t="shared" si="163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4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59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76"/>
        <v>1000000</v>
      </c>
      <c r="AA573" s="13">
        <v>1.1599999999999999</v>
      </c>
      <c r="AB573" s="21">
        <f t="shared" si="165"/>
        <v>1026548.6725663717</v>
      </c>
      <c r="AC573" s="130">
        <f t="shared" si="166"/>
        <v>102860.17699115045</v>
      </c>
      <c r="AD573" s="169">
        <v>0.1002</v>
      </c>
      <c r="AE573" s="154">
        <f t="shared" si="167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0"/>
        <v>32843736.557277881</v>
      </c>
      <c r="AJ573" s="19">
        <f t="shared" si="161"/>
        <v>3921470.6822663117</v>
      </c>
      <c r="AK573" s="20">
        <f t="shared" si="168"/>
        <v>0.11939782416131177</v>
      </c>
      <c r="AL573" s="17"/>
      <c r="AM573" s="17"/>
      <c r="AN573" s="17"/>
      <c r="AO573" s="17"/>
      <c r="AP573" s="28" t="str">
        <f t="shared" si="169"/>
        <v>20194</v>
      </c>
      <c r="AQ573" s="28" t="str">
        <f t="shared" si="170"/>
        <v>20194RMB</v>
      </c>
      <c r="AR573" s="206" t="str">
        <f t="shared" si="171"/>
        <v>YAMAHA_Mounter</v>
      </c>
      <c r="AS573" s="22">
        <f t="shared" si="172"/>
        <v>0</v>
      </c>
      <c r="AT573" s="24" t="str">
        <f t="shared" si="173"/>
        <v>0-3 months</v>
      </c>
    </row>
    <row r="574" spans="1:46" s="12" customFormat="1">
      <c r="A574" s="33" t="str">
        <f t="shared" si="162"/>
        <v>FY 19/20</v>
      </c>
      <c r="B574" s="152">
        <v>2019</v>
      </c>
      <c r="C574" s="152">
        <v>4</v>
      </c>
      <c r="D574" s="33" t="str">
        <f t="shared" si="163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4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59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76"/>
        <v>730000</v>
      </c>
      <c r="AA574" s="13">
        <v>1.1599999999999999</v>
      </c>
      <c r="AB574" s="21">
        <f t="shared" si="165"/>
        <v>749380.53097345133</v>
      </c>
      <c r="AC574" s="130">
        <f t="shared" si="166"/>
        <v>75087.929203539825</v>
      </c>
      <c r="AD574" s="169">
        <v>0.1002</v>
      </c>
      <c r="AE574" s="154">
        <f t="shared" si="167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0"/>
        <v>32843736.557277881</v>
      </c>
      <c r="AJ574" s="19">
        <f t="shared" si="161"/>
        <v>3921470.6822663117</v>
      </c>
      <c r="AK574" s="20">
        <f t="shared" si="168"/>
        <v>0.11939782416131177</v>
      </c>
      <c r="AL574" s="17"/>
      <c r="AM574" s="17"/>
      <c r="AN574" s="17"/>
      <c r="AO574" s="17"/>
      <c r="AP574" s="28" t="str">
        <f t="shared" si="169"/>
        <v>20194</v>
      </c>
      <c r="AQ574" s="28" t="str">
        <f t="shared" si="170"/>
        <v>20194RMB</v>
      </c>
      <c r="AR574" s="206" t="str">
        <f t="shared" si="171"/>
        <v>YAMAHA_Mounter</v>
      </c>
      <c r="AS574" s="22">
        <f t="shared" si="172"/>
        <v>0</v>
      </c>
      <c r="AT574" s="24" t="str">
        <f t="shared" si="173"/>
        <v>0-3 months</v>
      </c>
    </row>
    <row r="575" spans="1:46" s="12" customFormat="1" ht="28">
      <c r="A575" s="33" t="str">
        <f t="shared" si="162"/>
        <v>FY 21/22</v>
      </c>
      <c r="B575" s="152">
        <v>2021</v>
      </c>
      <c r="C575" s="152">
        <v>5</v>
      </c>
      <c r="D575" s="33" t="str">
        <f t="shared" si="163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4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59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7">IF(W575="RMB","1.13", "1")</f>
        <v>1.13</v>
      </c>
      <c r="Z575" s="18">
        <f t="shared" si="176"/>
        <v>305000</v>
      </c>
      <c r="AA575" s="13">
        <v>1.2150000000000001</v>
      </c>
      <c r="AB575" s="21">
        <f t="shared" si="165"/>
        <v>327942.47787610628</v>
      </c>
      <c r="AC575" s="130">
        <f t="shared" si="166"/>
        <v>39353.097345132752</v>
      </c>
      <c r="AD575" s="169">
        <v>0.12</v>
      </c>
      <c r="AE575" s="154">
        <f t="shared" si="167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0"/>
        <v>54700260.692079648</v>
      </c>
      <c r="AJ575" s="19">
        <f t="shared" si="161"/>
        <v>7482899.5749188727</v>
      </c>
      <c r="AK575" s="20">
        <f t="shared" si="168"/>
        <v>0.13679824337660537</v>
      </c>
      <c r="AL575" s="17"/>
      <c r="AM575" s="17"/>
      <c r="AN575" s="17"/>
      <c r="AO575" s="17"/>
      <c r="AP575" s="28" t="str">
        <f t="shared" si="169"/>
        <v>20216</v>
      </c>
      <c r="AQ575" s="28" t="str">
        <f t="shared" si="170"/>
        <v>20216RMB</v>
      </c>
      <c r="AR575" s="206" t="str">
        <f t="shared" si="171"/>
        <v>YAMAHA_Mounter</v>
      </c>
      <c r="AS575" s="22">
        <f t="shared" si="172"/>
        <v>1</v>
      </c>
      <c r="AT575" s="24" t="str">
        <f t="shared" si="173"/>
        <v>0-3 months</v>
      </c>
    </row>
    <row r="576" spans="1:46" s="12" customFormat="1">
      <c r="A576" s="33" t="str">
        <f t="shared" si="162"/>
        <v>FY 21/22</v>
      </c>
      <c r="B576" s="152">
        <v>2021</v>
      </c>
      <c r="C576" s="152">
        <v>5</v>
      </c>
      <c r="D576" s="33" t="str">
        <f t="shared" si="163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4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59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7"/>
        <v>1.13</v>
      </c>
      <c r="Z576" s="18">
        <f t="shared" si="176"/>
        <v>555000</v>
      </c>
      <c r="AA576" s="13">
        <v>1.2</v>
      </c>
      <c r="AB576" s="21">
        <f t="shared" si="165"/>
        <v>589380.53097345133</v>
      </c>
      <c r="AC576" s="130">
        <f t="shared" si="166"/>
        <v>50392.035398230095</v>
      </c>
      <c r="AD576" s="169">
        <v>8.5500000000000007E-2</v>
      </c>
      <c r="AE576" s="154">
        <f t="shared" si="167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0"/>
        <v>10844605.840707963</v>
      </c>
      <c r="AJ576" s="19">
        <f t="shared" si="161"/>
        <v>1523130.9860707966</v>
      </c>
      <c r="AK576" s="20">
        <f t="shared" si="168"/>
        <v>0.14045056209911663</v>
      </c>
      <c r="AL576" s="17"/>
      <c r="AM576" s="17"/>
      <c r="AN576" s="17"/>
      <c r="AO576" s="17"/>
      <c r="AP576" s="28" t="str">
        <f t="shared" si="169"/>
        <v>20219</v>
      </c>
      <c r="AQ576" s="28" t="str">
        <f t="shared" si="170"/>
        <v>20219RMB</v>
      </c>
      <c r="AR576" s="206" t="str">
        <f t="shared" si="171"/>
        <v>YAMAHA_Mounter</v>
      </c>
      <c r="AS576" s="22">
        <f t="shared" si="172"/>
        <v>4</v>
      </c>
      <c r="AT576" s="24" t="str">
        <f t="shared" si="173"/>
        <v>4-6 months</v>
      </c>
    </row>
    <row r="577" spans="1:46" s="12" customFormat="1">
      <c r="A577" s="33" t="str">
        <f t="shared" si="162"/>
        <v>FY 21/22</v>
      </c>
      <c r="B577" s="152">
        <v>2021</v>
      </c>
      <c r="C577" s="152">
        <v>5</v>
      </c>
      <c r="D577" s="33" t="str">
        <f t="shared" si="163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4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59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7"/>
        <v>1.13</v>
      </c>
      <c r="Z577" s="18">
        <f t="shared" si="176"/>
        <v>620000</v>
      </c>
      <c r="AA577" s="13">
        <v>1.22</v>
      </c>
      <c r="AB577" s="21">
        <f t="shared" si="165"/>
        <v>669380.53097345144</v>
      </c>
      <c r="AC577" s="130">
        <f t="shared" si="166"/>
        <v>81798.300884955766</v>
      </c>
      <c r="AD577" s="169">
        <v>0.1222</v>
      </c>
      <c r="AE577" s="154">
        <f t="shared" si="167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0"/>
        <v>31750699.113741599</v>
      </c>
      <c r="AJ577" s="19">
        <f t="shared" si="161"/>
        <v>4396077.3195289988</v>
      </c>
      <c r="AK577" s="20">
        <f t="shared" si="168"/>
        <v>0.13845607946397598</v>
      </c>
      <c r="AL577" s="17"/>
      <c r="AM577" s="17"/>
      <c r="AN577" s="17"/>
      <c r="AO577" s="17"/>
      <c r="AP577" s="28" t="str">
        <f t="shared" si="169"/>
        <v>20222</v>
      </c>
      <c r="AQ577" s="28" t="str">
        <f t="shared" si="170"/>
        <v>20222RMB</v>
      </c>
      <c r="AR577" s="206" t="str">
        <f t="shared" si="171"/>
        <v>YAMAHA_Mounter</v>
      </c>
      <c r="AS577" s="22">
        <f t="shared" si="172"/>
        <v>9</v>
      </c>
      <c r="AT577" s="24" t="str">
        <f t="shared" si="173"/>
        <v>&gt; 6 months</v>
      </c>
    </row>
    <row r="578" spans="1:46" s="12" customFormat="1">
      <c r="A578" s="33" t="str">
        <f t="shared" si="162"/>
        <v>cancel</v>
      </c>
      <c r="B578" s="152"/>
      <c r="C578" s="152" t="s">
        <v>186</v>
      </c>
      <c r="D578" s="33" t="str">
        <f t="shared" si="163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4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ref="P578:P641" si="178">IF(M578="","",IF(AND(N578&gt;0,L578&lt;&gt;""),"MAIN UNIT",IF(AND(O578&gt;0,L578&lt;&gt;""),"SERVICE/ PARTS","C66 SERVICE/OTHERS")))</f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7"/>
        <v>1.13</v>
      </c>
      <c r="Z578" s="18">
        <f t="shared" si="176"/>
        <v>835000</v>
      </c>
      <c r="AA578" s="13">
        <v>1.1200000000000001</v>
      </c>
      <c r="AB578" s="21">
        <f t="shared" si="165"/>
        <v>827610.61946902669</v>
      </c>
      <c r="AC578" s="130">
        <f t="shared" si="166"/>
        <v>99313.274336283197</v>
      </c>
      <c r="AD578" s="169">
        <v>0.12</v>
      </c>
      <c r="AE578" s="154">
        <f t="shared" si="167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9">IF(P578="C66 SERVICE","",SUMIFS(AB:AB,F:F,F578,G:G,G578,E:E,E578))</f>
        <v>477651199.57437885</v>
      </c>
      <c r="AJ578" s="19">
        <f t="shared" ref="AJ578:AJ641" si="180">IF(P578="C66 SERVICE","",SUMIFS(AC:AC,F:F,F578,G:G,G578,E:E,E578))</f>
        <v>56918800.518691957</v>
      </c>
      <c r="AK578" s="20">
        <f t="shared" si="168"/>
        <v>0.11916394341605475</v>
      </c>
      <c r="AL578" s="17"/>
      <c r="AM578" s="17"/>
      <c r="AN578" s="17"/>
      <c r="AO578" s="17"/>
      <c r="AP578" s="28" t="str">
        <f t="shared" si="169"/>
        <v>CancelCANCEL</v>
      </c>
      <c r="AQ578" s="28" t="str">
        <f t="shared" si="170"/>
        <v>CancelCANCELRMB</v>
      </c>
      <c r="AR578" s="206" t="str">
        <f t="shared" si="171"/>
        <v>YAMAHA_Mounter</v>
      </c>
      <c r="AS578" s="22" t="str">
        <f t="shared" si="172"/>
        <v/>
      </c>
      <c r="AT578" s="24" t="str">
        <f t="shared" si="173"/>
        <v/>
      </c>
    </row>
    <row r="579" spans="1:46" s="12" customFormat="1">
      <c r="A579" s="33" t="str">
        <f t="shared" si="162"/>
        <v>cancel</v>
      </c>
      <c r="B579" s="152"/>
      <c r="C579" s="152" t="s">
        <v>186</v>
      </c>
      <c r="D579" s="33" t="str">
        <f t="shared" si="163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4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78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7"/>
        <v>1.13</v>
      </c>
      <c r="Z579" s="18">
        <f t="shared" si="176"/>
        <v>700000</v>
      </c>
      <c r="AA579" s="13">
        <v>1.1200000000000001</v>
      </c>
      <c r="AB579" s="21">
        <f t="shared" si="165"/>
        <v>693805.3097345134</v>
      </c>
      <c r="AC579" s="130">
        <f t="shared" si="166"/>
        <v>83256.637168141606</v>
      </c>
      <c r="AD579" s="169">
        <v>0.12</v>
      </c>
      <c r="AE579" s="154">
        <f t="shared" si="167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9"/>
        <v>477651199.57437885</v>
      </c>
      <c r="AJ579" s="19">
        <f t="shared" si="180"/>
        <v>56918800.518691957</v>
      </c>
      <c r="AK579" s="20">
        <f t="shared" si="168"/>
        <v>0.11916394341605475</v>
      </c>
      <c r="AL579" s="17"/>
      <c r="AM579" s="17"/>
      <c r="AN579" s="17"/>
      <c r="AO579" s="17"/>
      <c r="AP579" s="28" t="str">
        <f t="shared" si="169"/>
        <v>CancelCANCEL</v>
      </c>
      <c r="AQ579" s="28" t="str">
        <f t="shared" si="170"/>
        <v>CancelCANCELRMB</v>
      </c>
      <c r="AR579" s="206" t="str">
        <f t="shared" si="171"/>
        <v>YAMAHA_Mounter</v>
      </c>
      <c r="AS579" s="22" t="str">
        <f t="shared" si="172"/>
        <v/>
      </c>
      <c r="AT579" s="24" t="str">
        <f t="shared" si="173"/>
        <v/>
      </c>
    </row>
    <row r="580" spans="1:46" s="12" customFormat="1">
      <c r="A580" s="33" t="str">
        <f t="shared" si="162"/>
        <v>cancel</v>
      </c>
      <c r="B580" s="152"/>
      <c r="C580" s="152" t="s">
        <v>186</v>
      </c>
      <c r="D580" s="33" t="str">
        <f t="shared" si="163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4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78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7"/>
        <v>1.13</v>
      </c>
      <c r="Z580" s="18">
        <f t="shared" si="176"/>
        <v>835000</v>
      </c>
      <c r="AA580" s="13">
        <v>1.1200000000000001</v>
      </c>
      <c r="AB580" s="21">
        <f t="shared" si="165"/>
        <v>827610.61946902669</v>
      </c>
      <c r="AC580" s="130">
        <f t="shared" si="166"/>
        <v>99313.274336283197</v>
      </c>
      <c r="AD580" s="169">
        <v>0.12</v>
      </c>
      <c r="AE580" s="154">
        <f t="shared" si="167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9"/>
        <v>477651199.57437885</v>
      </c>
      <c r="AJ580" s="19">
        <f t="shared" si="180"/>
        <v>56918800.518691957</v>
      </c>
      <c r="AK580" s="20">
        <f t="shared" si="168"/>
        <v>0.11916394341605475</v>
      </c>
      <c r="AL580" s="17"/>
      <c r="AM580" s="17"/>
      <c r="AN580" s="17"/>
      <c r="AO580" s="17"/>
      <c r="AP580" s="28" t="str">
        <f t="shared" si="169"/>
        <v>CancelCANCEL</v>
      </c>
      <c r="AQ580" s="28" t="str">
        <f t="shared" si="170"/>
        <v>CancelCANCELRMB</v>
      </c>
      <c r="AR580" s="206" t="str">
        <f t="shared" si="171"/>
        <v>YAMAHA_Mounter</v>
      </c>
      <c r="AS580" s="22" t="str">
        <f t="shared" si="172"/>
        <v/>
      </c>
      <c r="AT580" s="24" t="str">
        <f t="shared" si="173"/>
        <v/>
      </c>
    </row>
    <row r="581" spans="1:46" s="12" customFormat="1">
      <c r="A581" s="33" t="str">
        <f t="shared" si="162"/>
        <v>cancel</v>
      </c>
      <c r="B581" s="152"/>
      <c r="C581" s="152" t="s">
        <v>186</v>
      </c>
      <c r="D581" s="33" t="str">
        <f t="shared" si="163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4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78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7"/>
        <v>1.13</v>
      </c>
      <c r="Z581" s="18">
        <f t="shared" si="176"/>
        <v>700000</v>
      </c>
      <c r="AA581" s="13">
        <v>1.1200000000000001</v>
      </c>
      <c r="AB581" s="21">
        <f t="shared" si="165"/>
        <v>693805.3097345134</v>
      </c>
      <c r="AC581" s="130">
        <f t="shared" si="166"/>
        <v>83256.637168141606</v>
      </c>
      <c r="AD581" s="169">
        <v>0.12</v>
      </c>
      <c r="AE581" s="154">
        <f t="shared" si="167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9"/>
        <v>477651199.57437885</v>
      </c>
      <c r="AJ581" s="19">
        <f t="shared" si="180"/>
        <v>56918800.518691957</v>
      </c>
      <c r="AK581" s="20">
        <f t="shared" si="168"/>
        <v>0.11916394341605475</v>
      </c>
      <c r="AL581" s="17"/>
      <c r="AM581" s="17"/>
      <c r="AN581" s="17"/>
      <c r="AO581" s="17"/>
      <c r="AP581" s="28" t="str">
        <f t="shared" si="169"/>
        <v>CancelCANCEL</v>
      </c>
      <c r="AQ581" s="28" t="str">
        <f t="shared" si="170"/>
        <v>CancelCANCELRMB</v>
      </c>
      <c r="AR581" s="206" t="str">
        <f t="shared" si="171"/>
        <v>YAMAHA_Mounter</v>
      </c>
      <c r="AS581" s="22" t="str">
        <f t="shared" si="172"/>
        <v/>
      </c>
      <c r="AT581" s="24" t="str">
        <f t="shared" si="173"/>
        <v/>
      </c>
    </row>
    <row r="582" spans="1:46" s="12" customFormat="1">
      <c r="A582" s="33" t="str">
        <f t="shared" ref="A582:A645" si="181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2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3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si="178"/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si="176"/>
        <v>888600</v>
      </c>
      <c r="AA582" s="13">
        <v>1.1499999999999999</v>
      </c>
      <c r="AB582" s="21">
        <f t="shared" ref="AB582:AB645" si="184">IF(AND(R582&lt;&gt;"C66",R582&lt;&gt;""),Z582/Y582*AA582,"")</f>
        <v>880939.6551724138</v>
      </c>
      <c r="AC582" s="130">
        <f t="shared" ref="AC582:AC645" si="185">IF(R582&lt;&gt;"",AB582*AD582,"")</f>
        <v>71091.830172413785</v>
      </c>
      <c r="AD582" s="169">
        <v>8.0699999999999994E-2</v>
      </c>
      <c r="AE582" s="154">
        <f t="shared" ref="AE582:AE645" si="186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9"/>
        <v>16455710.386637932</v>
      </c>
      <c r="AJ582" s="19">
        <f t="shared" si="180"/>
        <v>2150644.6466930606</v>
      </c>
      <c r="AK582" s="20">
        <f t="shared" ref="AK582:AK645" si="187">IF(AJ582&gt;0,AJ582/AI582,"")</f>
        <v>0.13069290818580451</v>
      </c>
      <c r="AL582" s="17"/>
      <c r="AM582" s="17"/>
      <c r="AN582" s="17"/>
      <c r="AO582" s="17"/>
      <c r="AP582" s="28" t="str">
        <f t="shared" ref="AP582:AP645" si="188">IF(F582="","",F582&amp;G582)</f>
        <v>20192</v>
      </c>
      <c r="AQ582" s="28" t="str">
        <f t="shared" ref="AQ582:AQ645" si="189">IF(W582="","",F582&amp;G582&amp;W582)</f>
        <v>20192RMB</v>
      </c>
      <c r="AR582" s="206" t="str">
        <f t="shared" ref="AR582:AR645" si="190">IFERROR(IF(AND(M582="YAMAHA", R582="C28"), "YAMAHA_Non_Mounter", IF(AND(M582="YAMAHA", R582="C49"), "YAMAHA_Mounter", M582)),"")</f>
        <v>YAMAHA_Mounter</v>
      </c>
      <c r="AS582" s="22">
        <f t="shared" ref="AS582:AS645" si="191">IFERROR(IF(OR(G582="TBA", G582=""), "", DATEDIF(DATE(B582, C582, 1), DATE(F582, G582, 1), "M")),"")</f>
        <v>1</v>
      </c>
      <c r="AT582" s="24" t="str">
        <f t="shared" ref="AT582:AT645" si="192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1"/>
        <v>FY 20/21</v>
      </c>
      <c r="B583" s="152">
        <v>2020</v>
      </c>
      <c r="C583" s="152">
        <v>10</v>
      </c>
      <c r="D583" s="33" t="str">
        <f t="shared" si="182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3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78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76"/>
        <v>260000</v>
      </c>
      <c r="AA583" s="13">
        <v>1.155</v>
      </c>
      <c r="AB583" s="21">
        <f t="shared" si="184"/>
        <v>265752.21238938055</v>
      </c>
      <c r="AC583" s="130">
        <f t="shared" si="185"/>
        <v>31996.566371681416</v>
      </c>
      <c r="AD583" s="169">
        <v>0.12039999999999999</v>
      </c>
      <c r="AE583" s="154">
        <f t="shared" si="186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9"/>
        <v>44078731.611185849</v>
      </c>
      <c r="AJ583" s="19">
        <f t="shared" si="180"/>
        <v>5508173.2163771465</v>
      </c>
      <c r="AK583" s="20">
        <f t="shared" si="187"/>
        <v>0.12496215328889679</v>
      </c>
      <c r="AL583" s="17"/>
      <c r="AM583" s="17"/>
      <c r="AN583" s="17"/>
      <c r="AO583" s="17"/>
      <c r="AP583" s="28" t="str">
        <f t="shared" si="188"/>
        <v>202011</v>
      </c>
      <c r="AQ583" s="28" t="str">
        <f t="shared" si="189"/>
        <v>202011RMB</v>
      </c>
      <c r="AR583" s="206" t="str">
        <f t="shared" si="190"/>
        <v>HELLER</v>
      </c>
      <c r="AS583" s="22">
        <f t="shared" si="191"/>
        <v>1</v>
      </c>
      <c r="AT583" s="24" t="str">
        <f t="shared" si="192"/>
        <v>0-3 months</v>
      </c>
    </row>
    <row r="584" spans="1:46" s="12" customFormat="1">
      <c r="A584" s="33" t="str">
        <f t="shared" si="181"/>
        <v>FY 18/19</v>
      </c>
      <c r="B584" s="152">
        <v>2019</v>
      </c>
      <c r="C584" s="152">
        <v>1</v>
      </c>
      <c r="D584" s="33" t="str">
        <f t="shared" si="182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3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78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76"/>
        <v>304800</v>
      </c>
      <c r="AA584" s="13">
        <v>1.1599999999999999</v>
      </c>
      <c r="AB584" s="21">
        <f t="shared" si="184"/>
        <v>304800</v>
      </c>
      <c r="AC584" s="130">
        <f t="shared" si="185"/>
        <v>43677.840000000004</v>
      </c>
      <c r="AD584" s="169">
        <v>0.14330000000000001</v>
      </c>
      <c r="AE584" s="154">
        <f t="shared" si="186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9"/>
        <v>47416008.333399981</v>
      </c>
      <c r="AJ584" s="19">
        <f t="shared" si="180"/>
        <v>6981738.4465290187</v>
      </c>
      <c r="AK584" s="20">
        <f t="shared" si="187"/>
        <v>0.14724433143839863</v>
      </c>
      <c r="AL584" s="17"/>
      <c r="AM584" s="17"/>
      <c r="AN584" s="17"/>
      <c r="AO584" s="17"/>
      <c r="AP584" s="28" t="str">
        <f t="shared" si="188"/>
        <v>20193</v>
      </c>
      <c r="AQ584" s="28" t="str">
        <f t="shared" si="189"/>
        <v>20193RMB</v>
      </c>
      <c r="AR584" s="206" t="str">
        <f t="shared" si="190"/>
        <v>HELLER</v>
      </c>
      <c r="AS584" s="22">
        <f t="shared" si="191"/>
        <v>2</v>
      </c>
      <c r="AT584" s="24" t="str">
        <f t="shared" si="192"/>
        <v>0-3 months</v>
      </c>
    </row>
    <row r="585" spans="1:46" s="12" customFormat="1">
      <c r="A585" s="33" t="str">
        <f t="shared" si="181"/>
        <v>FY 22/23</v>
      </c>
      <c r="B585" s="152">
        <v>2023</v>
      </c>
      <c r="C585" s="152">
        <v>3</v>
      </c>
      <c r="D585" s="33" t="str">
        <f t="shared" si="182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3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78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76"/>
        <v>308000</v>
      </c>
      <c r="AA585" s="13">
        <v>1.135</v>
      </c>
      <c r="AB585" s="21">
        <f t="shared" si="184"/>
        <v>309362.83185840712</v>
      </c>
      <c r="AC585" s="130">
        <f t="shared" si="185"/>
        <v>68585.739823008858</v>
      </c>
      <c r="AD585" s="169">
        <v>0.22170000000000001</v>
      </c>
      <c r="AE585" s="154">
        <f t="shared" si="186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9"/>
        <v>28177779.013274338</v>
      </c>
      <c r="AJ585" s="19">
        <f t="shared" si="180"/>
        <v>4727216.6376190251</v>
      </c>
      <c r="AK585" s="20">
        <f t="shared" si="187"/>
        <v>0.1677639900359808</v>
      </c>
      <c r="AL585" s="17"/>
      <c r="AM585" s="17"/>
      <c r="AN585" s="17"/>
      <c r="AO585" s="17"/>
      <c r="AP585" s="28" t="str">
        <f t="shared" si="188"/>
        <v>20235</v>
      </c>
      <c r="AQ585" s="28" t="str">
        <f t="shared" si="189"/>
        <v>20235RMB</v>
      </c>
      <c r="AR585" s="206" t="str">
        <f t="shared" si="190"/>
        <v>HELLER</v>
      </c>
      <c r="AS585" s="22">
        <f t="shared" si="191"/>
        <v>2</v>
      </c>
      <c r="AT585" s="24" t="str">
        <f t="shared" si="192"/>
        <v>0-3 months</v>
      </c>
    </row>
    <row r="586" spans="1:46" s="12" customFormat="1">
      <c r="A586" s="33" t="str">
        <f t="shared" si="181"/>
        <v>FY 22/23</v>
      </c>
      <c r="B586" s="152">
        <v>2023</v>
      </c>
      <c r="C586" s="152">
        <v>1</v>
      </c>
      <c r="D586" s="33" t="str">
        <f t="shared" si="182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3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78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3">IF(W586="RMB","1.13", "1")</f>
        <v>1.13</v>
      </c>
      <c r="Z586" s="18">
        <f t="shared" si="176"/>
        <v>675500</v>
      </c>
      <c r="AA586" s="13">
        <v>1.1200000000000001</v>
      </c>
      <c r="AB586" s="21">
        <f t="shared" si="184"/>
        <v>669522.12389380543</v>
      </c>
      <c r="AC586" s="130">
        <f t="shared" si="185"/>
        <v>53628.722123893815</v>
      </c>
      <c r="AD586" s="169">
        <v>8.0100000000000005E-2</v>
      </c>
      <c r="AE586" s="154">
        <f t="shared" si="186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9"/>
        <v>7502645.9971681423</v>
      </c>
      <c r="AJ586" s="19">
        <f t="shared" si="180"/>
        <v>664841.72044240718</v>
      </c>
      <c r="AK586" s="20">
        <f t="shared" si="187"/>
        <v>8.861429963420242E-2</v>
      </c>
      <c r="AL586" s="17"/>
      <c r="AM586" s="17"/>
      <c r="AN586" s="17"/>
      <c r="AO586" s="17"/>
      <c r="AP586" s="28" t="str">
        <f t="shared" si="188"/>
        <v>20231</v>
      </c>
      <c r="AQ586" s="28" t="str">
        <f t="shared" si="189"/>
        <v>20231RMB</v>
      </c>
      <c r="AR586" s="206" t="str">
        <f t="shared" si="190"/>
        <v>YAMAHA_Mounter</v>
      </c>
      <c r="AS586" s="22">
        <f t="shared" si="191"/>
        <v>0</v>
      </c>
      <c r="AT586" s="24" t="str">
        <f t="shared" si="192"/>
        <v>0-3 months</v>
      </c>
    </row>
    <row r="587" spans="1:46" s="12" customFormat="1">
      <c r="A587" s="33" t="str">
        <f t="shared" si="181"/>
        <v>FY 21/22</v>
      </c>
      <c r="B587" s="152">
        <v>2022</v>
      </c>
      <c r="C587" s="152">
        <v>3</v>
      </c>
      <c r="D587" s="33" t="str">
        <f t="shared" si="182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3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78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3"/>
        <v>1.13</v>
      </c>
      <c r="Z587" s="18">
        <f t="shared" si="176"/>
        <v>371000</v>
      </c>
      <c r="AA587" s="13">
        <v>1.175</v>
      </c>
      <c r="AB587" s="21">
        <f t="shared" si="184"/>
        <v>385774.33628318593</v>
      </c>
      <c r="AC587" s="130">
        <f t="shared" si="185"/>
        <v>79276.626106194701</v>
      </c>
      <c r="AD587" s="169">
        <v>0.20549999999999999</v>
      </c>
      <c r="AE587" s="154">
        <f t="shared" si="186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9"/>
        <v>35682787.057522126</v>
      </c>
      <c r="AJ587" s="19">
        <f t="shared" si="180"/>
        <v>5833368.3789623892</v>
      </c>
      <c r="AK587" s="20">
        <f t="shared" si="187"/>
        <v>0.16347849649632912</v>
      </c>
      <c r="AL587" s="17"/>
      <c r="AM587" s="17"/>
      <c r="AN587" s="17"/>
      <c r="AO587" s="17"/>
      <c r="AP587" s="28" t="str">
        <f t="shared" si="188"/>
        <v>20226</v>
      </c>
      <c r="AQ587" s="28" t="str">
        <f t="shared" si="189"/>
        <v>20226RMB</v>
      </c>
      <c r="AR587" s="206" t="str">
        <f t="shared" si="190"/>
        <v>PEMTRON</v>
      </c>
      <c r="AS587" s="22">
        <f t="shared" si="191"/>
        <v>3</v>
      </c>
      <c r="AT587" s="24" t="str">
        <f t="shared" si="192"/>
        <v>0-3 months</v>
      </c>
    </row>
    <row r="588" spans="1:46" s="12" customFormat="1">
      <c r="A588" s="33" t="str">
        <f t="shared" si="181"/>
        <v>FY 21/22</v>
      </c>
      <c r="B588" s="152">
        <v>2022</v>
      </c>
      <c r="C588" s="152">
        <v>3</v>
      </c>
      <c r="D588" s="33" t="str">
        <f t="shared" si="182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3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78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3"/>
        <v>1.13</v>
      </c>
      <c r="Z588" s="18">
        <f t="shared" si="176"/>
        <v>643000</v>
      </c>
      <c r="AA588" s="13">
        <v>1.175</v>
      </c>
      <c r="AB588" s="21">
        <f t="shared" si="184"/>
        <v>668606.19469026558</v>
      </c>
      <c r="AC588" s="130">
        <f t="shared" si="185"/>
        <v>137398.57300884958</v>
      </c>
      <c r="AD588" s="169">
        <v>0.20549999999999999</v>
      </c>
      <c r="AE588" s="154">
        <f t="shared" si="186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9"/>
        <v>35682787.057522126</v>
      </c>
      <c r="AJ588" s="19">
        <f t="shared" si="180"/>
        <v>5833368.3789623892</v>
      </c>
      <c r="AK588" s="20">
        <f t="shared" si="187"/>
        <v>0.16347849649632912</v>
      </c>
      <c r="AL588" s="17"/>
      <c r="AM588" s="17"/>
      <c r="AN588" s="17"/>
      <c r="AO588" s="17"/>
      <c r="AP588" s="28" t="str">
        <f t="shared" si="188"/>
        <v>20226</v>
      </c>
      <c r="AQ588" s="28" t="str">
        <f t="shared" si="189"/>
        <v>20226RMB</v>
      </c>
      <c r="AR588" s="206" t="str">
        <f t="shared" si="190"/>
        <v>PEMTRON</v>
      </c>
      <c r="AS588" s="22">
        <f t="shared" si="191"/>
        <v>3</v>
      </c>
      <c r="AT588" s="24" t="str">
        <f t="shared" si="192"/>
        <v>0-3 months</v>
      </c>
    </row>
    <row r="589" spans="1:46" s="12" customFormat="1">
      <c r="A589" s="33" t="str">
        <f t="shared" si="181"/>
        <v>FY 22/23</v>
      </c>
      <c r="B589" s="152">
        <v>2022</v>
      </c>
      <c r="C589" s="152">
        <v>4</v>
      </c>
      <c r="D589" s="33" t="str">
        <f t="shared" si="182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3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78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3"/>
        <v>1.13</v>
      </c>
      <c r="Z589" s="18">
        <f t="shared" si="176"/>
        <v>239000</v>
      </c>
      <c r="AA589" s="13">
        <v>1.175</v>
      </c>
      <c r="AB589" s="21">
        <f t="shared" si="184"/>
        <v>248517.69911504429</v>
      </c>
      <c r="AC589" s="130">
        <f t="shared" si="185"/>
        <v>46746.179203539832</v>
      </c>
      <c r="AD589" s="169">
        <v>0.18809999999999999</v>
      </c>
      <c r="AE589" s="154">
        <f t="shared" si="186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9"/>
        <v>35682787.057522126</v>
      </c>
      <c r="AJ589" s="19">
        <f t="shared" si="180"/>
        <v>5833368.3789623892</v>
      </c>
      <c r="AK589" s="20">
        <f t="shared" si="187"/>
        <v>0.16347849649632912</v>
      </c>
      <c r="AL589" s="17"/>
      <c r="AM589" s="17"/>
      <c r="AN589" s="17"/>
      <c r="AO589" s="17"/>
      <c r="AP589" s="28" t="str">
        <f t="shared" si="188"/>
        <v>20226</v>
      </c>
      <c r="AQ589" s="28" t="str">
        <f t="shared" si="189"/>
        <v>20226RMB</v>
      </c>
      <c r="AR589" s="206" t="str">
        <f t="shared" si="190"/>
        <v>LOCAL SUPPLIER</v>
      </c>
      <c r="AS589" s="22">
        <f t="shared" si="191"/>
        <v>2</v>
      </c>
      <c r="AT589" s="24" t="str">
        <f t="shared" si="192"/>
        <v>0-3 months</v>
      </c>
    </row>
    <row r="590" spans="1:46" s="12" customFormat="1">
      <c r="A590" s="33" t="str">
        <f t="shared" si="181"/>
        <v>FY 21/22</v>
      </c>
      <c r="B590" s="152">
        <v>2022</v>
      </c>
      <c r="C590" s="152">
        <v>3</v>
      </c>
      <c r="D590" s="33" t="str">
        <f t="shared" si="182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3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78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3"/>
        <v>1.13</v>
      </c>
      <c r="Z590" s="18">
        <f t="shared" si="176"/>
        <v>567000</v>
      </c>
      <c r="AA590" s="13">
        <v>1.17</v>
      </c>
      <c r="AB590" s="21">
        <f t="shared" si="184"/>
        <v>587070.79646017705</v>
      </c>
      <c r="AC590" s="130">
        <f t="shared" si="185"/>
        <v>116474.84601769912</v>
      </c>
      <c r="AD590" s="169">
        <v>0.19839999999999999</v>
      </c>
      <c r="AE590" s="154">
        <f t="shared" si="186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9"/>
        <v>36480247.665929198</v>
      </c>
      <c r="AJ590" s="19">
        <f t="shared" si="180"/>
        <v>5330996.6372757526</v>
      </c>
      <c r="AK590" s="20">
        <f t="shared" si="187"/>
        <v>0.14613378412599562</v>
      </c>
      <c r="AL590" s="17"/>
      <c r="AM590" s="17"/>
      <c r="AN590" s="17"/>
      <c r="AO590" s="17"/>
      <c r="AP590" s="28" t="str">
        <f t="shared" si="188"/>
        <v>20227</v>
      </c>
      <c r="AQ590" s="28" t="str">
        <f t="shared" si="189"/>
        <v>20227RMB</v>
      </c>
      <c r="AR590" s="206" t="str">
        <f t="shared" si="190"/>
        <v>HELLER</v>
      </c>
      <c r="AS590" s="22">
        <f t="shared" si="191"/>
        <v>4</v>
      </c>
      <c r="AT590" s="24" t="str">
        <f t="shared" si="192"/>
        <v>4-6 months</v>
      </c>
    </row>
    <row r="591" spans="1:46" s="12" customFormat="1">
      <c r="A591" s="33" t="str">
        <f t="shared" si="181"/>
        <v>FY 21/22</v>
      </c>
      <c r="B591" s="152">
        <v>2022</v>
      </c>
      <c r="C591" s="152">
        <v>3</v>
      </c>
      <c r="D591" s="33" t="str">
        <f t="shared" si="182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3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78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3"/>
        <v>1.13</v>
      </c>
      <c r="Z591" s="18">
        <f t="shared" si="176"/>
        <v>340000</v>
      </c>
      <c r="AA591" s="13">
        <v>1.17</v>
      </c>
      <c r="AB591" s="21">
        <f t="shared" si="184"/>
        <v>352035.39823008853</v>
      </c>
      <c r="AC591" s="130">
        <f t="shared" si="185"/>
        <v>69843.823008849562</v>
      </c>
      <c r="AD591" s="169">
        <v>0.19839999999999999</v>
      </c>
      <c r="AE591" s="154">
        <f t="shared" si="186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9"/>
        <v>36480247.665929198</v>
      </c>
      <c r="AJ591" s="19">
        <f t="shared" si="180"/>
        <v>5330996.6372757526</v>
      </c>
      <c r="AK591" s="20">
        <f t="shared" si="187"/>
        <v>0.14613378412599562</v>
      </c>
      <c r="AL591" s="17"/>
      <c r="AM591" s="17"/>
      <c r="AN591" s="17"/>
      <c r="AO591" s="17"/>
      <c r="AP591" s="28" t="str">
        <f t="shared" si="188"/>
        <v>20227</v>
      </c>
      <c r="AQ591" s="28" t="str">
        <f t="shared" si="189"/>
        <v>20227RMB</v>
      </c>
      <c r="AR591" s="206" t="str">
        <f t="shared" si="190"/>
        <v>LOCAL SUPPLIER</v>
      </c>
      <c r="AS591" s="22">
        <f t="shared" si="191"/>
        <v>4</v>
      </c>
      <c r="AT591" s="24" t="str">
        <f t="shared" si="192"/>
        <v>4-6 months</v>
      </c>
    </row>
    <row r="592" spans="1:46" s="12" customFormat="1">
      <c r="A592" s="33" t="str">
        <f t="shared" si="181"/>
        <v>FY 20/21</v>
      </c>
      <c r="B592" s="152">
        <v>2020</v>
      </c>
      <c r="C592" s="152">
        <v>12</v>
      </c>
      <c r="D592" s="33" t="str">
        <f t="shared" si="182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3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78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3"/>
        <v>1.13</v>
      </c>
      <c r="Z592" s="18">
        <f t="shared" si="176"/>
        <v>1004000</v>
      </c>
      <c r="AA592" s="13">
        <v>1.1850000000000001</v>
      </c>
      <c r="AB592" s="21">
        <f t="shared" si="184"/>
        <v>1052867.2566371683</v>
      </c>
      <c r="AC592" s="130">
        <f t="shared" si="185"/>
        <v>105918.44601769913</v>
      </c>
      <c r="AD592" s="169">
        <v>0.10059999999999999</v>
      </c>
      <c r="AE592" s="154">
        <f t="shared" si="186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9"/>
        <v>45803245.025628321</v>
      </c>
      <c r="AJ592" s="19">
        <f t="shared" si="180"/>
        <v>5664636.2584379362</v>
      </c>
      <c r="AK592" s="20">
        <f t="shared" si="187"/>
        <v>0.12367325186825515</v>
      </c>
      <c r="AL592" s="17"/>
      <c r="AM592" s="17"/>
      <c r="AN592" s="17"/>
      <c r="AO592" s="17"/>
      <c r="AP592" s="28" t="str">
        <f t="shared" si="188"/>
        <v>20211</v>
      </c>
      <c r="AQ592" s="28" t="str">
        <f t="shared" si="189"/>
        <v>20211RMB</v>
      </c>
      <c r="AR592" s="206" t="str">
        <f t="shared" si="190"/>
        <v>YAMAHA_Mounter</v>
      </c>
      <c r="AS592" s="22">
        <f t="shared" si="191"/>
        <v>1</v>
      </c>
      <c r="AT592" s="24" t="str">
        <f t="shared" si="192"/>
        <v>0-3 months</v>
      </c>
    </row>
    <row r="593" spans="1:46" s="12" customFormat="1">
      <c r="A593" s="33" t="str">
        <f t="shared" si="181"/>
        <v>FY 20/21</v>
      </c>
      <c r="B593" s="152">
        <v>2020</v>
      </c>
      <c r="C593" s="152">
        <v>12</v>
      </c>
      <c r="D593" s="33" t="str">
        <f t="shared" si="182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3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78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3"/>
        <v>1.13</v>
      </c>
      <c r="Z593" s="18">
        <f t="shared" si="176"/>
        <v>696000</v>
      </c>
      <c r="AA593" s="13">
        <v>1.1850000000000001</v>
      </c>
      <c r="AB593" s="21">
        <f t="shared" si="184"/>
        <v>729876.10619469034</v>
      </c>
      <c r="AC593" s="130">
        <f t="shared" si="185"/>
        <v>73425.536283185851</v>
      </c>
      <c r="AD593" s="169">
        <v>0.10059999999999999</v>
      </c>
      <c r="AE593" s="154">
        <f t="shared" si="186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9"/>
        <v>45803245.025628321</v>
      </c>
      <c r="AJ593" s="19">
        <f t="shared" si="180"/>
        <v>5664636.2584379362</v>
      </c>
      <c r="AK593" s="20">
        <f t="shared" si="187"/>
        <v>0.12367325186825515</v>
      </c>
      <c r="AL593" s="17"/>
      <c r="AM593" s="17"/>
      <c r="AN593" s="17"/>
      <c r="AO593" s="17"/>
      <c r="AP593" s="28" t="str">
        <f t="shared" si="188"/>
        <v>20211</v>
      </c>
      <c r="AQ593" s="28" t="str">
        <f t="shared" si="189"/>
        <v>20211RMB</v>
      </c>
      <c r="AR593" s="206" t="str">
        <f t="shared" si="190"/>
        <v>YAMAHA_Mounter</v>
      </c>
      <c r="AS593" s="22">
        <f t="shared" si="191"/>
        <v>1</v>
      </c>
      <c r="AT593" s="24" t="str">
        <f t="shared" si="192"/>
        <v>0-3 months</v>
      </c>
    </row>
    <row r="594" spans="1:46" s="12" customFormat="1">
      <c r="A594" s="33" t="str">
        <f t="shared" si="181"/>
        <v>FY 22/23</v>
      </c>
      <c r="B594" s="152">
        <v>2022</v>
      </c>
      <c r="C594" s="152">
        <v>11</v>
      </c>
      <c r="D594" s="33" t="str">
        <f t="shared" si="182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3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78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3"/>
        <v>1.13</v>
      </c>
      <c r="Z594" s="18">
        <f t="shared" si="176"/>
        <v>606500</v>
      </c>
      <c r="AA594" s="13">
        <v>1.08</v>
      </c>
      <c r="AB594" s="21">
        <f t="shared" si="184"/>
        <v>579663.71681415942</v>
      </c>
      <c r="AC594" s="130">
        <f t="shared" si="185"/>
        <v>51474.138053097362</v>
      </c>
      <c r="AD594" s="169">
        <v>8.8800000000000004E-2</v>
      </c>
      <c r="AE594" s="154">
        <f t="shared" si="186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9"/>
        <v>31017966.201968137</v>
      </c>
      <c r="AJ594" s="19">
        <f t="shared" si="180"/>
        <v>4704250.3347305888</v>
      </c>
      <c r="AK594" s="20">
        <f t="shared" si="187"/>
        <v>0.15166211427595458</v>
      </c>
      <c r="AL594" s="17"/>
      <c r="AM594" s="17"/>
      <c r="AN594" s="17"/>
      <c r="AO594" s="17"/>
      <c r="AP594" s="28" t="str">
        <f t="shared" si="188"/>
        <v>202211</v>
      </c>
      <c r="AQ594" s="28" t="str">
        <f t="shared" si="189"/>
        <v>202211RMB</v>
      </c>
      <c r="AR594" s="206" t="str">
        <f t="shared" si="190"/>
        <v>YAMAHA_Mounter</v>
      </c>
      <c r="AS594" s="22">
        <f t="shared" si="191"/>
        <v>0</v>
      </c>
      <c r="AT594" s="24" t="str">
        <f t="shared" si="192"/>
        <v>0-3 months</v>
      </c>
    </row>
    <row r="595" spans="1:46" s="12" customFormat="1">
      <c r="A595" s="33" t="str">
        <f t="shared" si="181"/>
        <v>FY 22/23</v>
      </c>
      <c r="B595" s="152">
        <v>2022</v>
      </c>
      <c r="C595" s="152">
        <v>11</v>
      </c>
      <c r="D595" s="33" t="str">
        <f t="shared" si="182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3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78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3"/>
        <v>1.13</v>
      </c>
      <c r="Z595" s="18">
        <f t="shared" si="176"/>
        <v>606500</v>
      </c>
      <c r="AA595" s="13">
        <v>1.08</v>
      </c>
      <c r="AB595" s="21">
        <f t="shared" si="184"/>
        <v>579663.71681415942</v>
      </c>
      <c r="AC595" s="130">
        <f t="shared" si="185"/>
        <v>51474.138053097362</v>
      </c>
      <c r="AD595" s="169">
        <v>8.8800000000000004E-2</v>
      </c>
      <c r="AE595" s="154">
        <f t="shared" si="186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9"/>
        <v>31017966.201968137</v>
      </c>
      <c r="AJ595" s="19">
        <f t="shared" si="180"/>
        <v>4704250.3347305888</v>
      </c>
      <c r="AK595" s="20">
        <f t="shared" si="187"/>
        <v>0.15166211427595458</v>
      </c>
      <c r="AL595" s="17"/>
      <c r="AM595" s="17"/>
      <c r="AN595" s="17"/>
      <c r="AO595" s="17"/>
      <c r="AP595" s="28" t="str">
        <f t="shared" si="188"/>
        <v>202211</v>
      </c>
      <c r="AQ595" s="28" t="str">
        <f t="shared" si="189"/>
        <v>202211RMB</v>
      </c>
      <c r="AR595" s="206" t="str">
        <f t="shared" si="190"/>
        <v>YAMAHA_Mounter</v>
      </c>
      <c r="AS595" s="22">
        <f t="shared" si="191"/>
        <v>0</v>
      </c>
      <c r="AT595" s="24" t="str">
        <f t="shared" si="192"/>
        <v>0-3 months</v>
      </c>
    </row>
    <row r="596" spans="1:46" s="12" customFormat="1">
      <c r="A596" s="33" t="str">
        <f t="shared" si="181"/>
        <v>FY 19/20</v>
      </c>
      <c r="B596" s="152">
        <v>2019</v>
      </c>
      <c r="C596" s="152">
        <v>9</v>
      </c>
      <c r="D596" s="33" t="str">
        <f t="shared" si="182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3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78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76"/>
        <v>970000</v>
      </c>
      <c r="AA596" s="13">
        <v>1.095</v>
      </c>
      <c r="AB596" s="21">
        <f t="shared" si="184"/>
        <v>939955.75221238937</v>
      </c>
      <c r="AC596" s="130">
        <f t="shared" si="185"/>
        <v>69744.716814159299</v>
      </c>
      <c r="AD596" s="169">
        <v>7.4200000000000002E-2</v>
      </c>
      <c r="AE596" s="154">
        <f t="shared" si="186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9"/>
        <v>28647263.974455759</v>
      </c>
      <c r="AJ596" s="19">
        <f t="shared" si="180"/>
        <v>3219855.6912513468</v>
      </c>
      <c r="AK596" s="20">
        <f t="shared" si="187"/>
        <v>0.11239662168514358</v>
      </c>
      <c r="AL596" s="17"/>
      <c r="AM596" s="17"/>
      <c r="AN596" s="17"/>
      <c r="AO596" s="17"/>
      <c r="AP596" s="28" t="str">
        <f t="shared" si="188"/>
        <v>201910</v>
      </c>
      <c r="AQ596" s="28" t="str">
        <f t="shared" si="189"/>
        <v>201910RMB</v>
      </c>
      <c r="AR596" s="206" t="str">
        <f t="shared" si="190"/>
        <v>YAMAHA_Mounter</v>
      </c>
      <c r="AS596" s="22">
        <f t="shared" si="191"/>
        <v>1</v>
      </c>
      <c r="AT596" s="24" t="str">
        <f t="shared" si="192"/>
        <v>0-3 months</v>
      </c>
    </row>
    <row r="597" spans="1:46" s="12" customFormat="1">
      <c r="A597" s="33" t="str">
        <f t="shared" si="181"/>
        <v>FY 21/22</v>
      </c>
      <c r="B597" s="152">
        <v>2021</v>
      </c>
      <c r="C597" s="152">
        <v>4</v>
      </c>
      <c r="D597" s="33" t="str">
        <f t="shared" si="182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3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78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76"/>
        <v>775800</v>
      </c>
      <c r="AA597" s="13">
        <v>1.2150000000000001</v>
      </c>
      <c r="AB597" s="21">
        <f t="shared" si="184"/>
        <v>834156.63716814166</v>
      </c>
      <c r="AC597" s="130">
        <f t="shared" si="185"/>
        <v>102851.51336283187</v>
      </c>
      <c r="AD597" s="169">
        <v>0.12330000000000001</v>
      </c>
      <c r="AE597" s="154">
        <f t="shared" si="186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9"/>
        <v>54700260.692079648</v>
      </c>
      <c r="AJ597" s="19">
        <f t="shared" si="180"/>
        <v>7482899.5749188727</v>
      </c>
      <c r="AK597" s="20">
        <f t="shared" si="187"/>
        <v>0.13679824337660537</v>
      </c>
      <c r="AL597" s="17"/>
      <c r="AM597" s="17"/>
      <c r="AN597" s="17"/>
      <c r="AO597" s="17"/>
      <c r="AP597" s="28" t="str">
        <f t="shared" si="188"/>
        <v>20216</v>
      </c>
      <c r="AQ597" s="28" t="str">
        <f t="shared" si="189"/>
        <v>20216RMB</v>
      </c>
      <c r="AR597" s="206" t="str">
        <f t="shared" si="190"/>
        <v>YAMAHA_Mounter</v>
      </c>
      <c r="AS597" s="22">
        <f t="shared" si="191"/>
        <v>2</v>
      </c>
      <c r="AT597" s="24" t="str">
        <f t="shared" si="192"/>
        <v>0-3 months</v>
      </c>
    </row>
    <row r="598" spans="1:46" s="12" customFormat="1">
      <c r="A598" s="33" t="str">
        <f t="shared" si="181"/>
        <v>FY 22/23</v>
      </c>
      <c r="B598" s="152">
        <v>2022</v>
      </c>
      <c r="C598" s="152">
        <v>11</v>
      </c>
      <c r="D598" s="33" t="str">
        <f t="shared" si="182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3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78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76"/>
        <v>900000</v>
      </c>
      <c r="AA598" s="13">
        <v>1.1399999999999999</v>
      </c>
      <c r="AB598" s="21">
        <f t="shared" si="184"/>
        <v>907964.60176991147</v>
      </c>
      <c r="AC598" s="130">
        <f t="shared" si="185"/>
        <v>86165.840707964599</v>
      </c>
      <c r="AD598" s="169">
        <v>9.4899999999999998E-2</v>
      </c>
      <c r="AE598" s="154">
        <f t="shared" si="186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9"/>
        <v>30573205.452778768</v>
      </c>
      <c r="AJ598" s="19">
        <f t="shared" si="180"/>
        <v>3790930.1683151261</v>
      </c>
      <c r="AK598" s="20">
        <f t="shared" si="187"/>
        <v>0.12399518179964254</v>
      </c>
      <c r="AL598" s="17"/>
      <c r="AM598" s="17"/>
      <c r="AN598" s="17"/>
      <c r="AO598" s="17"/>
      <c r="AP598" s="28" t="str">
        <f t="shared" si="188"/>
        <v>20234</v>
      </c>
      <c r="AQ598" s="28" t="str">
        <f t="shared" si="189"/>
        <v>20234RMB</v>
      </c>
      <c r="AR598" s="206" t="str">
        <f t="shared" si="190"/>
        <v>YAMAHA_Mounter</v>
      </c>
      <c r="AS598" s="22">
        <f t="shared" si="191"/>
        <v>5</v>
      </c>
      <c r="AT598" s="24" t="str">
        <f t="shared" si="192"/>
        <v>4-6 months</v>
      </c>
    </row>
    <row r="599" spans="1:46" s="12" customFormat="1">
      <c r="A599" s="33" t="str">
        <f t="shared" si="181"/>
        <v>FY 22/23</v>
      </c>
      <c r="B599" s="152">
        <v>2022</v>
      </c>
      <c r="C599" s="152">
        <v>11</v>
      </c>
      <c r="D599" s="33" t="str">
        <f t="shared" si="182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3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78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76"/>
        <v>700000</v>
      </c>
      <c r="AA599" s="13">
        <v>1.1399999999999999</v>
      </c>
      <c r="AB599" s="21">
        <f t="shared" si="184"/>
        <v>706194.69026548672</v>
      </c>
      <c r="AC599" s="130">
        <f t="shared" si="185"/>
        <v>67017.876106194686</v>
      </c>
      <c r="AD599" s="169">
        <v>9.4899999999999998E-2</v>
      </c>
      <c r="AE599" s="154">
        <f t="shared" si="186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9"/>
        <v>30573205.452778768</v>
      </c>
      <c r="AJ599" s="19">
        <f t="shared" si="180"/>
        <v>3790930.1683151261</v>
      </c>
      <c r="AK599" s="20">
        <f t="shared" si="187"/>
        <v>0.12399518179964254</v>
      </c>
      <c r="AL599" s="17"/>
      <c r="AM599" s="17"/>
      <c r="AN599" s="17"/>
      <c r="AO599" s="17"/>
      <c r="AP599" s="28" t="str">
        <f t="shared" si="188"/>
        <v>20234</v>
      </c>
      <c r="AQ599" s="28" t="str">
        <f t="shared" si="189"/>
        <v>20234RMB</v>
      </c>
      <c r="AR599" s="206" t="str">
        <f t="shared" si="190"/>
        <v>YAMAHA_Mounter</v>
      </c>
      <c r="AS599" s="22">
        <f t="shared" si="191"/>
        <v>5</v>
      </c>
      <c r="AT599" s="24" t="str">
        <f t="shared" si="192"/>
        <v>4-6 months</v>
      </c>
    </row>
    <row r="600" spans="1:46" s="12" customFormat="1">
      <c r="A600" s="33" t="str">
        <f t="shared" si="181"/>
        <v>cancel</v>
      </c>
      <c r="B600" s="152"/>
      <c r="C600" s="152" t="s">
        <v>186</v>
      </c>
      <c r="D600" s="33" t="str">
        <f t="shared" si="182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3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78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76"/>
        <v>490000</v>
      </c>
      <c r="AA600" s="13">
        <v>1.1200000000000001</v>
      </c>
      <c r="AB600" s="21">
        <f t="shared" si="184"/>
        <v>485663.71681415936</v>
      </c>
      <c r="AC600" s="130">
        <f t="shared" si="185"/>
        <v>58279.646017699124</v>
      </c>
      <c r="AD600" s="169">
        <v>0.12</v>
      </c>
      <c r="AE600" s="154">
        <f t="shared" si="186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9"/>
        <v>477651199.57437885</v>
      </c>
      <c r="AJ600" s="19">
        <f t="shared" si="180"/>
        <v>56918800.518691957</v>
      </c>
      <c r="AK600" s="20">
        <f t="shared" si="187"/>
        <v>0.11916394341605475</v>
      </c>
      <c r="AL600" s="17"/>
      <c r="AM600" s="17"/>
      <c r="AN600" s="17"/>
      <c r="AO600" s="17"/>
      <c r="AP600" s="28" t="str">
        <f t="shared" si="188"/>
        <v>CancelCancel</v>
      </c>
      <c r="AQ600" s="28" t="str">
        <f t="shared" si="189"/>
        <v>CancelCancelRMB</v>
      </c>
      <c r="AR600" s="206" t="str">
        <f t="shared" si="190"/>
        <v>YAMAHA_Mounter</v>
      </c>
      <c r="AS600" s="22" t="str">
        <f t="shared" si="191"/>
        <v/>
      </c>
      <c r="AT600" s="24" t="str">
        <f t="shared" si="192"/>
        <v/>
      </c>
    </row>
    <row r="601" spans="1:46" s="12" customFormat="1">
      <c r="A601" s="33" t="str">
        <f t="shared" si="181"/>
        <v>FY 23/24</v>
      </c>
      <c r="B601" s="23">
        <v>2024</v>
      </c>
      <c r="C601" s="152">
        <v>3</v>
      </c>
      <c r="D601" s="33" t="str">
        <f t="shared" si="182"/>
        <v>Q4</v>
      </c>
      <c r="E601" s="33" t="s">
        <v>3173</v>
      </c>
      <c r="F601" s="23">
        <v>2024</v>
      </c>
      <c r="G601" s="23">
        <v>5</v>
      </c>
      <c r="H601" s="29"/>
      <c r="I601" s="33" t="str">
        <f t="shared" si="183"/>
        <v>Q1</v>
      </c>
      <c r="J601" s="190" t="s">
        <v>3345</v>
      </c>
      <c r="K601" s="29" t="s">
        <v>990</v>
      </c>
      <c r="L601" s="17" t="s">
        <v>2621</v>
      </c>
      <c r="M601" s="22" t="s">
        <v>61</v>
      </c>
      <c r="N601" s="22">
        <v>1</v>
      </c>
      <c r="O601" s="22"/>
      <c r="P601" s="33" t="str">
        <f t="shared" si="178"/>
        <v>MAIN UNIT</v>
      </c>
      <c r="Q601" s="13" t="s">
        <v>62</v>
      </c>
      <c r="R601" s="22" t="s">
        <v>2056</v>
      </c>
      <c r="S601" s="22" t="s">
        <v>50</v>
      </c>
      <c r="T601" s="22" t="s">
        <v>79</v>
      </c>
      <c r="U601" s="22" t="s">
        <v>247</v>
      </c>
      <c r="V601" s="22" t="s">
        <v>2058</v>
      </c>
      <c r="W601" s="22" t="s">
        <v>110</v>
      </c>
      <c r="X601" s="30">
        <v>11600000</v>
      </c>
      <c r="Y601" s="31" t="str">
        <f>IF(W601="","",IF(W601="RMB","1.13", "1"))</f>
        <v>1</v>
      </c>
      <c r="Z601" s="18">
        <f t="shared" si="176"/>
        <v>11600000</v>
      </c>
      <c r="AA601" s="13">
        <v>5.0999999999999997E-2</v>
      </c>
      <c r="AB601" s="21">
        <f t="shared" si="184"/>
        <v>591600</v>
      </c>
      <c r="AC601" s="25">
        <f t="shared" si="185"/>
        <v>249004.44</v>
      </c>
      <c r="AD601" s="192">
        <v>0.4209</v>
      </c>
      <c r="AE601" s="26">
        <f t="shared" si="186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9"/>
        <v>11472879.764601771</v>
      </c>
      <c r="AJ601" s="27">
        <f t="shared" si="180"/>
        <v>2038344.1716106194</v>
      </c>
      <c r="AK601" s="28">
        <f t="shared" si="187"/>
        <v>0.17766630640544948</v>
      </c>
      <c r="AL601" s="24"/>
      <c r="AM601" s="24"/>
      <c r="AN601" s="24"/>
      <c r="AO601" s="24"/>
      <c r="AP601" s="28" t="str">
        <f t="shared" si="188"/>
        <v>20245</v>
      </c>
      <c r="AQ601" s="28" t="str">
        <f t="shared" si="189"/>
        <v>20245JPY</v>
      </c>
      <c r="AR601" s="206" t="str">
        <f t="shared" si="190"/>
        <v>YAMAHA_Non_Mounter</v>
      </c>
      <c r="AS601" s="22">
        <f t="shared" si="191"/>
        <v>2</v>
      </c>
      <c r="AT601" s="24" t="str">
        <f t="shared" si="192"/>
        <v>0-3 months</v>
      </c>
    </row>
    <row r="602" spans="1:46" s="12" customFormat="1">
      <c r="A602" s="33" t="str">
        <f t="shared" si="181"/>
        <v>FY 23/24</v>
      </c>
      <c r="B602" s="23">
        <v>2024</v>
      </c>
      <c r="C602" s="152">
        <v>3</v>
      </c>
      <c r="D602" s="33" t="str">
        <f t="shared" si="182"/>
        <v>Q4</v>
      </c>
      <c r="E602" s="33" t="s">
        <v>3173</v>
      </c>
      <c r="F602" s="23">
        <v>2024</v>
      </c>
      <c r="G602" s="23">
        <v>5</v>
      </c>
      <c r="H602" s="29"/>
      <c r="I602" s="33" t="str">
        <f t="shared" si="183"/>
        <v>Q1</v>
      </c>
      <c r="J602" s="190" t="s">
        <v>3346</v>
      </c>
      <c r="K602" s="29" t="s">
        <v>990</v>
      </c>
      <c r="L602" s="17" t="s">
        <v>3360</v>
      </c>
      <c r="M602" s="22" t="s">
        <v>3357</v>
      </c>
      <c r="N602" s="22">
        <v>1</v>
      </c>
      <c r="O602" s="22"/>
      <c r="P602" s="33" t="str">
        <f t="shared" si="178"/>
        <v>MAIN UNIT</v>
      </c>
      <c r="Q602" s="13" t="s">
        <v>62</v>
      </c>
      <c r="R602" s="22" t="s">
        <v>2056</v>
      </c>
      <c r="S602" s="22" t="s">
        <v>50</v>
      </c>
      <c r="T602" s="22" t="s">
        <v>79</v>
      </c>
      <c r="U602" s="22" t="s">
        <v>247</v>
      </c>
      <c r="V602" s="22" t="s">
        <v>2058</v>
      </c>
      <c r="W602" s="22" t="s">
        <v>902</v>
      </c>
      <c r="X602" s="30">
        <v>51000</v>
      </c>
      <c r="Y602" s="31" t="str">
        <f>IF(W602="","",IF(W602="RMB","1.13", "1"))</f>
        <v>1</v>
      </c>
      <c r="Z602" s="18">
        <f t="shared" si="176"/>
        <v>51000</v>
      </c>
      <c r="AA602" s="22">
        <v>7.8</v>
      </c>
      <c r="AB602" s="21">
        <f t="shared" si="184"/>
        <v>397800</v>
      </c>
      <c r="AC602" s="25">
        <f t="shared" si="185"/>
        <v>87913.8</v>
      </c>
      <c r="AD602" s="192">
        <v>0.221</v>
      </c>
      <c r="AE602" s="26">
        <f t="shared" si="186"/>
        <v>0</v>
      </c>
      <c r="AF602" s="26" t="str">
        <f>IF(AND(COUNTIFS($J$18:J602,J602)=1,AE602=1),1,"")</f>
        <v/>
      </c>
      <c r="AG602" s="26">
        <f>IF(C602="","",IF(AND(COUNTIFS($J$18:J602,J602)=1,C602&lt;&gt;""),1,""))</f>
        <v>1</v>
      </c>
      <c r="AH602" s="26">
        <f>IF(G602="","",IF(AND(COUNTIFS($J$18:J602,J602)=1,G602&lt;&gt;""),1,""))</f>
        <v>1</v>
      </c>
      <c r="AI602" s="27">
        <f t="shared" si="179"/>
        <v>11472879.764601771</v>
      </c>
      <c r="AJ602" s="27">
        <f t="shared" si="180"/>
        <v>2038344.1716106194</v>
      </c>
      <c r="AK602" s="28">
        <f t="shared" si="187"/>
        <v>0.17766630640544948</v>
      </c>
      <c r="AL602" s="24"/>
      <c r="AM602" s="24"/>
      <c r="AN602" s="24"/>
      <c r="AO602" s="24"/>
      <c r="AP602" s="28" t="str">
        <f t="shared" si="188"/>
        <v>20245</v>
      </c>
      <c r="AQ602" s="28" t="str">
        <f t="shared" si="189"/>
        <v>20245USD</v>
      </c>
      <c r="AR602" s="206" t="str">
        <f t="shared" si="190"/>
        <v>PEMTRON</v>
      </c>
      <c r="AS602" s="22">
        <f t="shared" si="191"/>
        <v>2</v>
      </c>
      <c r="AT602" s="24" t="str">
        <f t="shared" si="192"/>
        <v>0-3 months</v>
      </c>
    </row>
    <row r="603" spans="1:46" s="12" customFormat="1">
      <c r="A603" s="33" t="str">
        <f t="shared" si="181"/>
        <v>FY 19/20</v>
      </c>
      <c r="B603" s="152">
        <v>2019</v>
      </c>
      <c r="C603" s="152">
        <v>9</v>
      </c>
      <c r="D603" s="33" t="str">
        <f t="shared" si="182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3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78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76"/>
        <v>672500</v>
      </c>
      <c r="AA603" s="13">
        <v>1.095</v>
      </c>
      <c r="AB603" s="21">
        <f t="shared" si="184"/>
        <v>651670.35398230085</v>
      </c>
      <c r="AC603" s="130">
        <f t="shared" si="185"/>
        <v>65492.870575221241</v>
      </c>
      <c r="AD603" s="169">
        <v>0.10050000000000001</v>
      </c>
      <c r="AE603" s="154">
        <f t="shared" si="186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9"/>
        <v>28647263.974455759</v>
      </c>
      <c r="AJ603" s="19">
        <f t="shared" si="180"/>
        <v>3219855.6912513468</v>
      </c>
      <c r="AK603" s="20">
        <f t="shared" si="187"/>
        <v>0.11239662168514358</v>
      </c>
      <c r="AL603" s="17"/>
      <c r="AM603" s="17"/>
      <c r="AN603" s="17"/>
      <c r="AO603" s="17"/>
      <c r="AP603" s="28" t="str">
        <f t="shared" si="188"/>
        <v>201910</v>
      </c>
      <c r="AQ603" s="28" t="str">
        <f t="shared" si="189"/>
        <v>201910RMB</v>
      </c>
      <c r="AR603" s="206" t="str">
        <f t="shared" si="190"/>
        <v>YAMAHA_Mounter</v>
      </c>
      <c r="AS603" s="22">
        <f t="shared" si="191"/>
        <v>1</v>
      </c>
      <c r="AT603" s="24" t="str">
        <f t="shared" si="192"/>
        <v>0-3 months</v>
      </c>
    </row>
    <row r="604" spans="1:46" s="12" customFormat="1">
      <c r="A604" s="33" t="str">
        <f t="shared" si="181"/>
        <v>FY 20/21</v>
      </c>
      <c r="B604" s="152">
        <v>2020</v>
      </c>
      <c r="C604" s="152">
        <v>8</v>
      </c>
      <c r="D604" s="33" t="str">
        <f t="shared" si="182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3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78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76"/>
        <v>601000</v>
      </c>
      <c r="AA604" s="13">
        <v>1.155</v>
      </c>
      <c r="AB604" s="21">
        <f t="shared" si="184"/>
        <v>614296.46017699118</v>
      </c>
      <c r="AC604" s="130">
        <f t="shared" si="185"/>
        <v>61306.786725663718</v>
      </c>
      <c r="AD604" s="169">
        <v>9.98E-2</v>
      </c>
      <c r="AE604" s="154">
        <f t="shared" si="186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9"/>
        <v>44078731.611185849</v>
      </c>
      <c r="AJ604" s="19">
        <f t="shared" si="180"/>
        <v>5508173.2163771465</v>
      </c>
      <c r="AK604" s="20">
        <f t="shared" si="187"/>
        <v>0.12496215328889679</v>
      </c>
      <c r="AL604" s="17"/>
      <c r="AM604" s="17"/>
      <c r="AN604" s="17"/>
      <c r="AO604" s="17"/>
      <c r="AP604" s="28" t="str">
        <f t="shared" si="188"/>
        <v>202011</v>
      </c>
      <c r="AQ604" s="28" t="str">
        <f t="shared" si="189"/>
        <v>202011RMB</v>
      </c>
      <c r="AR604" s="206" t="str">
        <f t="shared" si="190"/>
        <v>YAMAHA_Mounter</v>
      </c>
      <c r="AS604" s="22">
        <f t="shared" si="191"/>
        <v>3</v>
      </c>
      <c r="AT604" s="24" t="str">
        <f t="shared" si="192"/>
        <v>0-3 months</v>
      </c>
    </row>
    <row r="605" spans="1:46" s="12" customFormat="1" ht="28">
      <c r="A605" s="33" t="str">
        <f t="shared" si="181"/>
        <v>FY 19/20</v>
      </c>
      <c r="B605" s="152">
        <v>2019</v>
      </c>
      <c r="C605" s="152">
        <v>9</v>
      </c>
      <c r="D605" s="33" t="str">
        <f t="shared" si="182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3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78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4">IF(W605="RMB","1.13", "1")</f>
        <v>1.13</v>
      </c>
      <c r="Z605" s="18">
        <f t="shared" si="176"/>
        <v>28000</v>
      </c>
      <c r="AA605" s="13">
        <v>1.1299999999999999</v>
      </c>
      <c r="AB605" s="21">
        <f t="shared" si="184"/>
        <v>28000</v>
      </c>
      <c r="AC605" s="130">
        <f t="shared" si="185"/>
        <v>3360</v>
      </c>
      <c r="AD605" s="169">
        <v>0.12</v>
      </c>
      <c r="AE605" s="154">
        <f t="shared" si="186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9"/>
        <v>47907808.356810622</v>
      </c>
      <c r="AJ605" s="19">
        <f t="shared" si="180"/>
        <v>6027384.8806384448</v>
      </c>
      <c r="AK605" s="20">
        <f t="shared" si="187"/>
        <v>0.12581216063459488</v>
      </c>
      <c r="AL605" s="17"/>
      <c r="AM605" s="17"/>
      <c r="AN605" s="17"/>
      <c r="AO605" s="17"/>
      <c r="AP605" s="28" t="str">
        <f t="shared" si="188"/>
        <v>20209</v>
      </c>
      <c r="AQ605" s="28" t="str">
        <f t="shared" si="189"/>
        <v>20209RMB</v>
      </c>
      <c r="AR605" s="206" t="str">
        <f t="shared" si="190"/>
        <v>YAMAHA_Non_Mounter</v>
      </c>
      <c r="AS605" s="22">
        <f t="shared" si="191"/>
        <v>12</v>
      </c>
      <c r="AT605" s="24" t="str">
        <f t="shared" si="192"/>
        <v>&gt; 6 months</v>
      </c>
    </row>
    <row r="606" spans="1:46" s="12" customFormat="1">
      <c r="A606" s="33" t="str">
        <f t="shared" si="181"/>
        <v>FY 21/22</v>
      </c>
      <c r="B606" s="152">
        <v>2022</v>
      </c>
      <c r="C606" s="152">
        <v>3</v>
      </c>
      <c r="D606" s="33" t="str">
        <f t="shared" si="182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3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78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4"/>
        <v>1.13</v>
      </c>
      <c r="Z606" s="18">
        <f t="shared" si="176"/>
        <v>647900</v>
      </c>
      <c r="AA606" s="13">
        <v>1.1950000000000001</v>
      </c>
      <c r="AB606" s="21">
        <f t="shared" si="184"/>
        <v>685168.5840707965</v>
      </c>
      <c r="AC606" s="130">
        <f t="shared" si="185"/>
        <v>96608.770353982298</v>
      </c>
      <c r="AD606" s="169">
        <v>0.14099999999999999</v>
      </c>
      <c r="AE606" s="154">
        <f t="shared" si="186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9"/>
        <v>44014086.982070789</v>
      </c>
      <c r="AJ606" s="19">
        <f t="shared" si="180"/>
        <v>6419974.0221889298</v>
      </c>
      <c r="AK606" s="20">
        <f t="shared" si="187"/>
        <v>0.14586180158193709</v>
      </c>
      <c r="AL606" s="17"/>
      <c r="AM606" s="17"/>
      <c r="AN606" s="17"/>
      <c r="AO606" s="17"/>
      <c r="AP606" s="28" t="str">
        <f t="shared" si="188"/>
        <v>20225</v>
      </c>
      <c r="AQ606" s="28" t="str">
        <f t="shared" si="189"/>
        <v>20225RMB</v>
      </c>
      <c r="AR606" s="206" t="str">
        <f t="shared" si="190"/>
        <v>YAMAHA_Mounter</v>
      </c>
      <c r="AS606" s="22">
        <f t="shared" si="191"/>
        <v>2</v>
      </c>
      <c r="AT606" s="24" t="str">
        <f t="shared" si="192"/>
        <v>0-3 months</v>
      </c>
    </row>
    <row r="607" spans="1:46" s="12" customFormat="1">
      <c r="A607" s="33" t="str">
        <f t="shared" si="181"/>
        <v>FY 22/23</v>
      </c>
      <c r="B607" s="152">
        <v>2022</v>
      </c>
      <c r="C607" s="152">
        <v>10</v>
      </c>
      <c r="D607" s="33" t="str">
        <f t="shared" si="182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3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78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4"/>
        <v>1.13</v>
      </c>
      <c r="Z607" s="18">
        <f t="shared" si="176"/>
        <v>470000</v>
      </c>
      <c r="AA607" s="13">
        <v>1.1000000000000001</v>
      </c>
      <c r="AB607" s="21">
        <f t="shared" si="184"/>
        <v>457522.12389380543</v>
      </c>
      <c r="AC607" s="130">
        <f t="shared" si="185"/>
        <v>75399.646017699139</v>
      </c>
      <c r="AD607" s="169">
        <v>0.1648</v>
      </c>
      <c r="AE607" s="154">
        <f t="shared" si="186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9"/>
        <v>22717528.991150443</v>
      </c>
      <c r="AJ607" s="19">
        <f t="shared" si="180"/>
        <v>3947747.192555753</v>
      </c>
      <c r="AK607" s="20">
        <f t="shared" si="187"/>
        <v>0.1737753782153679</v>
      </c>
      <c r="AL607" s="17"/>
      <c r="AM607" s="17"/>
      <c r="AN607" s="17"/>
      <c r="AO607" s="17"/>
      <c r="AP607" s="28" t="str">
        <f t="shared" si="188"/>
        <v>202210</v>
      </c>
      <c r="AQ607" s="28" t="str">
        <f t="shared" si="189"/>
        <v>202210RMB</v>
      </c>
      <c r="AR607" s="206" t="str">
        <f t="shared" si="190"/>
        <v>YAMAHA_Mounter</v>
      </c>
      <c r="AS607" s="22">
        <f t="shared" si="191"/>
        <v>0</v>
      </c>
      <c r="AT607" s="24" t="str">
        <f t="shared" si="192"/>
        <v>0-3 months</v>
      </c>
    </row>
    <row r="608" spans="1:46" s="12" customFormat="1">
      <c r="A608" s="33" t="str">
        <f t="shared" si="181"/>
        <v>FY 22/23</v>
      </c>
      <c r="B608" s="152">
        <v>2022</v>
      </c>
      <c r="C608" s="152">
        <v>12</v>
      </c>
      <c r="D608" s="33" t="str">
        <f t="shared" si="182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3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78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4"/>
        <v>1.13</v>
      </c>
      <c r="Z608" s="18">
        <f t="shared" si="176"/>
        <v>598000</v>
      </c>
      <c r="AA608" s="13">
        <v>1.105</v>
      </c>
      <c r="AB608" s="21">
        <f t="shared" si="184"/>
        <v>584769.91150442488</v>
      </c>
      <c r="AC608" s="130">
        <f t="shared" si="185"/>
        <v>70172.389380530978</v>
      </c>
      <c r="AD608" s="169">
        <v>0.12</v>
      </c>
      <c r="AE608" s="154">
        <f t="shared" si="186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9"/>
        <v>477651199.57437885</v>
      </c>
      <c r="AJ608" s="19">
        <f t="shared" si="180"/>
        <v>56918800.518691957</v>
      </c>
      <c r="AK608" s="20">
        <f t="shared" si="187"/>
        <v>0.11916394341605475</v>
      </c>
      <c r="AL608" s="17"/>
      <c r="AM608" s="17"/>
      <c r="AN608" s="17"/>
      <c r="AO608" s="17"/>
      <c r="AP608" s="28" t="str">
        <f t="shared" si="188"/>
        <v>CancelCANCEL</v>
      </c>
      <c r="AQ608" s="28" t="str">
        <f t="shared" si="189"/>
        <v>CancelCANCELRMB</v>
      </c>
      <c r="AR608" s="206" t="str">
        <f t="shared" si="190"/>
        <v>YAMAHA_Mounter</v>
      </c>
      <c r="AS608" s="22" t="str">
        <f t="shared" si="191"/>
        <v/>
      </c>
      <c r="AT608" s="24" t="str">
        <f t="shared" si="192"/>
        <v/>
      </c>
    </row>
    <row r="609" spans="1:46" s="12" customFormat="1">
      <c r="A609" s="33" t="str">
        <f t="shared" si="181"/>
        <v>FY 22/23</v>
      </c>
      <c r="B609" s="152">
        <v>2022</v>
      </c>
      <c r="C609" s="152">
        <v>12</v>
      </c>
      <c r="D609" s="33" t="str">
        <f t="shared" si="182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3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78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4"/>
        <v>1.13</v>
      </c>
      <c r="Z609" s="18">
        <f t="shared" si="176"/>
        <v>600000</v>
      </c>
      <c r="AA609" s="13">
        <v>1.105</v>
      </c>
      <c r="AB609" s="21">
        <f t="shared" si="184"/>
        <v>586725.66371681425</v>
      </c>
      <c r="AC609" s="130">
        <f t="shared" si="185"/>
        <v>70407.079646017708</v>
      </c>
      <c r="AD609" s="169">
        <v>0.12</v>
      </c>
      <c r="AE609" s="154">
        <f t="shared" si="186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9"/>
        <v>477651199.57437885</v>
      </c>
      <c r="AJ609" s="19">
        <f t="shared" si="180"/>
        <v>56918800.518691957</v>
      </c>
      <c r="AK609" s="20">
        <f t="shared" si="187"/>
        <v>0.11916394341605475</v>
      </c>
      <c r="AL609" s="17"/>
      <c r="AM609" s="17"/>
      <c r="AN609" s="17"/>
      <c r="AO609" s="17"/>
      <c r="AP609" s="28" t="str">
        <f t="shared" si="188"/>
        <v>CancelCANCEL</v>
      </c>
      <c r="AQ609" s="28" t="str">
        <f t="shared" si="189"/>
        <v>CancelCANCELRMB</v>
      </c>
      <c r="AR609" s="206" t="str">
        <f t="shared" si="190"/>
        <v>YAMAHA_Mounter</v>
      </c>
      <c r="AS609" s="22" t="str">
        <f t="shared" si="191"/>
        <v/>
      </c>
      <c r="AT609" s="24" t="str">
        <f t="shared" si="192"/>
        <v/>
      </c>
    </row>
    <row r="610" spans="1:46" s="12" customFormat="1">
      <c r="A610" s="33" t="str">
        <f t="shared" si="181"/>
        <v>FY 22/23</v>
      </c>
      <c r="B610" s="152">
        <v>2023</v>
      </c>
      <c r="C610" s="152">
        <v>3</v>
      </c>
      <c r="D610" s="33" t="str">
        <f t="shared" si="182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3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78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4"/>
        <v>1.13</v>
      </c>
      <c r="Z610" s="18">
        <f t="shared" si="176"/>
        <v>713000</v>
      </c>
      <c r="AA610" s="13">
        <v>1.1399999999999999</v>
      </c>
      <c r="AB610" s="21">
        <f t="shared" si="184"/>
        <v>719309.73451327439</v>
      </c>
      <c r="AC610" s="130">
        <f t="shared" si="185"/>
        <v>59199.191150442479</v>
      </c>
      <c r="AD610" s="169">
        <v>8.2299999999999998E-2</v>
      </c>
      <c r="AE610" s="154">
        <f t="shared" si="186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9"/>
        <v>30573205.452778768</v>
      </c>
      <c r="AJ610" s="19">
        <f t="shared" si="180"/>
        <v>3790930.1683151261</v>
      </c>
      <c r="AK610" s="20">
        <f t="shared" si="187"/>
        <v>0.12399518179964254</v>
      </c>
      <c r="AL610" s="17"/>
      <c r="AM610" s="17"/>
      <c r="AN610" s="17"/>
      <c r="AO610" s="17"/>
      <c r="AP610" s="28" t="str">
        <f t="shared" si="188"/>
        <v>20234</v>
      </c>
      <c r="AQ610" s="28" t="str">
        <f t="shared" si="189"/>
        <v>20234RMB</v>
      </c>
      <c r="AR610" s="206" t="str">
        <f t="shared" si="190"/>
        <v>YAMAHA_Mounter</v>
      </c>
      <c r="AS610" s="22">
        <f t="shared" si="191"/>
        <v>1</v>
      </c>
      <c r="AT610" s="24" t="str">
        <f t="shared" si="192"/>
        <v>0-3 months</v>
      </c>
    </row>
    <row r="611" spans="1:46" s="12" customFormat="1">
      <c r="A611" s="33" t="str">
        <f t="shared" si="181"/>
        <v>FY 22/23</v>
      </c>
      <c r="B611" s="152">
        <v>2023</v>
      </c>
      <c r="C611" s="152">
        <v>3</v>
      </c>
      <c r="D611" s="33" t="str">
        <f t="shared" si="182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3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78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4"/>
        <v>1.13</v>
      </c>
      <c r="Z611" s="18">
        <f t="shared" si="176"/>
        <v>2357000</v>
      </c>
      <c r="AA611" s="13">
        <v>1.105</v>
      </c>
      <c r="AB611" s="21">
        <f t="shared" si="184"/>
        <v>2304853.982300885</v>
      </c>
      <c r="AC611" s="130">
        <f t="shared" si="185"/>
        <v>271281.31371681415</v>
      </c>
      <c r="AD611" s="169">
        <v>0.1177</v>
      </c>
      <c r="AE611" s="154">
        <f t="shared" si="186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9"/>
        <v>13640480.497522123</v>
      </c>
      <c r="AJ611" s="19">
        <f t="shared" si="180"/>
        <v>1928605.8020906283</v>
      </c>
      <c r="AK611" s="20">
        <f t="shared" si="187"/>
        <v>0.1413884065477731</v>
      </c>
      <c r="AL611" s="17"/>
      <c r="AM611" s="17"/>
      <c r="AN611" s="17"/>
      <c r="AO611" s="17"/>
      <c r="AP611" s="28" t="str">
        <f t="shared" si="188"/>
        <v>20236</v>
      </c>
      <c r="AQ611" s="28" t="str">
        <f t="shared" si="189"/>
        <v>20236RMB</v>
      </c>
      <c r="AR611" s="206" t="str">
        <f t="shared" si="190"/>
        <v>YAMAHA_Mounter</v>
      </c>
      <c r="AS611" s="22">
        <f t="shared" si="191"/>
        <v>3</v>
      </c>
      <c r="AT611" s="24" t="str">
        <f t="shared" si="192"/>
        <v>0-3 months</v>
      </c>
    </row>
    <row r="612" spans="1:46" s="12" customFormat="1">
      <c r="A612" s="33" t="str">
        <f t="shared" si="181"/>
        <v>FY 23/24</v>
      </c>
      <c r="B612" s="23">
        <v>2024</v>
      </c>
      <c r="C612" s="152">
        <v>3</v>
      </c>
      <c r="D612" s="33" t="str">
        <f t="shared" si="182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3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78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76"/>
        <v>348000</v>
      </c>
      <c r="AA612" s="22">
        <v>1.0900000000000001</v>
      </c>
      <c r="AB612" s="21">
        <f t="shared" si="184"/>
        <v>335681.41592920362</v>
      </c>
      <c r="AC612" s="25">
        <f t="shared" si="185"/>
        <v>31856.166371681422</v>
      </c>
      <c r="AD612" s="173">
        <v>9.4899999999999998E-2</v>
      </c>
      <c r="AE612" s="26">
        <f t="shared" si="186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9"/>
        <v>21194662.454867262</v>
      </c>
      <c r="AJ612" s="27">
        <f t="shared" si="180"/>
        <v>2981431.5970757701</v>
      </c>
      <c r="AK612" s="28">
        <f t="shared" si="187"/>
        <v>0.14066898226968919</v>
      </c>
      <c r="AL612" s="24"/>
      <c r="AM612" s="24"/>
      <c r="AN612" s="24"/>
      <c r="AO612" s="24"/>
      <c r="AP612" s="28" t="str">
        <f t="shared" si="188"/>
        <v>20243</v>
      </c>
      <c r="AQ612" s="28" t="str">
        <f t="shared" si="189"/>
        <v>20243RMB</v>
      </c>
      <c r="AR612" s="206" t="str">
        <f t="shared" si="190"/>
        <v>YAMAHA_Non_Mounter</v>
      </c>
      <c r="AS612" s="22">
        <f t="shared" si="191"/>
        <v>0</v>
      </c>
      <c r="AT612" s="24" t="str">
        <f t="shared" si="192"/>
        <v>0-3 months</v>
      </c>
    </row>
    <row r="613" spans="1:46" s="12" customFormat="1">
      <c r="A613" s="33" t="str">
        <f t="shared" si="181"/>
        <v>FY 20/21</v>
      </c>
      <c r="B613" s="152">
        <v>2020</v>
      </c>
      <c r="C613" s="152">
        <v>10</v>
      </c>
      <c r="D613" s="33" t="str">
        <f t="shared" si="182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3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78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5">IF(W613="RMB","1.13", "1")</f>
        <v>1.13</v>
      </c>
      <c r="Z613" s="18">
        <f t="shared" si="176"/>
        <v>1180000</v>
      </c>
      <c r="AA613" s="13">
        <v>1.155</v>
      </c>
      <c r="AB613" s="21">
        <f t="shared" si="184"/>
        <v>1206106.1946902657</v>
      </c>
      <c r="AC613" s="130">
        <f t="shared" si="185"/>
        <v>96729.716814159299</v>
      </c>
      <c r="AD613" s="169">
        <v>8.0199999999999994E-2</v>
      </c>
      <c r="AE613" s="154">
        <f t="shared" si="186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9"/>
        <v>44078731.611185849</v>
      </c>
      <c r="AJ613" s="19">
        <f t="shared" si="180"/>
        <v>5508173.2163771465</v>
      </c>
      <c r="AK613" s="20">
        <f t="shared" si="187"/>
        <v>0.12496215328889679</v>
      </c>
      <c r="AL613" s="17"/>
      <c r="AM613" s="17"/>
      <c r="AN613" s="17"/>
      <c r="AO613" s="17"/>
      <c r="AP613" s="28" t="str">
        <f t="shared" si="188"/>
        <v>202011</v>
      </c>
      <c r="AQ613" s="28" t="str">
        <f t="shared" si="189"/>
        <v>202011RMB</v>
      </c>
      <c r="AR613" s="206" t="str">
        <f t="shared" si="190"/>
        <v>YAMAHA_Mounter</v>
      </c>
      <c r="AS613" s="22">
        <f t="shared" si="191"/>
        <v>1</v>
      </c>
      <c r="AT613" s="24" t="str">
        <f t="shared" si="192"/>
        <v>0-3 months</v>
      </c>
    </row>
    <row r="614" spans="1:46" s="12" customFormat="1">
      <c r="A614" s="33" t="str">
        <f t="shared" si="181"/>
        <v>FY 20/21</v>
      </c>
      <c r="B614" s="152">
        <v>2020</v>
      </c>
      <c r="C614" s="152">
        <v>10</v>
      </c>
      <c r="D614" s="33" t="str">
        <f t="shared" si="182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3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78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5"/>
        <v>1.13</v>
      </c>
      <c r="Z614" s="18">
        <f t="shared" si="176"/>
        <v>1000000</v>
      </c>
      <c r="AA614" s="13">
        <v>1.155</v>
      </c>
      <c r="AB614" s="21">
        <f t="shared" si="184"/>
        <v>1022123.8938053099</v>
      </c>
      <c r="AC614" s="130">
        <f t="shared" si="185"/>
        <v>81974.336283185854</v>
      </c>
      <c r="AD614" s="169">
        <v>8.0199999999999994E-2</v>
      </c>
      <c r="AE614" s="154">
        <f t="shared" si="186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9"/>
        <v>44078731.611185849</v>
      </c>
      <c r="AJ614" s="19">
        <f t="shared" si="180"/>
        <v>5508173.2163771465</v>
      </c>
      <c r="AK614" s="20">
        <f t="shared" si="187"/>
        <v>0.12496215328889679</v>
      </c>
      <c r="AL614" s="17"/>
      <c r="AM614" s="17"/>
      <c r="AN614" s="17"/>
      <c r="AO614" s="17"/>
      <c r="AP614" s="28" t="str">
        <f t="shared" si="188"/>
        <v>202011</v>
      </c>
      <c r="AQ614" s="28" t="str">
        <f t="shared" si="189"/>
        <v>202011RMB</v>
      </c>
      <c r="AR614" s="206" t="str">
        <f t="shared" si="190"/>
        <v>YAMAHA_Mounter</v>
      </c>
      <c r="AS614" s="22">
        <f t="shared" si="191"/>
        <v>1</v>
      </c>
      <c r="AT614" s="24" t="str">
        <f t="shared" si="192"/>
        <v>0-3 months</v>
      </c>
    </row>
    <row r="615" spans="1:46" s="12" customFormat="1">
      <c r="A615" s="33" t="str">
        <f t="shared" si="181"/>
        <v>cancel</v>
      </c>
      <c r="B615" s="152" t="s">
        <v>186</v>
      </c>
      <c r="C615" s="152" t="s">
        <v>186</v>
      </c>
      <c r="D615" s="33" t="b">
        <f t="shared" si="182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3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78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5"/>
        <v>1.13</v>
      </c>
      <c r="Z615" s="18">
        <f t="shared" si="176"/>
        <v>800000</v>
      </c>
      <c r="AA615" s="13">
        <v>1.095</v>
      </c>
      <c r="AB615" s="21">
        <f t="shared" si="184"/>
        <v>775221.23893805314</v>
      </c>
      <c r="AC615" s="130">
        <f t="shared" si="185"/>
        <v>93026.54867256638</v>
      </c>
      <c r="AD615" s="169">
        <v>0.12</v>
      </c>
      <c r="AE615" s="154">
        <f t="shared" si="186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9"/>
        <v>477651199.57437885</v>
      </c>
      <c r="AJ615" s="19">
        <f t="shared" si="180"/>
        <v>56918800.518691957</v>
      </c>
      <c r="AK615" s="20">
        <f t="shared" si="187"/>
        <v>0.11916394341605475</v>
      </c>
      <c r="AL615" s="17"/>
      <c r="AM615" s="17"/>
      <c r="AN615" s="17"/>
      <c r="AO615" s="17"/>
      <c r="AP615" s="28" t="str">
        <f t="shared" si="188"/>
        <v>CancelCANCEL</v>
      </c>
      <c r="AQ615" s="28" t="str">
        <f t="shared" si="189"/>
        <v>CancelCANCELRMB</v>
      </c>
      <c r="AR615" s="206" t="str">
        <f t="shared" si="190"/>
        <v>YAMAHA_Mounter</v>
      </c>
      <c r="AS615" s="22" t="str">
        <f t="shared" si="191"/>
        <v/>
      </c>
      <c r="AT615" s="24" t="str">
        <f t="shared" si="192"/>
        <v/>
      </c>
    </row>
    <row r="616" spans="1:46" s="12" customFormat="1">
      <c r="A616" s="33" t="str">
        <f t="shared" si="181"/>
        <v>cancel</v>
      </c>
      <c r="B616" s="152" t="s">
        <v>186</v>
      </c>
      <c r="C616" s="152" t="s">
        <v>186</v>
      </c>
      <c r="D616" s="33" t="b">
        <f t="shared" si="182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3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78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5"/>
        <v>1.13</v>
      </c>
      <c r="Z616" s="18">
        <f t="shared" si="176"/>
        <v>770000</v>
      </c>
      <c r="AA616" s="13">
        <v>1.095</v>
      </c>
      <c r="AB616" s="21">
        <f t="shared" si="184"/>
        <v>746150.44247787609</v>
      </c>
      <c r="AC616" s="130">
        <f t="shared" si="185"/>
        <v>89538.053097345124</v>
      </c>
      <c r="AD616" s="169">
        <v>0.12</v>
      </c>
      <c r="AE616" s="154">
        <f t="shared" si="186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9"/>
        <v>477651199.57437885</v>
      </c>
      <c r="AJ616" s="19">
        <f t="shared" si="180"/>
        <v>56918800.518691957</v>
      </c>
      <c r="AK616" s="20">
        <f t="shared" si="187"/>
        <v>0.11916394341605475</v>
      </c>
      <c r="AL616" s="17"/>
      <c r="AM616" s="17"/>
      <c r="AN616" s="17"/>
      <c r="AO616" s="17"/>
      <c r="AP616" s="28" t="str">
        <f t="shared" si="188"/>
        <v>CancelCANCEL</v>
      </c>
      <c r="AQ616" s="28" t="str">
        <f t="shared" si="189"/>
        <v>CancelCANCELRMB</v>
      </c>
      <c r="AR616" s="206" t="str">
        <f t="shared" si="190"/>
        <v>YAMAHA_Mounter</v>
      </c>
      <c r="AS616" s="22" t="str">
        <f t="shared" si="191"/>
        <v/>
      </c>
      <c r="AT616" s="24" t="str">
        <f t="shared" si="192"/>
        <v/>
      </c>
    </row>
    <row r="617" spans="1:46" s="12" customFormat="1">
      <c r="A617" s="33" t="str">
        <f t="shared" si="181"/>
        <v>FY 22/23</v>
      </c>
      <c r="B617" s="152">
        <v>2022</v>
      </c>
      <c r="C617" s="152">
        <v>10</v>
      </c>
      <c r="D617" s="33" t="str">
        <f t="shared" si="182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3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78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5"/>
        <v>1.13</v>
      </c>
      <c r="Z617" s="18">
        <f t="shared" si="176"/>
        <v>624000</v>
      </c>
      <c r="AA617" s="13">
        <v>1.1200000000000001</v>
      </c>
      <c r="AB617" s="21">
        <f t="shared" si="184"/>
        <v>618477.8761061948</v>
      </c>
      <c r="AC617" s="130">
        <f t="shared" si="185"/>
        <v>80402.123893805328</v>
      </c>
      <c r="AD617" s="169">
        <v>0.13</v>
      </c>
      <c r="AE617" s="154">
        <f t="shared" si="186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9"/>
        <v>7502645.9971681423</v>
      </c>
      <c r="AJ617" s="19">
        <f t="shared" si="180"/>
        <v>664841.72044240718</v>
      </c>
      <c r="AK617" s="20">
        <f t="shared" si="187"/>
        <v>8.861429963420242E-2</v>
      </c>
      <c r="AL617" s="17"/>
      <c r="AM617" s="17"/>
      <c r="AN617" s="17"/>
      <c r="AO617" s="17"/>
      <c r="AP617" s="28" t="str">
        <f t="shared" si="188"/>
        <v>20231</v>
      </c>
      <c r="AQ617" s="28" t="str">
        <f t="shared" si="189"/>
        <v>20231RMB</v>
      </c>
      <c r="AR617" s="206" t="str">
        <f t="shared" si="190"/>
        <v>YAMAHA_Mounter</v>
      </c>
      <c r="AS617" s="22">
        <f t="shared" si="191"/>
        <v>3</v>
      </c>
      <c r="AT617" s="24" t="str">
        <f t="shared" si="192"/>
        <v>0-3 months</v>
      </c>
    </row>
    <row r="618" spans="1:46" s="12" customFormat="1">
      <c r="A618" s="33" t="str">
        <f t="shared" si="181"/>
        <v>FY 20/21</v>
      </c>
      <c r="B618" s="152">
        <v>2020</v>
      </c>
      <c r="C618" s="152">
        <v>7</v>
      </c>
      <c r="D618" s="33" t="str">
        <f t="shared" si="182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3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78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5"/>
        <v>1.13</v>
      </c>
      <c r="Z618" s="18">
        <f t="shared" si="176"/>
        <v>34488</v>
      </c>
      <c r="AA618" s="13">
        <v>1.135</v>
      </c>
      <c r="AB618" s="21">
        <f t="shared" si="184"/>
        <v>34640.601769911504</v>
      </c>
      <c r="AC618" s="130">
        <f t="shared" si="185"/>
        <v>12494.86505840708</v>
      </c>
      <c r="AD618" s="169">
        <v>0.36070000000000002</v>
      </c>
      <c r="AE618" s="154">
        <f t="shared" si="186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9"/>
        <v>28011162.254106201</v>
      </c>
      <c r="AJ618" s="19">
        <f t="shared" si="180"/>
        <v>3401347.1124888416</v>
      </c>
      <c r="AK618" s="20">
        <f t="shared" si="187"/>
        <v>0.12142827497242578</v>
      </c>
      <c r="AL618" s="17"/>
      <c r="AM618" s="17"/>
      <c r="AN618" s="17"/>
      <c r="AO618" s="17"/>
      <c r="AP618" s="28" t="str">
        <f t="shared" si="188"/>
        <v>202010</v>
      </c>
      <c r="AQ618" s="28" t="str">
        <f t="shared" si="189"/>
        <v>202010RMB</v>
      </c>
      <c r="AR618" s="206" t="str">
        <f t="shared" si="190"/>
        <v>SOLDERSTAR</v>
      </c>
      <c r="AS618" s="22">
        <f t="shared" si="191"/>
        <v>3</v>
      </c>
      <c r="AT618" s="24" t="str">
        <f t="shared" si="192"/>
        <v>0-3 months</v>
      </c>
    </row>
    <row r="619" spans="1:46" s="12" customFormat="1">
      <c r="A619" s="33" t="str">
        <f t="shared" si="181"/>
        <v>FY 18/19</v>
      </c>
      <c r="B619" s="152">
        <v>2018</v>
      </c>
      <c r="C619" s="152">
        <v>4</v>
      </c>
      <c r="D619" s="33" t="str">
        <f t="shared" si="182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3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78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76"/>
        <v>1000000</v>
      </c>
      <c r="AA619" s="13">
        <v>1.125</v>
      </c>
      <c r="AB619" s="21">
        <f t="shared" si="184"/>
        <v>961538.46153846162</v>
      </c>
      <c r="AC619" s="130">
        <f t="shared" si="185"/>
        <v>115384.61538461539</v>
      </c>
      <c r="AD619" s="169">
        <v>0.12</v>
      </c>
      <c r="AE619" s="154">
        <f t="shared" si="186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9"/>
        <v>477651199.57437885</v>
      </c>
      <c r="AJ619" s="19">
        <f t="shared" si="180"/>
        <v>56918800.518691957</v>
      </c>
      <c r="AK619" s="20">
        <f t="shared" si="187"/>
        <v>0.11916394341605475</v>
      </c>
      <c r="AL619" s="17"/>
      <c r="AM619" s="17"/>
      <c r="AN619" s="17"/>
      <c r="AO619" s="17" t="s">
        <v>588</v>
      </c>
      <c r="AP619" s="28" t="str">
        <f t="shared" si="188"/>
        <v>CancelCancel</v>
      </c>
      <c r="AQ619" s="28" t="str">
        <f t="shared" si="189"/>
        <v>CancelCancelRMB</v>
      </c>
      <c r="AR619" s="206" t="str">
        <f t="shared" si="190"/>
        <v>YAMAHA_Mounter</v>
      </c>
      <c r="AS619" s="22" t="str">
        <f t="shared" si="191"/>
        <v/>
      </c>
      <c r="AT619" s="24" t="str">
        <f t="shared" si="192"/>
        <v/>
      </c>
    </row>
    <row r="620" spans="1:46" s="12" customFormat="1">
      <c r="A620" s="33" t="str">
        <f t="shared" si="181"/>
        <v>FY 18/19</v>
      </c>
      <c r="B620" s="152">
        <v>2018</v>
      </c>
      <c r="C620" s="152">
        <v>5</v>
      </c>
      <c r="D620" s="33" t="str">
        <f t="shared" si="182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3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78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76"/>
        <v>800000</v>
      </c>
      <c r="AA620" s="13">
        <v>1.125</v>
      </c>
      <c r="AB620" s="21">
        <f t="shared" si="184"/>
        <v>775862.06896551733</v>
      </c>
      <c r="AC620" s="130">
        <f t="shared" si="185"/>
        <v>64008.620689655181</v>
      </c>
      <c r="AD620" s="169">
        <v>8.2500000000000004E-2</v>
      </c>
      <c r="AE620" s="154">
        <f t="shared" si="186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9"/>
        <v>29840797.698275864</v>
      </c>
      <c r="AJ620" s="19">
        <f t="shared" si="180"/>
        <v>3940167.6555448272</v>
      </c>
      <c r="AK620" s="20">
        <f t="shared" si="187"/>
        <v>0.13203962224416277</v>
      </c>
      <c r="AL620" s="17"/>
      <c r="AM620" s="17"/>
      <c r="AN620" s="17"/>
      <c r="AO620" s="17"/>
      <c r="AP620" s="28" t="str">
        <f t="shared" si="188"/>
        <v>201812</v>
      </c>
      <c r="AQ620" s="28" t="str">
        <f t="shared" si="189"/>
        <v>201812RMB</v>
      </c>
      <c r="AR620" s="206" t="str">
        <f t="shared" si="190"/>
        <v>YAMAHA_Mounter</v>
      </c>
      <c r="AS620" s="22">
        <f t="shared" si="191"/>
        <v>7</v>
      </c>
      <c r="AT620" s="24" t="str">
        <f t="shared" si="192"/>
        <v>&gt; 6 months</v>
      </c>
    </row>
    <row r="621" spans="1:46" s="12" customFormat="1">
      <c r="A621" s="33" t="str">
        <f t="shared" si="181"/>
        <v>FY 18/19</v>
      </c>
      <c r="B621" s="152">
        <v>2018</v>
      </c>
      <c r="C621" s="152">
        <v>5</v>
      </c>
      <c r="D621" s="33" t="str">
        <f t="shared" si="182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3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78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76"/>
        <v>800000</v>
      </c>
      <c r="AA621" s="13">
        <v>1.125</v>
      </c>
      <c r="AB621" s="21">
        <f t="shared" si="184"/>
        <v>775862.06896551733</v>
      </c>
      <c r="AC621" s="130">
        <f t="shared" si="185"/>
        <v>64008.620689655181</v>
      </c>
      <c r="AD621" s="169">
        <v>8.2500000000000004E-2</v>
      </c>
      <c r="AE621" s="154">
        <f t="shared" si="186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9"/>
        <v>29840797.698275864</v>
      </c>
      <c r="AJ621" s="19">
        <f t="shared" si="180"/>
        <v>3940167.6555448272</v>
      </c>
      <c r="AK621" s="20">
        <f t="shared" si="187"/>
        <v>0.13203962224416277</v>
      </c>
      <c r="AL621" s="17"/>
      <c r="AM621" s="17"/>
      <c r="AN621" s="17"/>
      <c r="AO621" s="17"/>
      <c r="AP621" s="28" t="str">
        <f t="shared" si="188"/>
        <v>201812</v>
      </c>
      <c r="AQ621" s="28" t="str">
        <f t="shared" si="189"/>
        <v>201812RMB</v>
      </c>
      <c r="AR621" s="206" t="str">
        <f t="shared" si="190"/>
        <v>YAMAHA_Mounter</v>
      </c>
      <c r="AS621" s="22">
        <f t="shared" si="191"/>
        <v>7</v>
      </c>
      <c r="AT621" s="24" t="str">
        <f t="shared" si="192"/>
        <v>&gt; 6 months</v>
      </c>
    </row>
    <row r="622" spans="1:46" s="12" customFormat="1">
      <c r="A622" s="33" t="str">
        <f t="shared" si="181"/>
        <v/>
      </c>
      <c r="B622" s="152" t="s">
        <v>2585</v>
      </c>
      <c r="C622" s="152" t="s">
        <v>2585</v>
      </c>
      <c r="D622" s="33" t="b">
        <f t="shared" si="182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3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78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76"/>
        <v>310000</v>
      </c>
      <c r="AA622" s="13">
        <v>1.095</v>
      </c>
      <c r="AB622" s="21">
        <f t="shared" si="184"/>
        <v>300398.23008849565</v>
      </c>
      <c r="AC622" s="130">
        <f t="shared" si="185"/>
        <v>36047.787610619474</v>
      </c>
      <c r="AD622" s="169">
        <v>0.12</v>
      </c>
      <c r="AE622" s="154">
        <f t="shared" si="186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9"/>
        <v>16602721.68141593</v>
      </c>
      <c r="AJ622" s="19">
        <f t="shared" si="180"/>
        <v>1923201.4867699118</v>
      </c>
      <c r="AK622" s="20">
        <f t="shared" si="187"/>
        <v>0.11583651907642503</v>
      </c>
      <c r="AL622" s="17"/>
      <c r="AM622" s="17"/>
      <c r="AN622" s="17"/>
      <c r="AO622" s="17"/>
      <c r="AP622" s="28" t="str">
        <f t="shared" si="188"/>
        <v>TBATBA</v>
      </c>
      <c r="AQ622" s="28" t="str">
        <f t="shared" si="189"/>
        <v>TBATBARMB</v>
      </c>
      <c r="AR622" s="206" t="str">
        <f t="shared" si="190"/>
        <v>HELLER</v>
      </c>
      <c r="AS622" s="22" t="str">
        <f t="shared" si="191"/>
        <v/>
      </c>
      <c r="AT622" s="24" t="str">
        <f t="shared" si="192"/>
        <v/>
      </c>
    </row>
    <row r="623" spans="1:46" s="12" customFormat="1">
      <c r="A623" s="33" t="str">
        <f t="shared" si="181"/>
        <v>FY 22/23</v>
      </c>
      <c r="B623" s="152">
        <v>2022</v>
      </c>
      <c r="C623" s="152">
        <v>6</v>
      </c>
      <c r="D623" s="33" t="str">
        <f t="shared" si="182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3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78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76"/>
        <v>610000</v>
      </c>
      <c r="AA623" s="13">
        <v>1.135</v>
      </c>
      <c r="AB623" s="21">
        <f t="shared" si="184"/>
        <v>612699.11504424794</v>
      </c>
      <c r="AC623" s="130">
        <f t="shared" si="185"/>
        <v>106915.99557522126</v>
      </c>
      <c r="AD623" s="169">
        <v>0.17449999999999999</v>
      </c>
      <c r="AE623" s="154">
        <f t="shared" si="186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9"/>
        <v>15948576.102654871</v>
      </c>
      <c r="AJ623" s="19">
        <f t="shared" si="180"/>
        <v>2739848.7004853105</v>
      </c>
      <c r="AK623" s="20">
        <f t="shared" si="187"/>
        <v>0.17179268436567344</v>
      </c>
      <c r="AL623" s="17"/>
      <c r="AM623" s="17"/>
      <c r="AN623" s="17"/>
      <c r="AO623" s="17"/>
      <c r="AP623" s="28" t="str">
        <f t="shared" si="188"/>
        <v>20229</v>
      </c>
      <c r="AQ623" s="28" t="str">
        <f t="shared" si="189"/>
        <v>20229RMB</v>
      </c>
      <c r="AR623" s="206" t="str">
        <f t="shared" si="190"/>
        <v>YAMAHA_Mounter</v>
      </c>
      <c r="AS623" s="22">
        <f t="shared" si="191"/>
        <v>3</v>
      </c>
      <c r="AT623" s="24" t="str">
        <f t="shared" si="192"/>
        <v>0-3 months</v>
      </c>
    </row>
    <row r="624" spans="1:46" s="12" customFormat="1">
      <c r="A624" s="33" t="str">
        <f t="shared" si="181"/>
        <v>FY 22/23</v>
      </c>
      <c r="B624" s="152">
        <v>2022</v>
      </c>
      <c r="C624" s="152">
        <v>6</v>
      </c>
      <c r="D624" s="33" t="str">
        <f t="shared" si="182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3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78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ref="Z624:Z687" si="196">IF(X624="","",X624*MAX(O624,N624))</f>
        <v>610000</v>
      </c>
      <c r="AA624" s="13">
        <v>1.135</v>
      </c>
      <c r="AB624" s="21">
        <f t="shared" si="184"/>
        <v>612699.11504424794</v>
      </c>
      <c r="AC624" s="130">
        <f t="shared" si="185"/>
        <v>106915.99557522126</v>
      </c>
      <c r="AD624" s="169">
        <v>0.17449999999999999</v>
      </c>
      <c r="AE624" s="154">
        <f t="shared" si="186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9"/>
        <v>15948576.102654871</v>
      </c>
      <c r="AJ624" s="19">
        <f t="shared" si="180"/>
        <v>2739848.7004853105</v>
      </c>
      <c r="AK624" s="20">
        <f t="shared" si="187"/>
        <v>0.17179268436567344</v>
      </c>
      <c r="AL624" s="17"/>
      <c r="AM624" s="17"/>
      <c r="AN624" s="17"/>
      <c r="AO624" s="17"/>
      <c r="AP624" s="28" t="str">
        <f t="shared" si="188"/>
        <v>20229</v>
      </c>
      <c r="AQ624" s="28" t="str">
        <f t="shared" si="189"/>
        <v>20229RMB</v>
      </c>
      <c r="AR624" s="206" t="str">
        <f t="shared" si="190"/>
        <v>YAMAHA_Mounter</v>
      </c>
      <c r="AS624" s="22">
        <f t="shared" si="191"/>
        <v>3</v>
      </c>
      <c r="AT624" s="24" t="str">
        <f t="shared" si="192"/>
        <v>0-3 months</v>
      </c>
    </row>
    <row r="625" spans="1:46" s="12" customFormat="1">
      <c r="A625" s="33" t="str">
        <f t="shared" si="181"/>
        <v>FY 22/23</v>
      </c>
      <c r="B625" s="152">
        <v>2022</v>
      </c>
      <c r="C625" s="152">
        <v>10</v>
      </c>
      <c r="D625" s="33" t="str">
        <f t="shared" si="182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3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78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96"/>
        <v>900000</v>
      </c>
      <c r="AA625" s="13">
        <v>1.08</v>
      </c>
      <c r="AB625" s="21">
        <f t="shared" si="184"/>
        <v>860176.99115044263</v>
      </c>
      <c r="AC625" s="130">
        <f t="shared" si="185"/>
        <v>106661.94690265489</v>
      </c>
      <c r="AD625" s="169">
        <v>0.124</v>
      </c>
      <c r="AE625" s="154">
        <f t="shared" si="186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9"/>
        <v>31017966.201968137</v>
      </c>
      <c r="AJ625" s="19">
        <f t="shared" si="180"/>
        <v>4704250.3347305888</v>
      </c>
      <c r="AK625" s="20">
        <f t="shared" si="187"/>
        <v>0.15166211427595458</v>
      </c>
      <c r="AL625" s="17"/>
      <c r="AM625" s="17"/>
      <c r="AN625" s="17"/>
      <c r="AO625" s="17"/>
      <c r="AP625" s="28" t="str">
        <f t="shared" si="188"/>
        <v>202211</v>
      </c>
      <c r="AQ625" s="28" t="str">
        <f t="shared" si="189"/>
        <v>202211RMB</v>
      </c>
      <c r="AR625" s="206" t="str">
        <f t="shared" si="190"/>
        <v>YAMAHA_Mounter</v>
      </c>
      <c r="AS625" s="22">
        <f t="shared" si="191"/>
        <v>1</v>
      </c>
      <c r="AT625" s="24" t="str">
        <f t="shared" si="192"/>
        <v>0-3 months</v>
      </c>
    </row>
    <row r="626" spans="1:46" s="12" customFormat="1">
      <c r="A626" s="33" t="str">
        <f t="shared" si="181"/>
        <v>FY 22/23</v>
      </c>
      <c r="B626" s="152">
        <v>2022</v>
      </c>
      <c r="C626" s="152">
        <v>10</v>
      </c>
      <c r="D626" s="33" t="str">
        <f t="shared" si="182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3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78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96"/>
        <v>700000</v>
      </c>
      <c r="AA626" s="13">
        <v>1.08</v>
      </c>
      <c r="AB626" s="21">
        <f t="shared" si="184"/>
        <v>669026.54867256642</v>
      </c>
      <c r="AC626" s="130">
        <f t="shared" si="185"/>
        <v>82959.292035398234</v>
      </c>
      <c r="AD626" s="169">
        <v>0.124</v>
      </c>
      <c r="AE626" s="154">
        <f t="shared" si="186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9"/>
        <v>31017966.201968137</v>
      </c>
      <c r="AJ626" s="19">
        <f t="shared" si="180"/>
        <v>4704250.3347305888</v>
      </c>
      <c r="AK626" s="20">
        <f t="shared" si="187"/>
        <v>0.15166211427595458</v>
      </c>
      <c r="AL626" s="17"/>
      <c r="AM626" s="17"/>
      <c r="AN626" s="17"/>
      <c r="AO626" s="17"/>
      <c r="AP626" s="28" t="str">
        <f t="shared" si="188"/>
        <v>202211</v>
      </c>
      <c r="AQ626" s="28" t="str">
        <f t="shared" si="189"/>
        <v>202211RMB</v>
      </c>
      <c r="AR626" s="206" t="str">
        <f t="shared" si="190"/>
        <v>YAMAHA_Mounter</v>
      </c>
      <c r="AS626" s="22">
        <f t="shared" si="191"/>
        <v>1</v>
      </c>
      <c r="AT626" s="24" t="str">
        <f t="shared" si="192"/>
        <v>0-3 months</v>
      </c>
    </row>
    <row r="627" spans="1:46" s="12" customFormat="1">
      <c r="A627" s="33" t="str">
        <f t="shared" si="181"/>
        <v>FY 18/19</v>
      </c>
      <c r="B627" s="152">
        <v>2018</v>
      </c>
      <c r="C627" s="152">
        <v>7</v>
      </c>
      <c r="D627" s="33" t="str">
        <f t="shared" si="182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3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78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96"/>
        <v>900000</v>
      </c>
      <c r="AA627" s="13">
        <v>1.125</v>
      </c>
      <c r="AB627" s="21">
        <f t="shared" si="184"/>
        <v>872844.82758620696</v>
      </c>
      <c r="AC627" s="130">
        <f t="shared" si="185"/>
        <v>90164.870689655188</v>
      </c>
      <c r="AD627" s="169">
        <v>0.1033</v>
      </c>
      <c r="AE627" s="154">
        <f t="shared" si="186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9"/>
        <v>23237072.69172414</v>
      </c>
      <c r="AJ627" s="19">
        <f t="shared" si="180"/>
        <v>2402195.7372206897</v>
      </c>
      <c r="AK627" s="20">
        <f t="shared" si="187"/>
        <v>0.10337772614862238</v>
      </c>
      <c r="AL627" s="17"/>
      <c r="AM627" s="17"/>
      <c r="AN627" s="17"/>
      <c r="AO627" s="17" t="s">
        <v>62</v>
      </c>
      <c r="AP627" s="28" t="str">
        <f t="shared" si="188"/>
        <v>20191</v>
      </c>
      <c r="AQ627" s="28" t="str">
        <f t="shared" si="189"/>
        <v>20191RMB</v>
      </c>
      <c r="AR627" s="206" t="str">
        <f t="shared" si="190"/>
        <v>YAMAHA_Mounter</v>
      </c>
      <c r="AS627" s="22">
        <f t="shared" si="191"/>
        <v>6</v>
      </c>
      <c r="AT627" s="24" t="str">
        <f t="shared" si="192"/>
        <v>4-6 months</v>
      </c>
    </row>
    <row r="628" spans="1:46" s="12" customFormat="1">
      <c r="A628" s="33" t="str">
        <f t="shared" si="181"/>
        <v>FY 18/19</v>
      </c>
      <c r="B628" s="152">
        <v>2018</v>
      </c>
      <c r="C628" s="152">
        <v>7</v>
      </c>
      <c r="D628" s="33" t="str">
        <f t="shared" si="182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3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78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96"/>
        <v>687000</v>
      </c>
      <c r="AA628" s="13">
        <v>1.125</v>
      </c>
      <c r="AB628" s="21">
        <f t="shared" si="184"/>
        <v>666271.55172413797</v>
      </c>
      <c r="AC628" s="130">
        <f t="shared" si="185"/>
        <v>68825.851293103449</v>
      </c>
      <c r="AD628" s="169">
        <v>0.1033</v>
      </c>
      <c r="AE628" s="154">
        <f t="shared" si="186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9"/>
        <v>23237072.69172414</v>
      </c>
      <c r="AJ628" s="19">
        <f t="shared" si="180"/>
        <v>2402195.7372206897</v>
      </c>
      <c r="AK628" s="20">
        <f t="shared" si="187"/>
        <v>0.10337772614862238</v>
      </c>
      <c r="AL628" s="17"/>
      <c r="AM628" s="17"/>
      <c r="AN628" s="17"/>
      <c r="AO628" s="17" t="s">
        <v>62</v>
      </c>
      <c r="AP628" s="28" t="str">
        <f t="shared" si="188"/>
        <v>20191</v>
      </c>
      <c r="AQ628" s="28" t="str">
        <f t="shared" si="189"/>
        <v>20191RMB</v>
      </c>
      <c r="AR628" s="206" t="str">
        <f t="shared" si="190"/>
        <v>YAMAHA_Mounter</v>
      </c>
      <c r="AS628" s="22">
        <f t="shared" si="191"/>
        <v>6</v>
      </c>
      <c r="AT628" s="24" t="str">
        <f t="shared" si="192"/>
        <v>4-6 months</v>
      </c>
    </row>
    <row r="629" spans="1:46" s="12" customFormat="1">
      <c r="A629" s="33" t="str">
        <f t="shared" si="181"/>
        <v>FY 19/20</v>
      </c>
      <c r="B629" s="152">
        <v>2019</v>
      </c>
      <c r="C629" s="152">
        <v>11</v>
      </c>
      <c r="D629" s="33" t="str">
        <f t="shared" si="182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3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78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96"/>
        <v>986000</v>
      </c>
      <c r="AA629" s="13">
        <v>1.1100000000000001</v>
      </c>
      <c r="AB629" s="21">
        <f t="shared" si="184"/>
        <v>968548.67256637185</v>
      </c>
      <c r="AC629" s="130">
        <f t="shared" si="185"/>
        <v>79324.136283185857</v>
      </c>
      <c r="AD629" s="169">
        <v>8.1900000000000001E-2</v>
      </c>
      <c r="AE629" s="154">
        <f t="shared" si="186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9"/>
        <v>26147030.909862842</v>
      </c>
      <c r="AJ629" s="19">
        <f t="shared" si="180"/>
        <v>2743862.8630715334</v>
      </c>
      <c r="AK629" s="20">
        <f t="shared" si="187"/>
        <v>0.10493974908778378</v>
      </c>
      <c r="AL629" s="17"/>
      <c r="AM629" s="17"/>
      <c r="AN629" s="17"/>
      <c r="AO629" s="17"/>
      <c r="AP629" s="28" t="str">
        <f t="shared" si="188"/>
        <v>201911</v>
      </c>
      <c r="AQ629" s="28" t="str">
        <f t="shared" si="189"/>
        <v>201911RMB</v>
      </c>
      <c r="AR629" s="206" t="str">
        <f t="shared" si="190"/>
        <v>YAMAHA_Mounter</v>
      </c>
      <c r="AS629" s="22">
        <f t="shared" si="191"/>
        <v>0</v>
      </c>
      <c r="AT629" s="24" t="str">
        <f t="shared" si="192"/>
        <v>0-3 months</v>
      </c>
    </row>
    <row r="630" spans="1:46" s="12" customFormat="1">
      <c r="A630" s="33" t="str">
        <f t="shared" si="181"/>
        <v>FY 20/21</v>
      </c>
      <c r="B630" s="152">
        <v>2020</v>
      </c>
      <c r="C630" s="152">
        <v>12</v>
      </c>
      <c r="D630" s="33" t="str">
        <f t="shared" si="182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3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78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96"/>
        <v>765000</v>
      </c>
      <c r="AA630" s="13">
        <v>1.175</v>
      </c>
      <c r="AB630" s="21">
        <f t="shared" si="184"/>
        <v>795464.60176991159</v>
      </c>
      <c r="AC630" s="130">
        <f t="shared" si="185"/>
        <v>89728.407079646029</v>
      </c>
      <c r="AD630" s="169">
        <v>0.1128</v>
      </c>
      <c r="AE630" s="154">
        <f t="shared" si="186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9"/>
        <v>48763143.537654862</v>
      </c>
      <c r="AJ630" s="19">
        <f t="shared" si="180"/>
        <v>5924029.9702154724</v>
      </c>
      <c r="AK630" s="20">
        <f t="shared" si="187"/>
        <v>0.1214858095774925</v>
      </c>
      <c r="AL630" s="17"/>
      <c r="AM630" s="17"/>
      <c r="AN630" s="17"/>
      <c r="AO630" s="17"/>
      <c r="AP630" s="28" t="str">
        <f t="shared" si="188"/>
        <v>202012</v>
      </c>
      <c r="AQ630" s="28" t="str">
        <f t="shared" si="189"/>
        <v>202012RMB</v>
      </c>
      <c r="AR630" s="206" t="str">
        <f t="shared" si="190"/>
        <v>YAMAHA_Mounter</v>
      </c>
      <c r="AS630" s="22">
        <f t="shared" si="191"/>
        <v>0</v>
      </c>
      <c r="AT630" s="24" t="str">
        <f t="shared" si="192"/>
        <v>0-3 months</v>
      </c>
    </row>
    <row r="631" spans="1:46" s="12" customFormat="1">
      <c r="A631" s="33" t="str">
        <f t="shared" si="181"/>
        <v>FY 22/23</v>
      </c>
      <c r="B631" s="152">
        <v>2022</v>
      </c>
      <c r="C631" s="152">
        <v>6</v>
      </c>
      <c r="D631" s="33" t="str">
        <f t="shared" si="182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3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78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96"/>
        <v>584000</v>
      </c>
      <c r="AA631" s="13">
        <v>1.17</v>
      </c>
      <c r="AB631" s="21">
        <f t="shared" si="184"/>
        <v>604672.5663716814</v>
      </c>
      <c r="AC631" s="130">
        <f t="shared" si="185"/>
        <v>72560.707964601766</v>
      </c>
      <c r="AD631" s="169">
        <v>0.12</v>
      </c>
      <c r="AE631" s="154">
        <f t="shared" si="186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9"/>
        <v>477651199.57437885</v>
      </c>
      <c r="AJ631" s="19">
        <f t="shared" si="180"/>
        <v>56918800.518691957</v>
      </c>
      <c r="AK631" s="20">
        <f t="shared" si="187"/>
        <v>0.11916394341605475</v>
      </c>
      <c r="AL631" s="17"/>
      <c r="AM631" s="17"/>
      <c r="AN631" s="17"/>
      <c r="AO631" s="17"/>
      <c r="AP631" s="28" t="str">
        <f t="shared" si="188"/>
        <v>CancelCancel</v>
      </c>
      <c r="AQ631" s="28" t="str">
        <f t="shared" si="189"/>
        <v>CancelCancelRMB</v>
      </c>
      <c r="AR631" s="206" t="str">
        <f t="shared" si="190"/>
        <v>YAMAHA_Mounter</v>
      </c>
      <c r="AS631" s="22" t="str">
        <f t="shared" si="191"/>
        <v/>
      </c>
      <c r="AT631" s="24" t="str">
        <f t="shared" si="192"/>
        <v/>
      </c>
    </row>
    <row r="632" spans="1:46" s="12" customFormat="1">
      <c r="A632" s="33" t="str">
        <f t="shared" si="181"/>
        <v>FY 22/23</v>
      </c>
      <c r="B632" s="152">
        <v>2022</v>
      </c>
      <c r="C632" s="152">
        <v>6</v>
      </c>
      <c r="D632" s="33" t="str">
        <f t="shared" si="182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3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78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96"/>
        <v>584000</v>
      </c>
      <c r="AA632" s="13">
        <v>1.17</v>
      </c>
      <c r="AB632" s="21">
        <f t="shared" si="184"/>
        <v>604672.5663716814</v>
      </c>
      <c r="AC632" s="130">
        <f t="shared" si="185"/>
        <v>72560.707964601766</v>
      </c>
      <c r="AD632" s="169">
        <v>0.12</v>
      </c>
      <c r="AE632" s="154">
        <f t="shared" si="186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9"/>
        <v>477651199.57437885</v>
      </c>
      <c r="AJ632" s="19">
        <f t="shared" si="180"/>
        <v>56918800.518691957</v>
      </c>
      <c r="AK632" s="20">
        <f t="shared" si="187"/>
        <v>0.11916394341605475</v>
      </c>
      <c r="AL632" s="17"/>
      <c r="AM632" s="17"/>
      <c r="AN632" s="17"/>
      <c r="AO632" s="17"/>
      <c r="AP632" s="28" t="str">
        <f t="shared" si="188"/>
        <v>CancelCancel</v>
      </c>
      <c r="AQ632" s="28" t="str">
        <f t="shared" si="189"/>
        <v>CancelCancelRMB</v>
      </c>
      <c r="AR632" s="206" t="str">
        <f t="shared" si="190"/>
        <v>YAMAHA_Mounter</v>
      </c>
      <c r="AS632" s="22" t="str">
        <f t="shared" si="191"/>
        <v/>
      </c>
      <c r="AT632" s="24" t="str">
        <f t="shared" si="192"/>
        <v/>
      </c>
    </row>
    <row r="633" spans="1:46" s="12" customFormat="1">
      <c r="A633" s="33" t="str">
        <f t="shared" si="181"/>
        <v/>
      </c>
      <c r="B633" s="152" t="s">
        <v>2585</v>
      </c>
      <c r="C633" s="152" t="s">
        <v>2585</v>
      </c>
      <c r="D633" s="33" t="b">
        <f t="shared" si="182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3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78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96"/>
        <v>800000</v>
      </c>
      <c r="AA633" s="13">
        <v>1.095</v>
      </c>
      <c r="AB633" s="21">
        <f t="shared" si="184"/>
        <v>775221.23893805314</v>
      </c>
      <c r="AC633" s="130">
        <f t="shared" si="185"/>
        <v>93026.54867256638</v>
      </c>
      <c r="AD633" s="169">
        <v>0.12</v>
      </c>
      <c r="AE633" s="154">
        <f t="shared" si="186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9"/>
        <v>16602721.68141593</v>
      </c>
      <c r="AJ633" s="19">
        <f t="shared" si="180"/>
        <v>1923201.4867699118</v>
      </c>
      <c r="AK633" s="20">
        <f t="shared" si="187"/>
        <v>0.11583651907642503</v>
      </c>
      <c r="AL633" s="17"/>
      <c r="AM633" s="17"/>
      <c r="AN633" s="17"/>
      <c r="AO633" s="17"/>
      <c r="AP633" s="28" t="str">
        <f t="shared" si="188"/>
        <v>TBATBA</v>
      </c>
      <c r="AQ633" s="28" t="str">
        <f t="shared" si="189"/>
        <v>TBATBARMB</v>
      </c>
      <c r="AR633" s="206" t="str">
        <f t="shared" si="190"/>
        <v>YAMAHA_Mounter</v>
      </c>
      <c r="AS633" s="22" t="str">
        <f t="shared" si="191"/>
        <v/>
      </c>
      <c r="AT633" s="24" t="str">
        <f t="shared" si="192"/>
        <v/>
      </c>
    </row>
    <row r="634" spans="1:46" s="12" customFormat="1">
      <c r="A634" s="33" t="str">
        <f t="shared" si="181"/>
        <v/>
      </c>
      <c r="B634" s="152" t="s">
        <v>2585</v>
      </c>
      <c r="C634" s="152" t="s">
        <v>2585</v>
      </c>
      <c r="D634" s="33" t="b">
        <f t="shared" si="182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3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78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96"/>
        <v>700000</v>
      </c>
      <c r="AA634" s="13">
        <v>1.095</v>
      </c>
      <c r="AB634" s="21">
        <f t="shared" si="184"/>
        <v>678318.5840707965</v>
      </c>
      <c r="AC634" s="130">
        <f t="shared" si="185"/>
        <v>81398.230088495577</v>
      </c>
      <c r="AD634" s="169">
        <v>0.12</v>
      </c>
      <c r="AE634" s="154">
        <f t="shared" si="186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9"/>
        <v>16602721.68141593</v>
      </c>
      <c r="AJ634" s="19">
        <f t="shared" si="180"/>
        <v>1923201.4867699118</v>
      </c>
      <c r="AK634" s="20">
        <f t="shared" si="187"/>
        <v>0.11583651907642503</v>
      </c>
      <c r="AL634" s="17"/>
      <c r="AM634" s="17"/>
      <c r="AN634" s="17"/>
      <c r="AO634" s="17"/>
      <c r="AP634" s="28" t="str">
        <f t="shared" si="188"/>
        <v>TBATBA</v>
      </c>
      <c r="AQ634" s="28" t="str">
        <f t="shared" si="189"/>
        <v>TBATBARMB</v>
      </c>
      <c r="AR634" s="206" t="str">
        <f t="shared" si="190"/>
        <v>YAMAHA_Mounter</v>
      </c>
      <c r="AS634" s="22" t="str">
        <f t="shared" si="191"/>
        <v/>
      </c>
      <c r="AT634" s="24" t="str">
        <f t="shared" si="192"/>
        <v/>
      </c>
    </row>
    <row r="635" spans="1:46" s="12" customFormat="1">
      <c r="A635" s="33" t="str">
        <f t="shared" si="181"/>
        <v>FY 19/20</v>
      </c>
      <c r="B635" s="152">
        <v>2019</v>
      </c>
      <c r="C635" s="152">
        <v>4</v>
      </c>
      <c r="D635" s="33" t="str">
        <f t="shared" si="182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3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78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96"/>
        <v>8920000</v>
      </c>
      <c r="AA635" s="13">
        <v>7.2300000000000003E-2</v>
      </c>
      <c r="AB635" s="21">
        <f t="shared" si="184"/>
        <v>644916</v>
      </c>
      <c r="AC635" s="130">
        <f t="shared" si="185"/>
        <v>85193.403599999991</v>
      </c>
      <c r="AD635" s="169">
        <v>0.1321</v>
      </c>
      <c r="AE635" s="154">
        <f t="shared" si="186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9"/>
        <v>32843736.557277881</v>
      </c>
      <c r="AJ635" s="19">
        <f t="shared" si="180"/>
        <v>3921470.6822663117</v>
      </c>
      <c r="AK635" s="20">
        <f t="shared" si="187"/>
        <v>0.11939782416131177</v>
      </c>
      <c r="AL635" s="17"/>
      <c r="AM635" s="17"/>
      <c r="AN635" s="17"/>
      <c r="AO635" s="17"/>
      <c r="AP635" s="28" t="str">
        <f t="shared" si="188"/>
        <v>20194</v>
      </c>
      <c r="AQ635" s="28" t="str">
        <f t="shared" si="189"/>
        <v>20194JPY</v>
      </c>
      <c r="AR635" s="206" t="str">
        <f t="shared" si="190"/>
        <v>YAMAHA_Mounter</v>
      </c>
      <c r="AS635" s="22">
        <f t="shared" si="191"/>
        <v>0</v>
      </c>
      <c r="AT635" s="24" t="str">
        <f t="shared" si="192"/>
        <v>0-3 months</v>
      </c>
    </row>
    <row r="636" spans="1:46" s="12" customFormat="1">
      <c r="A636" s="33" t="str">
        <f t="shared" si="181"/>
        <v>FY 18/19</v>
      </c>
      <c r="B636" s="152">
        <v>2018</v>
      </c>
      <c r="C636" s="152">
        <v>10</v>
      </c>
      <c r="D636" s="33" t="str">
        <f t="shared" si="182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3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78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96"/>
        <v>14140000</v>
      </c>
      <c r="AA636" s="13">
        <v>7.22E-2</v>
      </c>
      <c r="AB636" s="21">
        <f t="shared" si="184"/>
        <v>1020908</v>
      </c>
      <c r="AC636" s="130">
        <f t="shared" si="185"/>
        <v>171614.6348</v>
      </c>
      <c r="AD636" s="169">
        <v>0.1681</v>
      </c>
      <c r="AE636" s="154">
        <f t="shared" si="186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9"/>
        <v>47416008.333399981</v>
      </c>
      <c r="AJ636" s="19">
        <f t="shared" si="180"/>
        <v>6981738.4465290187</v>
      </c>
      <c r="AK636" s="20">
        <f t="shared" si="187"/>
        <v>0.14724433143839863</v>
      </c>
      <c r="AL636" s="17"/>
      <c r="AM636" s="17"/>
      <c r="AN636" s="17"/>
      <c r="AO636" s="17"/>
      <c r="AP636" s="28" t="str">
        <f t="shared" si="188"/>
        <v>20193</v>
      </c>
      <c r="AQ636" s="28" t="str">
        <f t="shared" si="189"/>
        <v>20193JPY</v>
      </c>
      <c r="AR636" s="206" t="str">
        <f t="shared" si="190"/>
        <v>YAMAHA_Mounter</v>
      </c>
      <c r="AS636" s="22">
        <f t="shared" si="191"/>
        <v>5</v>
      </c>
      <c r="AT636" s="24" t="str">
        <f t="shared" si="192"/>
        <v>4-6 months</v>
      </c>
    </row>
    <row r="637" spans="1:46" s="12" customFormat="1">
      <c r="A637" s="33" t="str">
        <f t="shared" si="181"/>
        <v>FY 18/19</v>
      </c>
      <c r="B637" s="152">
        <v>2018</v>
      </c>
      <c r="C637" s="152">
        <v>10</v>
      </c>
      <c r="D637" s="33" t="str">
        <f t="shared" si="182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3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78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96"/>
        <v>14140000</v>
      </c>
      <c r="AA637" s="13">
        <v>7.22E-2</v>
      </c>
      <c r="AB637" s="21">
        <f t="shared" si="184"/>
        <v>1020908</v>
      </c>
      <c r="AC637" s="130">
        <f t="shared" si="185"/>
        <v>171614.6348</v>
      </c>
      <c r="AD637" s="169">
        <v>0.1681</v>
      </c>
      <c r="AE637" s="154">
        <f t="shared" si="186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9"/>
        <v>47416008.333399981</v>
      </c>
      <c r="AJ637" s="19">
        <f t="shared" si="180"/>
        <v>6981738.4465290187</v>
      </c>
      <c r="AK637" s="20">
        <f t="shared" si="187"/>
        <v>0.14724433143839863</v>
      </c>
      <c r="AL637" s="17"/>
      <c r="AM637" s="17"/>
      <c r="AN637" s="17"/>
      <c r="AO637" s="17"/>
      <c r="AP637" s="28" t="str">
        <f t="shared" si="188"/>
        <v>20193</v>
      </c>
      <c r="AQ637" s="28" t="str">
        <f t="shared" si="189"/>
        <v>20193JPY</v>
      </c>
      <c r="AR637" s="206" t="str">
        <f t="shared" si="190"/>
        <v>YAMAHA_Mounter</v>
      </c>
      <c r="AS637" s="22">
        <f t="shared" si="191"/>
        <v>5</v>
      </c>
      <c r="AT637" s="24" t="str">
        <f t="shared" si="192"/>
        <v>4-6 months</v>
      </c>
    </row>
    <row r="638" spans="1:46" s="12" customFormat="1">
      <c r="A638" s="33" t="str">
        <f t="shared" si="181"/>
        <v>FY 20/21</v>
      </c>
      <c r="B638" s="152">
        <v>2020</v>
      </c>
      <c r="C638" s="152">
        <v>11</v>
      </c>
      <c r="D638" s="33" t="str">
        <f t="shared" si="182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3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78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96"/>
        <v>7575000</v>
      </c>
      <c r="AA638" s="13">
        <v>7.4499999999999997E-2</v>
      </c>
      <c r="AB638" s="21">
        <f t="shared" si="184"/>
        <v>564337.5</v>
      </c>
      <c r="AC638" s="130">
        <f t="shared" si="185"/>
        <v>99041.231249999997</v>
      </c>
      <c r="AD638" s="169">
        <v>0.17549999999999999</v>
      </c>
      <c r="AE638" s="154">
        <f t="shared" si="186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9"/>
        <v>57778307.282035396</v>
      </c>
      <c r="AJ638" s="19">
        <f t="shared" si="180"/>
        <v>7259860.7225420559</v>
      </c>
      <c r="AK638" s="20">
        <f t="shared" si="187"/>
        <v>0.12565028406083667</v>
      </c>
      <c r="AL638" s="17"/>
      <c r="AM638" s="17"/>
      <c r="AN638" s="17"/>
      <c r="AO638" s="17"/>
      <c r="AP638" s="28" t="str">
        <f t="shared" si="188"/>
        <v>20213</v>
      </c>
      <c r="AQ638" s="28" t="str">
        <f t="shared" si="189"/>
        <v>20213JPY</v>
      </c>
      <c r="AR638" s="206" t="str">
        <f t="shared" si="190"/>
        <v>YAMAHA_Mounter</v>
      </c>
      <c r="AS638" s="22">
        <f t="shared" si="191"/>
        <v>4</v>
      </c>
      <c r="AT638" s="24" t="str">
        <f t="shared" si="192"/>
        <v>4-6 months</v>
      </c>
    </row>
    <row r="639" spans="1:46" s="12" customFormat="1">
      <c r="A639" s="33" t="str">
        <f t="shared" si="181"/>
        <v>FY 20/21</v>
      </c>
      <c r="B639" s="152">
        <v>2020</v>
      </c>
      <c r="C639" s="152">
        <v>11</v>
      </c>
      <c r="D639" s="33" t="str">
        <f t="shared" si="182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3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78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96"/>
        <v>7575000</v>
      </c>
      <c r="AA639" s="13">
        <v>7.4499999999999997E-2</v>
      </c>
      <c r="AB639" s="21">
        <f t="shared" si="184"/>
        <v>564337.5</v>
      </c>
      <c r="AC639" s="130">
        <f t="shared" si="185"/>
        <v>99041.231249999997</v>
      </c>
      <c r="AD639" s="169">
        <v>0.17549999999999999</v>
      </c>
      <c r="AE639" s="154">
        <f t="shared" si="186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9"/>
        <v>57778307.282035396</v>
      </c>
      <c r="AJ639" s="19">
        <f t="shared" si="180"/>
        <v>7259860.7225420559</v>
      </c>
      <c r="AK639" s="20">
        <f t="shared" si="187"/>
        <v>0.12565028406083667</v>
      </c>
      <c r="AL639" s="17"/>
      <c r="AM639" s="17"/>
      <c r="AN639" s="17"/>
      <c r="AO639" s="17"/>
      <c r="AP639" s="28" t="str">
        <f t="shared" si="188"/>
        <v>20213</v>
      </c>
      <c r="AQ639" s="28" t="str">
        <f t="shared" si="189"/>
        <v>20213JPY</v>
      </c>
      <c r="AR639" s="206" t="str">
        <f t="shared" si="190"/>
        <v>YAMAHA_Mounter</v>
      </c>
      <c r="AS639" s="22">
        <f t="shared" si="191"/>
        <v>4</v>
      </c>
      <c r="AT639" s="24" t="str">
        <f t="shared" si="192"/>
        <v>4-6 months</v>
      </c>
    </row>
    <row r="640" spans="1:46" s="12" customFormat="1">
      <c r="A640" s="33" t="str">
        <f t="shared" si="181"/>
        <v>FY 20/21</v>
      </c>
      <c r="B640" s="152">
        <v>2020</v>
      </c>
      <c r="C640" s="152">
        <v>6</v>
      </c>
      <c r="D640" s="33" t="str">
        <f t="shared" si="182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3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78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96"/>
        <v>745000</v>
      </c>
      <c r="AA640" s="13">
        <v>1.089</v>
      </c>
      <c r="AB640" s="21">
        <f t="shared" si="184"/>
        <v>717969.0265486727</v>
      </c>
      <c r="AC640" s="130">
        <f t="shared" si="185"/>
        <v>75817.529203539831</v>
      </c>
      <c r="AD640" s="169">
        <v>0.1056</v>
      </c>
      <c r="AE640" s="154">
        <f t="shared" si="186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9"/>
        <v>29183109.05575221</v>
      </c>
      <c r="AJ640" s="19">
        <f t="shared" si="180"/>
        <v>3741266.5648721238</v>
      </c>
      <c r="AK640" s="20">
        <f t="shared" si="187"/>
        <v>0.12819972531798121</v>
      </c>
      <c r="AL640" s="17"/>
      <c r="AM640" s="17"/>
      <c r="AN640" s="17"/>
      <c r="AO640" s="17"/>
      <c r="AP640" s="28" t="str">
        <f t="shared" si="188"/>
        <v>20206</v>
      </c>
      <c r="AQ640" s="28" t="str">
        <f t="shared" si="189"/>
        <v>20206RMB</v>
      </c>
      <c r="AR640" s="206" t="str">
        <f t="shared" si="190"/>
        <v>YAMAHA_Mounter</v>
      </c>
      <c r="AS640" s="22">
        <f t="shared" si="191"/>
        <v>0</v>
      </c>
      <c r="AT640" s="24" t="str">
        <f t="shared" si="192"/>
        <v>0-3 months</v>
      </c>
    </row>
    <row r="641" spans="1:46" s="12" customFormat="1">
      <c r="A641" s="33" t="str">
        <f t="shared" si="181"/>
        <v>FY 20/21</v>
      </c>
      <c r="B641" s="152">
        <v>2020</v>
      </c>
      <c r="C641" s="152">
        <v>6</v>
      </c>
      <c r="D641" s="33" t="str">
        <f t="shared" si="182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3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78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96"/>
        <v>745000</v>
      </c>
      <c r="AA641" s="13">
        <v>1.089</v>
      </c>
      <c r="AB641" s="21">
        <f t="shared" si="184"/>
        <v>717969.0265486727</v>
      </c>
      <c r="AC641" s="130">
        <f t="shared" si="185"/>
        <v>75817.529203539831</v>
      </c>
      <c r="AD641" s="169">
        <v>0.1056</v>
      </c>
      <c r="AE641" s="154">
        <f t="shared" si="186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9"/>
        <v>29183109.05575221</v>
      </c>
      <c r="AJ641" s="19">
        <f t="shared" si="180"/>
        <v>3741266.5648721238</v>
      </c>
      <c r="AK641" s="20">
        <f t="shared" si="187"/>
        <v>0.12819972531798121</v>
      </c>
      <c r="AL641" s="17"/>
      <c r="AM641" s="17"/>
      <c r="AN641" s="17"/>
      <c r="AO641" s="17"/>
      <c r="AP641" s="28" t="str">
        <f t="shared" si="188"/>
        <v>20206</v>
      </c>
      <c r="AQ641" s="28" t="str">
        <f t="shared" si="189"/>
        <v>20206RMB</v>
      </c>
      <c r="AR641" s="206" t="str">
        <f t="shared" si="190"/>
        <v>YAMAHA_Mounter</v>
      </c>
      <c r="AS641" s="22">
        <f t="shared" si="191"/>
        <v>0</v>
      </c>
      <c r="AT641" s="24" t="str">
        <f t="shared" si="192"/>
        <v>0-3 months</v>
      </c>
    </row>
    <row r="642" spans="1:46" s="12" customFormat="1">
      <c r="A642" s="33" t="str">
        <f t="shared" si="181"/>
        <v>FY 23/24</v>
      </c>
      <c r="B642" s="152">
        <v>2023</v>
      </c>
      <c r="C642" s="152">
        <v>4</v>
      </c>
      <c r="D642" s="33" t="str">
        <f t="shared" si="182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3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ref="P642:P705" si="197">IF(M642="","",IF(AND(N642&gt;0,L642&lt;&gt;""),"MAIN UNIT",IF(AND(O642&gt;0,L642&lt;&gt;""),"SERVICE/ PARTS","C66 SERVICE/OTHERS")))</f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8">IF(W642="RMB","1.13", "1")</f>
        <v>1.13</v>
      </c>
      <c r="Z642" s="18">
        <f t="shared" si="196"/>
        <v>500000</v>
      </c>
      <c r="AA642" s="13">
        <v>1.105</v>
      </c>
      <c r="AB642" s="21">
        <f t="shared" si="184"/>
        <v>488938.05309734517</v>
      </c>
      <c r="AC642" s="130">
        <f t="shared" si="185"/>
        <v>96174.115044247796</v>
      </c>
      <c r="AD642" s="169">
        <v>0.19670000000000001</v>
      </c>
      <c r="AE642" s="154">
        <f t="shared" si="186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9">IF(P642="C66 SERVICE","",SUMIFS(AB:AB,F:F,F642,G:G,G642,E:E,E642))</f>
        <v>13640480.497522123</v>
      </c>
      <c r="AJ642" s="19">
        <f t="shared" ref="AJ642:AJ705" si="200">IF(P642="C66 SERVICE","",SUMIFS(AC:AC,F:F,F642,G:G,G642,E:E,E642))</f>
        <v>1928605.8020906283</v>
      </c>
      <c r="AK642" s="20">
        <f t="shared" si="187"/>
        <v>0.1413884065477731</v>
      </c>
      <c r="AL642" s="17"/>
      <c r="AM642" s="17"/>
      <c r="AN642" s="17"/>
      <c r="AO642" s="17"/>
      <c r="AP642" s="28" t="str">
        <f t="shared" si="188"/>
        <v>20236</v>
      </c>
      <c r="AQ642" s="28" t="str">
        <f t="shared" si="189"/>
        <v>20236RMB</v>
      </c>
      <c r="AR642" s="206" t="str">
        <f t="shared" si="190"/>
        <v>YAMAHA_Mounter</v>
      </c>
      <c r="AS642" s="22">
        <f t="shared" si="191"/>
        <v>2</v>
      </c>
      <c r="AT642" s="24" t="str">
        <f t="shared" si="192"/>
        <v>0-3 months</v>
      </c>
    </row>
    <row r="643" spans="1:46" s="12" customFormat="1">
      <c r="A643" s="33" t="str">
        <f t="shared" si="181"/>
        <v>FY 23/24</v>
      </c>
      <c r="B643" s="152">
        <v>2023</v>
      </c>
      <c r="C643" s="152">
        <v>4</v>
      </c>
      <c r="D643" s="33" t="str">
        <f t="shared" si="182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3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97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8"/>
        <v>1.13</v>
      </c>
      <c r="Z643" s="18">
        <f t="shared" si="196"/>
        <v>500000</v>
      </c>
      <c r="AA643" s="13">
        <v>1.105</v>
      </c>
      <c r="AB643" s="21">
        <f t="shared" si="184"/>
        <v>488938.05309734517</v>
      </c>
      <c r="AC643" s="130">
        <f t="shared" si="185"/>
        <v>96174.115044247796</v>
      </c>
      <c r="AD643" s="169">
        <v>0.19670000000000001</v>
      </c>
      <c r="AE643" s="154">
        <f t="shared" si="186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9"/>
        <v>13640480.497522123</v>
      </c>
      <c r="AJ643" s="19">
        <f t="shared" si="200"/>
        <v>1928605.8020906283</v>
      </c>
      <c r="AK643" s="20">
        <f t="shared" si="187"/>
        <v>0.1413884065477731</v>
      </c>
      <c r="AL643" s="17"/>
      <c r="AM643" s="17"/>
      <c r="AN643" s="17"/>
      <c r="AO643" s="17"/>
      <c r="AP643" s="28" t="str">
        <f t="shared" si="188"/>
        <v>20236</v>
      </c>
      <c r="AQ643" s="28" t="str">
        <f t="shared" si="189"/>
        <v>20236RMB</v>
      </c>
      <c r="AR643" s="206" t="str">
        <f t="shared" si="190"/>
        <v>YAMAHA_Mounter</v>
      </c>
      <c r="AS643" s="22">
        <f t="shared" si="191"/>
        <v>2</v>
      </c>
      <c r="AT643" s="24" t="str">
        <f t="shared" si="192"/>
        <v>0-3 months</v>
      </c>
    </row>
    <row r="644" spans="1:46" s="12" customFormat="1">
      <c r="A644" s="33" t="str">
        <f t="shared" si="181"/>
        <v>FY 22/23</v>
      </c>
      <c r="B644" s="152">
        <v>2022</v>
      </c>
      <c r="C644" s="152">
        <v>12</v>
      </c>
      <c r="D644" s="33" t="str">
        <f t="shared" si="182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3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97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8"/>
        <v>1.13</v>
      </c>
      <c r="Z644" s="18">
        <f t="shared" si="196"/>
        <v>936666.66</v>
      </c>
      <c r="AA644" s="13">
        <v>1.1599999999999999</v>
      </c>
      <c r="AB644" s="21">
        <f t="shared" si="184"/>
        <v>961533.91646017693</v>
      </c>
      <c r="AC644" s="130">
        <f t="shared" si="185"/>
        <v>78749.627758088493</v>
      </c>
      <c r="AD644" s="169">
        <v>8.1900000000000001E-2</v>
      </c>
      <c r="AE644" s="154">
        <f t="shared" si="186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9"/>
        <v>7502645.9971681423</v>
      </c>
      <c r="AJ644" s="19">
        <f t="shared" si="200"/>
        <v>664841.72044240718</v>
      </c>
      <c r="AK644" s="20">
        <f t="shared" si="187"/>
        <v>8.861429963420242E-2</v>
      </c>
      <c r="AL644" s="17"/>
      <c r="AM644" s="17"/>
      <c r="AN644" s="17"/>
      <c r="AO644" s="17"/>
      <c r="AP644" s="28" t="str">
        <f t="shared" si="188"/>
        <v>20231</v>
      </c>
      <c r="AQ644" s="28" t="str">
        <f t="shared" si="189"/>
        <v>20231RMB</v>
      </c>
      <c r="AR644" s="206" t="str">
        <f t="shared" si="190"/>
        <v>YAMAHA_Mounter</v>
      </c>
      <c r="AS644" s="22">
        <f t="shared" si="191"/>
        <v>1</v>
      </c>
      <c r="AT644" s="24" t="str">
        <f t="shared" si="192"/>
        <v>0-3 months</v>
      </c>
    </row>
    <row r="645" spans="1:46" s="12" customFormat="1">
      <c r="A645" s="33" t="str">
        <f t="shared" si="181"/>
        <v>FY 22/23</v>
      </c>
      <c r="B645" s="152">
        <v>2022</v>
      </c>
      <c r="C645" s="152">
        <v>12</v>
      </c>
      <c r="D645" s="33" t="str">
        <f t="shared" si="182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3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97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8"/>
        <v>1.13</v>
      </c>
      <c r="Z645" s="18">
        <f t="shared" si="196"/>
        <v>936666.66</v>
      </c>
      <c r="AA645" s="13">
        <v>1.1599999999999999</v>
      </c>
      <c r="AB645" s="21">
        <f t="shared" si="184"/>
        <v>961533.91646017693</v>
      </c>
      <c r="AC645" s="130">
        <f t="shared" si="185"/>
        <v>78749.627758088493</v>
      </c>
      <c r="AD645" s="169">
        <v>8.1900000000000001E-2</v>
      </c>
      <c r="AE645" s="154">
        <f t="shared" si="186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9"/>
        <v>7502645.9971681423</v>
      </c>
      <c r="AJ645" s="19">
        <f t="shared" si="200"/>
        <v>664841.72044240718</v>
      </c>
      <c r="AK645" s="20">
        <f t="shared" si="187"/>
        <v>8.861429963420242E-2</v>
      </c>
      <c r="AL645" s="17"/>
      <c r="AM645" s="17"/>
      <c r="AN645" s="17"/>
      <c r="AO645" s="17"/>
      <c r="AP645" s="28" t="str">
        <f t="shared" si="188"/>
        <v>20231</v>
      </c>
      <c r="AQ645" s="28" t="str">
        <f t="shared" si="189"/>
        <v>20231RMB</v>
      </c>
      <c r="AR645" s="206" t="str">
        <f t="shared" si="190"/>
        <v>YAMAHA_Mounter</v>
      </c>
      <c r="AS645" s="22">
        <f t="shared" si="191"/>
        <v>1</v>
      </c>
      <c r="AT645" s="24" t="str">
        <f t="shared" si="192"/>
        <v>0-3 months</v>
      </c>
    </row>
    <row r="646" spans="1:46" s="12" customFormat="1">
      <c r="A646" s="33" t="str">
        <f t="shared" ref="A646:A709" si="201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2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3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si="197"/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8"/>
        <v>1.13</v>
      </c>
      <c r="Z646" s="18">
        <f t="shared" si="196"/>
        <v>936666.66</v>
      </c>
      <c r="AA646" s="13">
        <v>1.1599999999999999</v>
      </c>
      <c r="AB646" s="21">
        <f t="shared" ref="AB646:AB699" si="204">IF(AND(R646&lt;&gt;"C66",R646&lt;&gt;""),Z646/Y646*AA646,"")</f>
        <v>961533.91646017693</v>
      </c>
      <c r="AC646" s="130">
        <f t="shared" ref="AC646:AC709" si="205">IF(R646&lt;&gt;"",AB646*AD646,"")</f>
        <v>78749.627758088493</v>
      </c>
      <c r="AD646" s="169">
        <v>8.1900000000000001E-2</v>
      </c>
      <c r="AE646" s="154">
        <f t="shared" ref="AE646:AE709" si="206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9"/>
        <v>7502645.9971681423</v>
      </c>
      <c r="AJ646" s="19">
        <f t="shared" si="200"/>
        <v>664841.72044240718</v>
      </c>
      <c r="AK646" s="20">
        <f t="shared" ref="AK646:AK709" si="207">IF(AJ646&gt;0,AJ646/AI646,"")</f>
        <v>8.861429963420242E-2</v>
      </c>
      <c r="AL646" s="17"/>
      <c r="AM646" s="17"/>
      <c r="AN646" s="17"/>
      <c r="AO646" s="17"/>
      <c r="AP646" s="28" t="str">
        <f t="shared" ref="AP646:AP709" si="208">IF(F646="","",F646&amp;G646)</f>
        <v>20231</v>
      </c>
      <c r="AQ646" s="28" t="str">
        <f t="shared" ref="AQ646:AQ709" si="209">IF(W646="","",F646&amp;G646&amp;W646)</f>
        <v>20231RMB</v>
      </c>
      <c r="AR646" s="206" t="str">
        <f t="shared" ref="AR646:AR709" si="210">IFERROR(IF(AND(M646="YAMAHA", R646="C28"), "YAMAHA_Non_Mounter", IF(AND(M646="YAMAHA", R646="C49"), "YAMAHA_Mounter", M646)),"")</f>
        <v>YAMAHA_Mounter</v>
      </c>
      <c r="AS646" s="22">
        <f t="shared" ref="AS646:AS709" si="211">IFERROR(IF(OR(G646="TBA", G646=""), "", DATEDIF(DATE(B646, C646, 1), DATE(F646, G646, 1), "M")),"")</f>
        <v>1</v>
      </c>
      <c r="AT646" s="24" t="str">
        <f t="shared" ref="AT646:AT709" si="212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1"/>
        <v>FY 21/22</v>
      </c>
      <c r="B647" s="152">
        <v>2021</v>
      </c>
      <c r="C647" s="152">
        <v>4</v>
      </c>
      <c r="D647" s="33" t="str">
        <f t="shared" si="202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3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197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8"/>
        <v>1.13</v>
      </c>
      <c r="Z647" s="18">
        <f t="shared" si="196"/>
        <v>520000</v>
      </c>
      <c r="AA647" s="13">
        <v>1.2</v>
      </c>
      <c r="AB647" s="21">
        <f t="shared" si="204"/>
        <v>552212.38938053104</v>
      </c>
      <c r="AC647" s="130">
        <f t="shared" si="205"/>
        <v>68916.106194690277</v>
      </c>
      <c r="AD647" s="169">
        <v>0.12479999999999999</v>
      </c>
      <c r="AE647" s="154">
        <f t="shared" si="206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9"/>
        <v>41443303.53761062</v>
      </c>
      <c r="AJ647" s="19">
        <f t="shared" si="200"/>
        <v>6194988.76643031</v>
      </c>
      <c r="AK647" s="20">
        <f t="shared" si="207"/>
        <v>0.1494810557466355</v>
      </c>
      <c r="AL647" s="17"/>
      <c r="AM647" s="17"/>
      <c r="AN647" s="17"/>
      <c r="AO647" s="17"/>
      <c r="AP647" s="28" t="str">
        <f t="shared" si="208"/>
        <v>20217</v>
      </c>
      <c r="AQ647" s="28" t="str">
        <f t="shared" si="209"/>
        <v>20217RMB</v>
      </c>
      <c r="AR647" s="206" t="str">
        <f t="shared" si="210"/>
        <v>YAMAHA_Mounter</v>
      </c>
      <c r="AS647" s="22">
        <f t="shared" si="211"/>
        <v>3</v>
      </c>
      <c r="AT647" s="24" t="str">
        <f t="shared" si="212"/>
        <v>0-3 months</v>
      </c>
    </row>
    <row r="648" spans="1:46" s="12" customFormat="1">
      <c r="A648" s="33" t="str">
        <f t="shared" si="201"/>
        <v>FY 22/23</v>
      </c>
      <c r="B648" s="152">
        <v>2023</v>
      </c>
      <c r="C648" s="152">
        <v>2</v>
      </c>
      <c r="D648" s="33" t="str">
        <f t="shared" si="202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3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197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8"/>
        <v>1.13</v>
      </c>
      <c r="Z648" s="18">
        <f t="shared" si="196"/>
        <v>680000</v>
      </c>
      <c r="AA648" s="13">
        <v>1.1299999999999999</v>
      </c>
      <c r="AB648" s="21">
        <f t="shared" si="204"/>
        <v>680000</v>
      </c>
      <c r="AC648" s="130">
        <f t="shared" si="205"/>
        <v>93568</v>
      </c>
      <c r="AD648" s="169">
        <v>0.1376</v>
      </c>
      <c r="AE648" s="154">
        <f t="shared" si="206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9"/>
        <v>33543315.897345133</v>
      </c>
      <c r="AJ648" s="19">
        <f t="shared" si="200"/>
        <v>4706169.3252984071</v>
      </c>
      <c r="AK648" s="20">
        <f t="shared" si="207"/>
        <v>0.14030125523967318</v>
      </c>
      <c r="AL648" s="17"/>
      <c r="AM648" s="17"/>
      <c r="AN648" s="17"/>
      <c r="AO648" s="17"/>
      <c r="AP648" s="28" t="str">
        <f t="shared" si="208"/>
        <v>20233</v>
      </c>
      <c r="AQ648" s="28" t="str">
        <f t="shared" si="209"/>
        <v>20233RMB</v>
      </c>
      <c r="AR648" s="206" t="str">
        <f t="shared" si="210"/>
        <v>YAMAHA_Mounter</v>
      </c>
      <c r="AS648" s="22">
        <f t="shared" si="211"/>
        <v>1</v>
      </c>
      <c r="AT648" s="24" t="str">
        <f t="shared" si="212"/>
        <v>0-3 months</v>
      </c>
    </row>
    <row r="649" spans="1:46" s="12" customFormat="1" ht="28">
      <c r="A649" s="33" t="str">
        <f t="shared" si="201"/>
        <v>FY 23/24</v>
      </c>
      <c r="B649" s="152">
        <v>2023</v>
      </c>
      <c r="C649" s="152">
        <v>7</v>
      </c>
      <c r="D649" s="33" t="str">
        <f t="shared" si="202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3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197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8"/>
        <v>1.13</v>
      </c>
      <c r="Z649" s="18">
        <f t="shared" si="196"/>
        <v>30000</v>
      </c>
      <c r="AA649" s="13">
        <v>1.081</v>
      </c>
      <c r="AB649" s="21">
        <f t="shared" si="204"/>
        <v>28699.115044247788</v>
      </c>
      <c r="AC649" s="130">
        <f t="shared" si="205"/>
        <v>11155.346017699116</v>
      </c>
      <c r="AD649" s="169">
        <v>0.38869999999999999</v>
      </c>
      <c r="AE649" s="154">
        <f t="shared" si="206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9"/>
        <v>15951056.41591504</v>
      </c>
      <c r="AJ649" s="19">
        <f t="shared" si="200"/>
        <v>1966354.6022462982</v>
      </c>
      <c r="AK649" s="20">
        <f t="shared" si="207"/>
        <v>0.12327425538313459</v>
      </c>
      <c r="AL649" s="17"/>
      <c r="AM649" s="17"/>
      <c r="AN649" s="17"/>
      <c r="AO649" s="17"/>
      <c r="AP649" s="28" t="str">
        <f t="shared" si="208"/>
        <v>20237</v>
      </c>
      <c r="AQ649" s="28" t="str">
        <f t="shared" si="209"/>
        <v>20237RMB</v>
      </c>
      <c r="AR649" s="206" t="str">
        <f t="shared" si="210"/>
        <v>YAMAHA_Mounter</v>
      </c>
      <c r="AS649" s="22">
        <f t="shared" si="211"/>
        <v>0</v>
      </c>
      <c r="AT649" s="24" t="str">
        <f t="shared" si="212"/>
        <v>0-3 months</v>
      </c>
    </row>
    <row r="650" spans="1:46" s="12" customFormat="1">
      <c r="A650" s="33" t="str">
        <f t="shared" si="201"/>
        <v>FY 23/24</v>
      </c>
      <c r="B650" s="152">
        <v>2023</v>
      </c>
      <c r="C650" s="152">
        <v>7</v>
      </c>
      <c r="D650" s="33" t="str">
        <f t="shared" si="202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3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197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8"/>
        <v>1.13</v>
      </c>
      <c r="Z650" s="18">
        <f t="shared" si="196"/>
        <v>505300</v>
      </c>
      <c r="AA650" s="13">
        <v>1.0920000000000001</v>
      </c>
      <c r="AB650" s="21">
        <f t="shared" si="204"/>
        <v>488307.61061946914</v>
      </c>
      <c r="AC650" s="130">
        <f t="shared" si="205"/>
        <v>58255.097946902672</v>
      </c>
      <c r="AD650" s="169">
        <v>0.1193</v>
      </c>
      <c r="AE650" s="154">
        <f t="shared" si="206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9"/>
        <v>22953677.784070797</v>
      </c>
      <c r="AJ650" s="19">
        <f t="shared" si="200"/>
        <v>4168706.6744155753</v>
      </c>
      <c r="AK650" s="20">
        <f t="shared" si="207"/>
        <v>0.18161388835511752</v>
      </c>
      <c r="AL650" s="17"/>
      <c r="AM650" s="17"/>
      <c r="AN650" s="17"/>
      <c r="AO650" s="17"/>
      <c r="AP650" s="28" t="str">
        <f t="shared" si="208"/>
        <v>20238</v>
      </c>
      <c r="AQ650" s="28" t="str">
        <f t="shared" si="209"/>
        <v>20238RMB</v>
      </c>
      <c r="AR650" s="206" t="str">
        <f t="shared" si="210"/>
        <v>YAMAHA_Mounter</v>
      </c>
      <c r="AS650" s="22">
        <f t="shared" si="211"/>
        <v>1</v>
      </c>
      <c r="AT650" s="24" t="str">
        <f t="shared" si="212"/>
        <v>0-3 months</v>
      </c>
    </row>
    <row r="651" spans="1:46" s="12" customFormat="1">
      <c r="A651" s="33" t="str">
        <f t="shared" si="201"/>
        <v>FY 23/24</v>
      </c>
      <c r="B651" s="23">
        <v>2024</v>
      </c>
      <c r="C651" s="152">
        <v>3</v>
      </c>
      <c r="D651" s="33" t="str">
        <f t="shared" si="202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3"/>
        <v>Q1</v>
      </c>
      <c r="J651" s="188" t="s">
        <v>3371</v>
      </c>
      <c r="K651" s="29" t="s">
        <v>1836</v>
      </c>
      <c r="L651" s="17" t="s">
        <v>93</v>
      </c>
      <c r="M651" s="22" t="s">
        <v>61</v>
      </c>
      <c r="N651" s="22">
        <v>1</v>
      </c>
      <c r="O651" s="22"/>
      <c r="P651" s="33" t="str">
        <f t="shared" si="197"/>
        <v>MAIN UNIT</v>
      </c>
      <c r="Q651" s="13" t="s">
        <v>62</v>
      </c>
      <c r="R651" s="22" t="s">
        <v>63</v>
      </c>
      <c r="S651" s="22" t="s">
        <v>53</v>
      </c>
      <c r="T651" s="22" t="s">
        <v>1660</v>
      </c>
      <c r="U651" s="22" t="s">
        <v>178</v>
      </c>
      <c r="V651" s="22" t="s">
        <v>179</v>
      </c>
      <c r="W651" s="22" t="s">
        <v>65</v>
      </c>
      <c r="X651" s="30">
        <v>690000</v>
      </c>
      <c r="Y651" s="31" t="str">
        <f>IF(W651="","",IF(W651="RMB","1.13", "1"))</f>
        <v>1.13</v>
      </c>
      <c r="Z651" s="18">
        <f t="shared" si="196"/>
        <v>690000</v>
      </c>
      <c r="AA651" s="22">
        <v>1.083</v>
      </c>
      <c r="AB651" s="21">
        <f t="shared" si="204"/>
        <v>661300.88495575229</v>
      </c>
      <c r="AC651" s="25">
        <f t="shared" si="205"/>
        <v>53234.721238938058</v>
      </c>
      <c r="AD651" s="169">
        <v>8.0500000000000002E-2</v>
      </c>
      <c r="AE651" s="26">
        <f t="shared" si="206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9"/>
        <v>20319282.700884953</v>
      </c>
      <c r="AJ651" s="27">
        <f t="shared" si="200"/>
        <v>2408851.9638623013</v>
      </c>
      <c r="AK651" s="28">
        <f t="shared" si="207"/>
        <v>0.11855004919821259</v>
      </c>
      <c r="AL651" s="24"/>
      <c r="AM651" s="24"/>
      <c r="AN651" s="24"/>
      <c r="AO651" s="24"/>
      <c r="AP651" s="28" t="str">
        <f t="shared" si="208"/>
        <v>20244</v>
      </c>
      <c r="AQ651" s="28" t="str">
        <f t="shared" si="209"/>
        <v>20244RMB</v>
      </c>
      <c r="AR651" s="206" t="str">
        <f t="shared" si="210"/>
        <v>YAMAHA_Mounter</v>
      </c>
      <c r="AS651" s="22">
        <f t="shared" si="211"/>
        <v>1</v>
      </c>
      <c r="AT651" s="24" t="str">
        <f t="shared" si="212"/>
        <v>0-3 months</v>
      </c>
    </row>
    <row r="652" spans="1:46" s="12" customFormat="1">
      <c r="A652" s="33" t="str">
        <f t="shared" si="201"/>
        <v>FY 22/23</v>
      </c>
      <c r="B652" s="152">
        <v>2023</v>
      </c>
      <c r="C652" s="152">
        <v>2</v>
      </c>
      <c r="D652" s="33" t="str">
        <f t="shared" si="202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3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197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196"/>
        <v>700000</v>
      </c>
      <c r="AA652" s="13">
        <v>1.1299999999999999</v>
      </c>
      <c r="AB652" s="21">
        <f t="shared" si="204"/>
        <v>700000</v>
      </c>
      <c r="AC652" s="130">
        <f t="shared" si="205"/>
        <v>107590</v>
      </c>
      <c r="AD652" s="169">
        <v>0.1537</v>
      </c>
      <c r="AE652" s="154">
        <f t="shared" si="206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9"/>
        <v>33543315.897345133</v>
      </c>
      <c r="AJ652" s="19">
        <f t="shared" si="200"/>
        <v>4706169.3252984071</v>
      </c>
      <c r="AK652" s="20">
        <f t="shared" si="207"/>
        <v>0.14030125523967318</v>
      </c>
      <c r="AL652" s="17"/>
      <c r="AM652" s="17"/>
      <c r="AN652" s="17"/>
      <c r="AO652" s="17"/>
      <c r="AP652" s="28" t="str">
        <f t="shared" si="208"/>
        <v>20233</v>
      </c>
      <c r="AQ652" s="28" t="str">
        <f t="shared" si="209"/>
        <v>20233RMB</v>
      </c>
      <c r="AR652" s="206" t="str">
        <f t="shared" si="210"/>
        <v>YAMAHA_Mounter</v>
      </c>
      <c r="AS652" s="22">
        <f t="shared" si="211"/>
        <v>1</v>
      </c>
      <c r="AT652" s="24" t="str">
        <f t="shared" si="212"/>
        <v>0-3 months</v>
      </c>
    </row>
    <row r="653" spans="1:46" s="12" customFormat="1">
      <c r="A653" s="33" t="str">
        <f t="shared" si="201"/>
        <v>FY 18/19</v>
      </c>
      <c r="B653" s="152">
        <v>2018</v>
      </c>
      <c r="C653" s="152">
        <v>5</v>
      </c>
      <c r="D653" s="33" t="str">
        <f t="shared" si="202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3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197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196"/>
        <v>16500</v>
      </c>
      <c r="AA653" s="13">
        <v>1.23</v>
      </c>
      <c r="AB653" s="21">
        <f t="shared" si="204"/>
        <v>17495.689655172413</v>
      </c>
      <c r="AC653" s="130">
        <f t="shared" si="205"/>
        <v>4053.751293103448</v>
      </c>
      <c r="AD653" s="169">
        <v>0.23169999999999999</v>
      </c>
      <c r="AE653" s="154">
        <f t="shared" si="206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9"/>
        <v>24398045.86045352</v>
      </c>
      <c r="AJ653" s="19">
        <f t="shared" si="200"/>
        <v>3478417.4064663448</v>
      </c>
      <c r="AK653" s="20">
        <f t="shared" si="207"/>
        <v>0.14256950849102498</v>
      </c>
      <c r="AL653" s="17"/>
      <c r="AM653" s="17"/>
      <c r="AN653" s="17"/>
      <c r="AO653" s="17"/>
      <c r="AP653" s="28" t="str">
        <f t="shared" si="208"/>
        <v>20186</v>
      </c>
      <c r="AQ653" s="28" t="str">
        <f t="shared" si="209"/>
        <v>20186RMB</v>
      </c>
      <c r="AR653" s="206" t="str">
        <f t="shared" si="210"/>
        <v>SOLDERSTAR</v>
      </c>
      <c r="AS653" s="22">
        <f t="shared" si="211"/>
        <v>1</v>
      </c>
      <c r="AT653" s="24" t="str">
        <f t="shared" si="212"/>
        <v>0-3 months</v>
      </c>
    </row>
    <row r="654" spans="1:46" s="12" customFormat="1">
      <c r="A654" s="33" t="str">
        <f t="shared" si="201"/>
        <v>FY 18/19</v>
      </c>
      <c r="B654" s="152">
        <v>2018</v>
      </c>
      <c r="C654" s="152">
        <v>5</v>
      </c>
      <c r="D654" s="33" t="str">
        <f t="shared" si="202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3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197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196"/>
        <v>16500</v>
      </c>
      <c r="AA654" s="13">
        <v>1.23</v>
      </c>
      <c r="AB654" s="21">
        <f t="shared" si="204"/>
        <v>17495.689655172413</v>
      </c>
      <c r="AC654" s="130">
        <f t="shared" si="205"/>
        <v>4053.751293103448</v>
      </c>
      <c r="AD654" s="169">
        <v>0.23169999999999999</v>
      </c>
      <c r="AE654" s="154">
        <f t="shared" si="206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9"/>
        <v>24398045.86045352</v>
      </c>
      <c r="AJ654" s="19">
        <f t="shared" si="200"/>
        <v>3478417.4064663448</v>
      </c>
      <c r="AK654" s="20">
        <f t="shared" si="207"/>
        <v>0.14256950849102498</v>
      </c>
      <c r="AL654" s="17"/>
      <c r="AM654" s="17"/>
      <c r="AN654" s="17"/>
      <c r="AO654" s="17"/>
      <c r="AP654" s="28" t="str">
        <f t="shared" si="208"/>
        <v>20186</v>
      </c>
      <c r="AQ654" s="28" t="str">
        <f t="shared" si="209"/>
        <v>20186RMB</v>
      </c>
      <c r="AR654" s="206" t="str">
        <f t="shared" si="210"/>
        <v>SOLDERSTAR</v>
      </c>
      <c r="AS654" s="22">
        <f t="shared" si="211"/>
        <v>1</v>
      </c>
      <c r="AT654" s="24" t="str">
        <f t="shared" si="212"/>
        <v>0-3 months</v>
      </c>
    </row>
    <row r="655" spans="1:46" s="12" customFormat="1">
      <c r="A655" s="33" t="str">
        <f t="shared" si="201"/>
        <v>FY 21/22</v>
      </c>
      <c r="B655" s="152">
        <v>2021</v>
      </c>
      <c r="C655" s="152">
        <v>6</v>
      </c>
      <c r="D655" s="33" t="str">
        <f t="shared" si="202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3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197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196"/>
        <v>750000</v>
      </c>
      <c r="AA655" s="13">
        <v>1.22</v>
      </c>
      <c r="AB655" s="21">
        <f t="shared" si="204"/>
        <v>809734.51327433635</v>
      </c>
      <c r="AC655" s="130">
        <f t="shared" si="205"/>
        <v>87613.274336283197</v>
      </c>
      <c r="AD655" s="169">
        <v>0.1082</v>
      </c>
      <c r="AE655" s="154">
        <f t="shared" si="206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9"/>
        <v>26407088.359292038</v>
      </c>
      <c r="AJ655" s="19">
        <f t="shared" si="200"/>
        <v>3424510.6998470789</v>
      </c>
      <c r="AK655" s="20">
        <f t="shared" si="207"/>
        <v>0.12968149510667554</v>
      </c>
      <c r="AL655" s="17"/>
      <c r="AM655" s="17"/>
      <c r="AN655" s="17"/>
      <c r="AO655" s="17"/>
      <c r="AP655" s="28" t="str">
        <f t="shared" si="208"/>
        <v>20221</v>
      </c>
      <c r="AQ655" s="28" t="str">
        <f t="shared" si="209"/>
        <v>20221RMB</v>
      </c>
      <c r="AR655" s="206" t="str">
        <f t="shared" si="210"/>
        <v>YAMAHA_Mounter</v>
      </c>
      <c r="AS655" s="22">
        <f t="shared" si="211"/>
        <v>7</v>
      </c>
      <c r="AT655" s="24" t="str">
        <f t="shared" si="212"/>
        <v>&gt; 6 months</v>
      </c>
    </row>
    <row r="656" spans="1:46" s="12" customFormat="1">
      <c r="A656" s="33" t="str">
        <f t="shared" si="201"/>
        <v>FY 20/21</v>
      </c>
      <c r="B656" s="152">
        <v>2020</v>
      </c>
      <c r="C656" s="152">
        <v>7</v>
      </c>
      <c r="D656" s="33" t="str">
        <f t="shared" si="202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3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197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196"/>
        <v>698000</v>
      </c>
      <c r="AA656" s="13">
        <v>1.105</v>
      </c>
      <c r="AB656" s="21">
        <f t="shared" si="204"/>
        <v>682557.52212389384</v>
      </c>
      <c r="AC656" s="130">
        <f t="shared" si="205"/>
        <v>81770.39115044249</v>
      </c>
      <c r="AD656" s="169">
        <v>0.1198</v>
      </c>
      <c r="AE656" s="154">
        <f t="shared" si="206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9"/>
        <v>37969334.083628319</v>
      </c>
      <c r="AJ656" s="19">
        <f t="shared" si="200"/>
        <v>5097226.4551657084</v>
      </c>
      <c r="AK656" s="20">
        <f t="shared" si="207"/>
        <v>0.13424587441904964</v>
      </c>
      <c r="AL656" s="17"/>
      <c r="AM656" s="17"/>
      <c r="AN656" s="17"/>
      <c r="AO656" s="17"/>
      <c r="AP656" s="28" t="str">
        <f t="shared" si="208"/>
        <v>20208</v>
      </c>
      <c r="AQ656" s="28" t="str">
        <f t="shared" si="209"/>
        <v>20208RMB</v>
      </c>
      <c r="AR656" s="206" t="str">
        <f t="shared" si="210"/>
        <v>YAMAHA_Mounter</v>
      </c>
      <c r="AS656" s="22">
        <f t="shared" si="211"/>
        <v>1</v>
      </c>
      <c r="AT656" s="24" t="str">
        <f t="shared" si="212"/>
        <v>0-3 months</v>
      </c>
    </row>
    <row r="657" spans="1:46" s="12" customFormat="1">
      <c r="A657" s="33" t="str">
        <f t="shared" si="201"/>
        <v>FY 20/21</v>
      </c>
      <c r="B657" s="152">
        <v>2020</v>
      </c>
      <c r="C657" s="152">
        <v>6</v>
      </c>
      <c r="D657" s="33" t="str">
        <f t="shared" si="202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3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197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196"/>
        <v>760000</v>
      </c>
      <c r="AA657" s="13">
        <v>1.105</v>
      </c>
      <c r="AB657" s="21">
        <f t="shared" si="204"/>
        <v>743185.84070796461</v>
      </c>
      <c r="AC657" s="130">
        <f t="shared" si="205"/>
        <v>89330.938053097343</v>
      </c>
      <c r="AD657" s="169">
        <v>0.1202</v>
      </c>
      <c r="AE657" s="154">
        <f t="shared" si="206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9"/>
        <v>37969334.083628319</v>
      </c>
      <c r="AJ657" s="19">
        <f t="shared" si="200"/>
        <v>5097226.4551657084</v>
      </c>
      <c r="AK657" s="20">
        <f t="shared" si="207"/>
        <v>0.13424587441904964</v>
      </c>
      <c r="AL657" s="17"/>
      <c r="AM657" s="17"/>
      <c r="AN657" s="17"/>
      <c r="AO657" s="17"/>
      <c r="AP657" s="28" t="str">
        <f t="shared" si="208"/>
        <v>20208</v>
      </c>
      <c r="AQ657" s="28" t="str">
        <f t="shared" si="209"/>
        <v>20208RMB</v>
      </c>
      <c r="AR657" s="206" t="str">
        <f t="shared" si="210"/>
        <v>YAMAHA_Mounter</v>
      </c>
      <c r="AS657" s="22">
        <f t="shared" si="211"/>
        <v>2</v>
      </c>
      <c r="AT657" s="24" t="str">
        <f t="shared" si="212"/>
        <v>0-3 months</v>
      </c>
    </row>
    <row r="658" spans="1:46" s="12" customFormat="1">
      <c r="A658" s="33" t="str">
        <f t="shared" si="201"/>
        <v>FY 20/21</v>
      </c>
      <c r="B658" s="152">
        <v>2020</v>
      </c>
      <c r="C658" s="152">
        <v>6</v>
      </c>
      <c r="D658" s="33" t="str">
        <f t="shared" si="202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3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197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196"/>
        <v>1000000</v>
      </c>
      <c r="AA658" s="13">
        <v>1.105</v>
      </c>
      <c r="AB658" s="21">
        <f t="shared" si="204"/>
        <v>977876.10619469034</v>
      </c>
      <c r="AC658" s="130">
        <f t="shared" si="205"/>
        <v>117540.70796460178</v>
      </c>
      <c r="AD658" s="169">
        <v>0.1202</v>
      </c>
      <c r="AE658" s="154">
        <f t="shared" si="206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9"/>
        <v>37969334.083628319</v>
      </c>
      <c r="AJ658" s="19">
        <f t="shared" si="200"/>
        <v>5097226.4551657084</v>
      </c>
      <c r="AK658" s="20">
        <f t="shared" si="207"/>
        <v>0.13424587441904964</v>
      </c>
      <c r="AL658" s="17"/>
      <c r="AM658" s="17"/>
      <c r="AN658" s="17"/>
      <c r="AO658" s="17"/>
      <c r="AP658" s="28" t="str">
        <f t="shared" si="208"/>
        <v>20208</v>
      </c>
      <c r="AQ658" s="28" t="str">
        <f t="shared" si="209"/>
        <v>20208RMB</v>
      </c>
      <c r="AR658" s="206" t="str">
        <f t="shared" si="210"/>
        <v>YAMAHA_Mounter</v>
      </c>
      <c r="AS658" s="22">
        <f t="shared" si="211"/>
        <v>2</v>
      </c>
      <c r="AT658" s="24" t="str">
        <f t="shared" si="212"/>
        <v>0-3 months</v>
      </c>
    </row>
    <row r="659" spans="1:46" s="12" customFormat="1">
      <c r="A659" s="33" t="str">
        <f t="shared" si="201"/>
        <v>FY 21/22</v>
      </c>
      <c r="B659" s="152">
        <v>2021</v>
      </c>
      <c r="C659" s="152">
        <v>9</v>
      </c>
      <c r="D659" s="33" t="str">
        <f t="shared" si="202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3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197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196"/>
        <v>847000</v>
      </c>
      <c r="AA659" s="13">
        <v>1.22</v>
      </c>
      <c r="AB659" s="21">
        <f t="shared" si="204"/>
        <v>914460.17699115048</v>
      </c>
      <c r="AC659" s="130">
        <f t="shared" si="205"/>
        <v>155732.56814159293</v>
      </c>
      <c r="AD659" s="169">
        <v>0.17030000000000001</v>
      </c>
      <c r="AE659" s="154">
        <f t="shared" si="206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9"/>
        <v>46600814.041769907</v>
      </c>
      <c r="AJ659" s="19">
        <f t="shared" si="200"/>
        <v>5956366.3435927071</v>
      </c>
      <c r="AK659" s="20">
        <f t="shared" si="207"/>
        <v>0.1278167874546958</v>
      </c>
      <c r="AL659" s="17"/>
      <c r="AM659" s="17"/>
      <c r="AN659" s="17"/>
      <c r="AO659" s="17"/>
      <c r="AP659" s="28" t="str">
        <f t="shared" si="208"/>
        <v>20224</v>
      </c>
      <c r="AQ659" s="28" t="str">
        <f t="shared" si="209"/>
        <v>20224RMB</v>
      </c>
      <c r="AR659" s="206" t="str">
        <f t="shared" si="210"/>
        <v>YAMAHA_Mounter</v>
      </c>
      <c r="AS659" s="22">
        <f t="shared" si="211"/>
        <v>7</v>
      </c>
      <c r="AT659" s="24" t="str">
        <f t="shared" si="212"/>
        <v>&gt; 6 months</v>
      </c>
    </row>
    <row r="660" spans="1:46" s="12" customFormat="1">
      <c r="A660" s="33" t="str">
        <f t="shared" si="201"/>
        <v>FY 20/21</v>
      </c>
      <c r="B660" s="152">
        <v>2020</v>
      </c>
      <c r="C660" s="152">
        <v>11</v>
      </c>
      <c r="D660" s="33" t="str">
        <f t="shared" si="202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3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197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196"/>
        <v>550000</v>
      </c>
      <c r="AA660" s="13">
        <v>1.1850000000000001</v>
      </c>
      <c r="AB660" s="21">
        <f t="shared" si="204"/>
        <v>576769.91150442488</v>
      </c>
      <c r="AC660" s="130">
        <f t="shared" si="205"/>
        <v>57850.022123893817</v>
      </c>
      <c r="AD660" s="169">
        <v>0.1003</v>
      </c>
      <c r="AE660" s="154">
        <f t="shared" si="206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9"/>
        <v>45803245.025628321</v>
      </c>
      <c r="AJ660" s="19">
        <f t="shared" si="200"/>
        <v>5664636.2584379362</v>
      </c>
      <c r="AK660" s="20">
        <f t="shared" si="207"/>
        <v>0.12367325186825515</v>
      </c>
      <c r="AL660" s="17"/>
      <c r="AM660" s="17"/>
      <c r="AN660" s="17"/>
      <c r="AO660" s="17"/>
      <c r="AP660" s="28" t="str">
        <f t="shared" si="208"/>
        <v>20211</v>
      </c>
      <c r="AQ660" s="28" t="str">
        <f t="shared" si="209"/>
        <v>20211RMB</v>
      </c>
      <c r="AR660" s="206" t="str">
        <f t="shared" si="210"/>
        <v>YAMAHA_Mounter</v>
      </c>
      <c r="AS660" s="22">
        <f t="shared" si="211"/>
        <v>2</v>
      </c>
      <c r="AT660" s="24" t="str">
        <f t="shared" si="212"/>
        <v>0-3 months</v>
      </c>
    </row>
    <row r="661" spans="1:46" s="12" customFormat="1">
      <c r="A661" s="33" t="str">
        <f t="shared" si="201"/>
        <v>FY 20/21</v>
      </c>
      <c r="B661" s="152">
        <v>2020</v>
      </c>
      <c r="C661" s="152">
        <v>9</v>
      </c>
      <c r="D661" s="33" t="str">
        <f t="shared" si="202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3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197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196"/>
        <v>550000</v>
      </c>
      <c r="AA661" s="13">
        <v>1.155</v>
      </c>
      <c r="AB661" s="21">
        <f t="shared" si="204"/>
        <v>562168.14159292041</v>
      </c>
      <c r="AC661" s="130">
        <f t="shared" si="205"/>
        <v>65829.889380530978</v>
      </c>
      <c r="AD661" s="169">
        <v>0.1171</v>
      </c>
      <c r="AE661" s="154">
        <f t="shared" si="206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9"/>
        <v>44078731.611185849</v>
      </c>
      <c r="AJ661" s="19">
        <f t="shared" si="200"/>
        <v>5508173.2163771465</v>
      </c>
      <c r="AK661" s="20">
        <f t="shared" si="207"/>
        <v>0.12496215328889679</v>
      </c>
      <c r="AL661" s="17"/>
      <c r="AM661" s="17"/>
      <c r="AN661" s="17"/>
      <c r="AO661" s="17"/>
      <c r="AP661" s="28" t="str">
        <f t="shared" si="208"/>
        <v>202011</v>
      </c>
      <c r="AQ661" s="28" t="str">
        <f t="shared" si="209"/>
        <v>202011RMB</v>
      </c>
      <c r="AR661" s="206" t="str">
        <f t="shared" si="210"/>
        <v>YAMAHA_Mounter</v>
      </c>
      <c r="AS661" s="22">
        <f t="shared" si="211"/>
        <v>2</v>
      </c>
      <c r="AT661" s="24" t="str">
        <f t="shared" si="212"/>
        <v>0-3 months</v>
      </c>
    </row>
    <row r="662" spans="1:46" s="12" customFormat="1">
      <c r="A662" s="33" t="str">
        <f t="shared" si="201"/>
        <v>FY 20/21</v>
      </c>
      <c r="B662" s="152">
        <v>2021</v>
      </c>
      <c r="C662" s="152">
        <v>1</v>
      </c>
      <c r="D662" s="33" t="str">
        <f t="shared" si="202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3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197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196"/>
        <v>540000</v>
      </c>
      <c r="AA662" s="13">
        <v>1.2</v>
      </c>
      <c r="AB662" s="21">
        <f t="shared" si="204"/>
        <v>573451.32743362838</v>
      </c>
      <c r="AC662" s="130">
        <f t="shared" si="205"/>
        <v>67151.150442477883</v>
      </c>
      <c r="AD662" s="169">
        <v>0.1171</v>
      </c>
      <c r="AE662" s="154">
        <f t="shared" si="206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9"/>
        <v>57778307.282035396</v>
      </c>
      <c r="AJ662" s="19">
        <f t="shared" si="200"/>
        <v>7259860.7225420559</v>
      </c>
      <c r="AK662" s="20">
        <f t="shared" si="207"/>
        <v>0.12565028406083667</v>
      </c>
      <c r="AL662" s="17"/>
      <c r="AM662" s="17"/>
      <c r="AN662" s="17"/>
      <c r="AO662" s="17"/>
      <c r="AP662" s="28" t="str">
        <f t="shared" si="208"/>
        <v>20213</v>
      </c>
      <c r="AQ662" s="28" t="str">
        <f t="shared" si="209"/>
        <v>20213RMB</v>
      </c>
      <c r="AR662" s="206" t="str">
        <f t="shared" si="210"/>
        <v>YAMAHA_Mounter</v>
      </c>
      <c r="AS662" s="22">
        <f t="shared" si="211"/>
        <v>2</v>
      </c>
      <c r="AT662" s="24" t="str">
        <f t="shared" si="212"/>
        <v>0-3 months</v>
      </c>
    </row>
    <row r="663" spans="1:46" s="12" customFormat="1">
      <c r="A663" s="33" t="str">
        <f t="shared" si="201"/>
        <v>FY 20/21</v>
      </c>
      <c r="B663" s="152">
        <v>2021</v>
      </c>
      <c r="C663" s="152">
        <v>1</v>
      </c>
      <c r="D663" s="33" t="str">
        <f t="shared" si="202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3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197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196"/>
        <v>540000</v>
      </c>
      <c r="AA663" s="13">
        <v>1.2</v>
      </c>
      <c r="AB663" s="21">
        <f t="shared" si="204"/>
        <v>573451.32743362838</v>
      </c>
      <c r="AC663" s="130">
        <f t="shared" si="205"/>
        <v>67151.150442477883</v>
      </c>
      <c r="AD663" s="169">
        <v>0.1171</v>
      </c>
      <c r="AE663" s="154">
        <f t="shared" si="206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9"/>
        <v>57778307.282035396</v>
      </c>
      <c r="AJ663" s="19">
        <f t="shared" si="200"/>
        <v>7259860.7225420559</v>
      </c>
      <c r="AK663" s="20">
        <f t="shared" si="207"/>
        <v>0.12565028406083667</v>
      </c>
      <c r="AL663" s="17"/>
      <c r="AM663" s="17"/>
      <c r="AN663" s="17"/>
      <c r="AO663" s="17"/>
      <c r="AP663" s="28" t="str">
        <f t="shared" si="208"/>
        <v>20213</v>
      </c>
      <c r="AQ663" s="28" t="str">
        <f t="shared" si="209"/>
        <v>20213RMB</v>
      </c>
      <c r="AR663" s="206" t="str">
        <f t="shared" si="210"/>
        <v>YAMAHA_Mounter</v>
      </c>
      <c r="AS663" s="22">
        <f t="shared" si="211"/>
        <v>2</v>
      </c>
      <c r="AT663" s="24" t="str">
        <f t="shared" si="212"/>
        <v>0-3 months</v>
      </c>
    </row>
    <row r="664" spans="1:46" s="12" customFormat="1">
      <c r="A664" s="33" t="str">
        <f t="shared" si="201"/>
        <v>FY 17/18</v>
      </c>
      <c r="B664" s="152">
        <v>2018</v>
      </c>
      <c r="C664" s="152">
        <v>2</v>
      </c>
      <c r="D664" s="33" t="str">
        <f t="shared" si="202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3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197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196"/>
        <v>1338462</v>
      </c>
      <c r="AA664" s="13">
        <v>1.18</v>
      </c>
      <c r="AB664" s="21">
        <f t="shared" si="204"/>
        <v>1361538.9310344828</v>
      </c>
      <c r="AC664" s="130">
        <f t="shared" si="205"/>
        <v>127712.35173103448</v>
      </c>
      <c r="AD664" s="169">
        <v>9.3799999999999994E-2</v>
      </c>
      <c r="AE664" s="154">
        <f t="shared" si="206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9"/>
        <v>29946107.503386207</v>
      </c>
      <c r="AJ664" s="19">
        <f t="shared" si="200"/>
        <v>3987206.4954923098</v>
      </c>
      <c r="AK664" s="20">
        <f t="shared" si="207"/>
        <v>0.13314606898547499</v>
      </c>
      <c r="AL664" s="17"/>
      <c r="AM664" s="17"/>
      <c r="AN664" s="17"/>
      <c r="AO664" s="17"/>
      <c r="AP664" s="28" t="str">
        <f t="shared" si="208"/>
        <v>20187</v>
      </c>
      <c r="AQ664" s="28" t="str">
        <f t="shared" si="209"/>
        <v>20187RMB</v>
      </c>
      <c r="AR664" s="206" t="str">
        <f t="shared" si="210"/>
        <v>YAMAHA_Mounter</v>
      </c>
      <c r="AS664" s="22">
        <f t="shared" si="211"/>
        <v>5</v>
      </c>
      <c r="AT664" s="24" t="str">
        <f t="shared" si="212"/>
        <v>4-6 months</v>
      </c>
    </row>
    <row r="665" spans="1:46" s="12" customFormat="1">
      <c r="A665" s="33" t="str">
        <f t="shared" si="201"/>
        <v>FY 18/19</v>
      </c>
      <c r="B665" s="152">
        <v>2019</v>
      </c>
      <c r="C665" s="152">
        <v>3</v>
      </c>
      <c r="D665" s="33" t="str">
        <f t="shared" si="202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3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197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196"/>
        <v>935172.4</v>
      </c>
      <c r="AA665" s="13">
        <v>1.135</v>
      </c>
      <c r="AB665" s="21">
        <f t="shared" si="204"/>
        <v>939310.33097345149</v>
      </c>
      <c r="AC665" s="130">
        <f t="shared" si="205"/>
        <v>75238.757510973475</v>
      </c>
      <c r="AD665" s="169">
        <v>8.0100000000000005E-2</v>
      </c>
      <c r="AE665" s="154">
        <f t="shared" si="206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9"/>
        <v>34015877.71150443</v>
      </c>
      <c r="AJ665" s="19">
        <f t="shared" si="200"/>
        <v>4446292.375441948</v>
      </c>
      <c r="AK665" s="20">
        <f t="shared" si="207"/>
        <v>0.13071226364205143</v>
      </c>
      <c r="AL665" s="17"/>
      <c r="AM665" s="17"/>
      <c r="AN665" s="17"/>
      <c r="AO665" s="17"/>
      <c r="AP665" s="28" t="str">
        <f t="shared" si="208"/>
        <v>20197</v>
      </c>
      <c r="AQ665" s="28" t="str">
        <f t="shared" si="209"/>
        <v>20197RMB</v>
      </c>
      <c r="AR665" s="206" t="str">
        <f t="shared" si="210"/>
        <v>YAMAHA_Mounter</v>
      </c>
      <c r="AS665" s="22">
        <f t="shared" si="211"/>
        <v>4</v>
      </c>
      <c r="AT665" s="24" t="str">
        <f t="shared" si="212"/>
        <v>4-6 months</v>
      </c>
    </row>
    <row r="666" spans="1:46" s="12" customFormat="1">
      <c r="A666" s="33" t="str">
        <f t="shared" si="201"/>
        <v>FY 21/22</v>
      </c>
      <c r="B666" s="152">
        <v>2021</v>
      </c>
      <c r="C666" s="152">
        <v>4</v>
      </c>
      <c r="D666" s="33" t="str">
        <f t="shared" si="202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3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197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3">IF(W666="RMB","1.13", "1")</f>
        <v>1</v>
      </c>
      <c r="Z666" s="18">
        <f t="shared" si="196"/>
        <v>7000000</v>
      </c>
      <c r="AA666" s="13">
        <v>7.2800000000000004E-2</v>
      </c>
      <c r="AB666" s="21">
        <f t="shared" si="204"/>
        <v>509600</v>
      </c>
      <c r="AC666" s="130">
        <f t="shared" si="205"/>
        <v>56157.920000000006</v>
      </c>
      <c r="AD666" s="169">
        <v>0.11020000000000001</v>
      </c>
      <c r="AE666" s="154">
        <f t="shared" si="206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9"/>
        <v>63006605.696460173</v>
      </c>
      <c r="AJ666" s="19">
        <f t="shared" si="200"/>
        <v>8897485.660753984</v>
      </c>
      <c r="AK666" s="20">
        <f t="shared" si="207"/>
        <v>0.141215124388995</v>
      </c>
      <c r="AL666" s="17"/>
      <c r="AM666" s="17"/>
      <c r="AN666" s="17"/>
      <c r="AO666" s="17"/>
      <c r="AP666" s="28" t="str">
        <f t="shared" si="208"/>
        <v>20215</v>
      </c>
      <c r="AQ666" s="28" t="str">
        <f t="shared" si="209"/>
        <v>20215JPY</v>
      </c>
      <c r="AR666" s="206" t="str">
        <f t="shared" si="210"/>
        <v>YAMAHA_Mounter</v>
      </c>
      <c r="AS666" s="22">
        <f t="shared" si="211"/>
        <v>1</v>
      </c>
      <c r="AT666" s="24" t="str">
        <f t="shared" si="212"/>
        <v>0-3 months</v>
      </c>
    </row>
    <row r="667" spans="1:46" s="12" customFormat="1">
      <c r="A667" s="33" t="str">
        <f t="shared" si="201"/>
        <v>FY 21/22</v>
      </c>
      <c r="B667" s="152">
        <v>2021</v>
      </c>
      <c r="C667" s="152">
        <v>4</v>
      </c>
      <c r="D667" s="33" t="str">
        <f t="shared" si="202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3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197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3"/>
        <v>1</v>
      </c>
      <c r="Z667" s="18">
        <f t="shared" si="196"/>
        <v>7000000</v>
      </c>
      <c r="AA667" s="13">
        <v>7.2099999999999997E-2</v>
      </c>
      <c r="AB667" s="21">
        <f t="shared" si="204"/>
        <v>504700</v>
      </c>
      <c r="AC667" s="130">
        <f t="shared" si="205"/>
        <v>56980.63</v>
      </c>
      <c r="AD667" s="169">
        <v>0.1129</v>
      </c>
      <c r="AE667" s="154">
        <f t="shared" si="206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9"/>
        <v>54700260.692079648</v>
      </c>
      <c r="AJ667" s="19">
        <f t="shared" si="200"/>
        <v>7482899.5749188727</v>
      </c>
      <c r="AK667" s="20">
        <f t="shared" si="207"/>
        <v>0.13679824337660537</v>
      </c>
      <c r="AL667" s="17"/>
      <c r="AM667" s="17"/>
      <c r="AN667" s="17"/>
      <c r="AO667" s="17"/>
      <c r="AP667" s="28" t="str">
        <f t="shared" si="208"/>
        <v>20216</v>
      </c>
      <c r="AQ667" s="28" t="str">
        <f t="shared" si="209"/>
        <v>20216JPY</v>
      </c>
      <c r="AR667" s="206" t="str">
        <f t="shared" si="210"/>
        <v>YAMAHA_Mounter</v>
      </c>
      <c r="AS667" s="22">
        <f t="shared" si="211"/>
        <v>2</v>
      </c>
      <c r="AT667" s="24" t="str">
        <f t="shared" si="212"/>
        <v>0-3 months</v>
      </c>
    </row>
    <row r="668" spans="1:46" s="12" customFormat="1">
      <c r="A668" s="33" t="str">
        <f t="shared" si="201"/>
        <v>cancel</v>
      </c>
      <c r="B668" s="152"/>
      <c r="C668" s="152" t="s">
        <v>186</v>
      </c>
      <c r="D668" s="33" t="str">
        <f t="shared" si="202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3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197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3"/>
        <v>1.13</v>
      </c>
      <c r="Z668" s="18">
        <f t="shared" si="196"/>
        <v>864000</v>
      </c>
      <c r="AA668" s="13">
        <v>1.1100000000000001</v>
      </c>
      <c r="AB668" s="21">
        <f t="shared" si="204"/>
        <v>848707.96460177004</v>
      </c>
      <c r="AC668" s="130">
        <f t="shared" si="205"/>
        <v>101844.95575221241</v>
      </c>
      <c r="AD668" s="169">
        <v>0.12</v>
      </c>
      <c r="AE668" s="154">
        <f t="shared" si="206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9"/>
        <v>477651199.57437885</v>
      </c>
      <c r="AJ668" s="19">
        <f t="shared" si="200"/>
        <v>56918800.518691957</v>
      </c>
      <c r="AK668" s="20">
        <f t="shared" si="207"/>
        <v>0.11916394341605475</v>
      </c>
      <c r="AL668" s="17"/>
      <c r="AM668" s="17"/>
      <c r="AN668" s="17"/>
      <c r="AO668" s="17"/>
      <c r="AP668" s="28" t="str">
        <f t="shared" si="208"/>
        <v>CancelCancel</v>
      </c>
      <c r="AQ668" s="28" t="str">
        <f t="shared" si="209"/>
        <v>CancelCancelRMB</v>
      </c>
      <c r="AR668" s="206" t="str">
        <f t="shared" si="210"/>
        <v>YAMAHA_Mounter</v>
      </c>
      <c r="AS668" s="22" t="str">
        <f t="shared" si="211"/>
        <v/>
      </c>
      <c r="AT668" s="24" t="str">
        <f t="shared" si="212"/>
        <v/>
      </c>
    </row>
    <row r="669" spans="1:46" s="12" customFormat="1">
      <c r="A669" s="33" t="str">
        <f t="shared" si="201"/>
        <v>cancel</v>
      </c>
      <c r="B669" s="152"/>
      <c r="C669" s="152" t="s">
        <v>186</v>
      </c>
      <c r="D669" s="33" t="str">
        <f t="shared" si="202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3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197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3"/>
        <v>1.13</v>
      </c>
      <c r="Z669" s="18">
        <f t="shared" si="196"/>
        <v>864000</v>
      </c>
      <c r="AA669" s="13">
        <v>1.1100000000000001</v>
      </c>
      <c r="AB669" s="21">
        <f t="shared" si="204"/>
        <v>848707.96460177004</v>
      </c>
      <c r="AC669" s="130">
        <f t="shared" si="205"/>
        <v>101844.95575221241</v>
      </c>
      <c r="AD669" s="169">
        <v>0.12</v>
      </c>
      <c r="AE669" s="154">
        <f t="shared" si="206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9"/>
        <v>477651199.57437885</v>
      </c>
      <c r="AJ669" s="19">
        <f t="shared" si="200"/>
        <v>56918800.518691957</v>
      </c>
      <c r="AK669" s="20">
        <f t="shared" si="207"/>
        <v>0.11916394341605475</v>
      </c>
      <c r="AL669" s="17"/>
      <c r="AM669" s="17"/>
      <c r="AN669" s="17"/>
      <c r="AO669" s="17"/>
      <c r="AP669" s="28" t="str">
        <f t="shared" si="208"/>
        <v>CancelCancel</v>
      </c>
      <c r="AQ669" s="28" t="str">
        <f t="shared" si="209"/>
        <v>CancelCancelRMB</v>
      </c>
      <c r="AR669" s="206" t="str">
        <f t="shared" si="210"/>
        <v>YAMAHA_Mounter</v>
      </c>
      <c r="AS669" s="22" t="str">
        <f t="shared" si="211"/>
        <v/>
      </c>
      <c r="AT669" s="24" t="str">
        <f t="shared" si="212"/>
        <v/>
      </c>
    </row>
    <row r="670" spans="1:46" s="12" customFormat="1">
      <c r="A670" s="33" t="str">
        <f t="shared" si="201"/>
        <v>FY 20/21</v>
      </c>
      <c r="B670" s="152">
        <v>2021</v>
      </c>
      <c r="C670" s="152">
        <v>3</v>
      </c>
      <c r="D670" s="33" t="str">
        <f t="shared" si="202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3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197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3"/>
        <v>1</v>
      </c>
      <c r="Z670" s="18">
        <f t="shared" si="196"/>
        <v>13250000</v>
      </c>
      <c r="AA670" s="13">
        <v>7.2800000000000004E-2</v>
      </c>
      <c r="AB670" s="21">
        <f t="shared" si="204"/>
        <v>964600</v>
      </c>
      <c r="AC670" s="130">
        <f t="shared" si="205"/>
        <v>132053.74</v>
      </c>
      <c r="AD670" s="169">
        <v>0.13689999999999999</v>
      </c>
      <c r="AE670" s="154">
        <f t="shared" si="206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9"/>
        <v>63006605.696460173</v>
      </c>
      <c r="AJ670" s="19">
        <f t="shared" si="200"/>
        <v>8897485.660753984</v>
      </c>
      <c r="AK670" s="20">
        <f t="shared" si="207"/>
        <v>0.141215124388995</v>
      </c>
      <c r="AL670" s="17"/>
      <c r="AM670" s="17"/>
      <c r="AN670" s="17"/>
      <c r="AO670" s="17"/>
      <c r="AP670" s="28" t="str">
        <f t="shared" si="208"/>
        <v>20215</v>
      </c>
      <c r="AQ670" s="28" t="str">
        <f t="shared" si="209"/>
        <v>20215JPY</v>
      </c>
      <c r="AR670" s="206" t="str">
        <f t="shared" si="210"/>
        <v>YAMAHA_Mounter</v>
      </c>
      <c r="AS670" s="22">
        <f t="shared" si="211"/>
        <v>2</v>
      </c>
      <c r="AT670" s="24" t="str">
        <f t="shared" si="212"/>
        <v>0-3 months</v>
      </c>
    </row>
    <row r="671" spans="1:46" s="12" customFormat="1">
      <c r="A671" s="33" t="str">
        <f t="shared" si="201"/>
        <v>FY 20/21</v>
      </c>
      <c r="B671" s="152">
        <v>2021</v>
      </c>
      <c r="C671" s="152">
        <v>3</v>
      </c>
      <c r="D671" s="33" t="str">
        <f t="shared" si="202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3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197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3"/>
        <v>1</v>
      </c>
      <c r="Z671" s="18">
        <f t="shared" si="196"/>
        <v>13250000</v>
      </c>
      <c r="AA671" s="13">
        <v>7.2800000000000004E-2</v>
      </c>
      <c r="AB671" s="21">
        <f t="shared" si="204"/>
        <v>964600</v>
      </c>
      <c r="AC671" s="130">
        <f t="shared" si="205"/>
        <v>132053.74</v>
      </c>
      <c r="AD671" s="169">
        <v>0.13689999999999999</v>
      </c>
      <c r="AE671" s="154">
        <f t="shared" si="206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9"/>
        <v>63006605.696460173</v>
      </c>
      <c r="AJ671" s="19">
        <f t="shared" si="200"/>
        <v>8897485.660753984</v>
      </c>
      <c r="AK671" s="20">
        <f t="shared" si="207"/>
        <v>0.141215124388995</v>
      </c>
      <c r="AL671" s="17"/>
      <c r="AM671" s="17"/>
      <c r="AN671" s="17"/>
      <c r="AO671" s="17"/>
      <c r="AP671" s="28" t="str">
        <f t="shared" si="208"/>
        <v>20215</v>
      </c>
      <c r="AQ671" s="28" t="str">
        <f t="shared" si="209"/>
        <v>20215JPY</v>
      </c>
      <c r="AR671" s="206" t="str">
        <f t="shared" si="210"/>
        <v>YAMAHA_Mounter</v>
      </c>
      <c r="AS671" s="22">
        <f t="shared" si="211"/>
        <v>2</v>
      </c>
      <c r="AT671" s="24" t="str">
        <f t="shared" si="212"/>
        <v>0-3 months</v>
      </c>
    </row>
    <row r="672" spans="1:46" s="12" customFormat="1">
      <c r="A672" s="33" t="str">
        <f t="shared" si="201"/>
        <v>FY 23/24</v>
      </c>
      <c r="B672" s="152">
        <v>2023</v>
      </c>
      <c r="C672" s="152">
        <v>4</v>
      </c>
      <c r="D672" s="33" t="str">
        <f t="shared" si="202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3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197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3"/>
        <v>1.13</v>
      </c>
      <c r="Z672" s="18">
        <f t="shared" si="196"/>
        <v>770000</v>
      </c>
      <c r="AA672" s="13">
        <v>1.135</v>
      </c>
      <c r="AB672" s="21">
        <f t="shared" si="204"/>
        <v>773407.07964601775</v>
      </c>
      <c r="AC672" s="130">
        <f t="shared" si="205"/>
        <v>64424.809734513277</v>
      </c>
      <c r="AD672" s="169">
        <v>8.3299999999999999E-2</v>
      </c>
      <c r="AE672" s="154">
        <f t="shared" si="206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9"/>
        <v>28177779.013274338</v>
      </c>
      <c r="AJ672" s="19">
        <f t="shared" si="200"/>
        <v>4727216.6376190251</v>
      </c>
      <c r="AK672" s="20">
        <f t="shared" si="207"/>
        <v>0.1677639900359808</v>
      </c>
      <c r="AL672" s="17"/>
      <c r="AM672" s="17"/>
      <c r="AN672" s="17"/>
      <c r="AO672" s="17"/>
      <c r="AP672" s="28" t="str">
        <f t="shared" si="208"/>
        <v>20235</v>
      </c>
      <c r="AQ672" s="28" t="str">
        <f t="shared" si="209"/>
        <v>20235RMB</v>
      </c>
      <c r="AR672" s="206" t="str">
        <f t="shared" si="210"/>
        <v>YAMAHA_Mounter</v>
      </c>
      <c r="AS672" s="22">
        <f t="shared" si="211"/>
        <v>1</v>
      </c>
      <c r="AT672" s="24" t="str">
        <f t="shared" si="212"/>
        <v>0-3 months</v>
      </c>
    </row>
    <row r="673" spans="1:46" s="12" customFormat="1" ht="28">
      <c r="A673" s="33" t="str">
        <f t="shared" si="201"/>
        <v>FY 22/23</v>
      </c>
      <c r="B673" s="152">
        <v>2022</v>
      </c>
      <c r="C673" s="152">
        <v>11</v>
      </c>
      <c r="D673" s="33" t="str">
        <f t="shared" si="202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3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197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3"/>
        <v>1.13</v>
      </c>
      <c r="Z673" s="18">
        <f t="shared" si="196"/>
        <v>36000</v>
      </c>
      <c r="AA673" s="13">
        <v>1.08</v>
      </c>
      <c r="AB673" s="21">
        <f t="shared" si="204"/>
        <v>34407.079646017708</v>
      </c>
      <c r="AC673" s="130">
        <f t="shared" si="205"/>
        <v>7314.9451327433653</v>
      </c>
      <c r="AD673" s="169">
        <v>0.21260000000000001</v>
      </c>
      <c r="AE673" s="154">
        <f t="shared" si="206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9"/>
        <v>31017966.201968137</v>
      </c>
      <c r="AJ673" s="19">
        <f t="shared" si="200"/>
        <v>4704250.3347305888</v>
      </c>
      <c r="AK673" s="20">
        <f t="shared" si="207"/>
        <v>0.15166211427595458</v>
      </c>
      <c r="AL673" s="17"/>
      <c r="AM673" s="17"/>
      <c r="AN673" s="17"/>
      <c r="AO673" s="17"/>
      <c r="AP673" s="28" t="str">
        <f t="shared" si="208"/>
        <v>202211</v>
      </c>
      <c r="AQ673" s="28" t="str">
        <f t="shared" si="209"/>
        <v>202211RMB</v>
      </c>
      <c r="AR673" s="206" t="str">
        <f t="shared" si="210"/>
        <v>YAMAHA_Mounter</v>
      </c>
      <c r="AS673" s="22">
        <f t="shared" si="211"/>
        <v>0</v>
      </c>
      <c r="AT673" s="24" t="str">
        <f t="shared" si="212"/>
        <v>0-3 months</v>
      </c>
    </row>
    <row r="674" spans="1:46" s="12" customFormat="1">
      <c r="A674" s="33" t="str">
        <f t="shared" si="201"/>
        <v>FY 20/21</v>
      </c>
      <c r="B674" s="152">
        <v>2020</v>
      </c>
      <c r="C674" s="152">
        <v>12</v>
      </c>
      <c r="D674" s="33" t="str">
        <f t="shared" si="202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3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197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3"/>
        <v>1.13</v>
      </c>
      <c r="Z674" s="18">
        <f t="shared" si="196"/>
        <v>606750</v>
      </c>
      <c r="AA674" s="13">
        <v>1.1850000000000001</v>
      </c>
      <c r="AB674" s="21">
        <f t="shared" si="204"/>
        <v>636282.07964601775</v>
      </c>
      <c r="AC674" s="130">
        <f t="shared" si="205"/>
        <v>85961.708960176999</v>
      </c>
      <c r="AD674" s="169">
        <v>0.1351</v>
      </c>
      <c r="AE674" s="154">
        <f t="shared" si="206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9"/>
        <v>45803245.025628321</v>
      </c>
      <c r="AJ674" s="19">
        <f t="shared" si="200"/>
        <v>5664636.2584379362</v>
      </c>
      <c r="AK674" s="20">
        <f t="shared" si="207"/>
        <v>0.12367325186825515</v>
      </c>
      <c r="AL674" s="17"/>
      <c r="AM674" s="17"/>
      <c r="AN674" s="17"/>
      <c r="AO674" s="17"/>
      <c r="AP674" s="28" t="str">
        <f t="shared" si="208"/>
        <v>20211</v>
      </c>
      <c r="AQ674" s="28" t="str">
        <f t="shared" si="209"/>
        <v>20211RMB</v>
      </c>
      <c r="AR674" s="206" t="str">
        <f t="shared" si="210"/>
        <v>YAMAHA_Mounter</v>
      </c>
      <c r="AS674" s="22">
        <f t="shared" si="211"/>
        <v>1</v>
      </c>
      <c r="AT674" s="24" t="str">
        <f t="shared" si="212"/>
        <v>0-3 months</v>
      </c>
    </row>
    <row r="675" spans="1:46" s="12" customFormat="1">
      <c r="A675" s="33" t="str">
        <f t="shared" si="201"/>
        <v>FY 19/20</v>
      </c>
      <c r="B675" s="152">
        <v>2020</v>
      </c>
      <c r="C675" s="152">
        <v>3</v>
      </c>
      <c r="D675" s="33" t="str">
        <f t="shared" si="202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3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197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3"/>
        <v>1.13</v>
      </c>
      <c r="Z675" s="18">
        <f t="shared" si="196"/>
        <v>1075700</v>
      </c>
      <c r="AA675" s="13">
        <v>1.105</v>
      </c>
      <c r="AB675" s="21">
        <f t="shared" si="204"/>
        <v>1051901.3274336285</v>
      </c>
      <c r="AC675" s="130">
        <f t="shared" si="205"/>
        <v>176614.23287610622</v>
      </c>
      <c r="AD675" s="169">
        <v>0.16789999999999999</v>
      </c>
      <c r="AE675" s="154">
        <f t="shared" si="206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9"/>
        <v>37969334.083628319</v>
      </c>
      <c r="AJ675" s="19">
        <f t="shared" si="200"/>
        <v>5097226.4551657084</v>
      </c>
      <c r="AK675" s="20">
        <f t="shared" si="207"/>
        <v>0.13424587441904964</v>
      </c>
      <c r="AL675" s="17"/>
      <c r="AM675" s="17"/>
      <c r="AN675" s="17"/>
      <c r="AO675" s="17"/>
      <c r="AP675" s="28" t="str">
        <f t="shared" si="208"/>
        <v>20208</v>
      </c>
      <c r="AQ675" s="28" t="str">
        <f t="shared" si="209"/>
        <v>20208RMB</v>
      </c>
      <c r="AR675" s="206" t="str">
        <f t="shared" si="210"/>
        <v>LOCAL SUPPLIER</v>
      </c>
      <c r="AS675" s="22">
        <f t="shared" si="211"/>
        <v>5</v>
      </c>
      <c r="AT675" s="24" t="str">
        <f t="shared" si="212"/>
        <v>4-6 months</v>
      </c>
    </row>
    <row r="676" spans="1:46" s="12" customFormat="1">
      <c r="A676" s="33" t="str">
        <f t="shared" si="201"/>
        <v>FY 19/20</v>
      </c>
      <c r="B676" s="152">
        <v>2020</v>
      </c>
      <c r="C676" s="152">
        <v>3</v>
      </c>
      <c r="D676" s="33" t="str">
        <f t="shared" si="202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3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197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3"/>
        <v>1.13</v>
      </c>
      <c r="Z676" s="18">
        <f t="shared" si="196"/>
        <v>441000</v>
      </c>
      <c r="AA676" s="13">
        <v>1.105</v>
      </c>
      <c r="AB676" s="21">
        <f t="shared" si="204"/>
        <v>431243.36283185845</v>
      </c>
      <c r="AC676" s="130">
        <f t="shared" si="205"/>
        <v>106818.98097345134</v>
      </c>
      <c r="AD676" s="169">
        <v>0.2477</v>
      </c>
      <c r="AE676" s="154">
        <f t="shared" si="206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9"/>
        <v>37969334.083628319</v>
      </c>
      <c r="AJ676" s="19">
        <f t="shared" si="200"/>
        <v>5097226.4551657084</v>
      </c>
      <c r="AK676" s="20">
        <f t="shared" si="207"/>
        <v>0.13424587441904964</v>
      </c>
      <c r="AL676" s="17"/>
      <c r="AM676" s="17"/>
      <c r="AN676" s="17"/>
      <c r="AO676" s="17"/>
      <c r="AP676" s="28" t="str">
        <f t="shared" si="208"/>
        <v>20208</v>
      </c>
      <c r="AQ676" s="28" t="str">
        <f t="shared" si="209"/>
        <v>20208RMB</v>
      </c>
      <c r="AR676" s="206" t="str">
        <f t="shared" si="210"/>
        <v>LOCAL SUPPLIER</v>
      </c>
      <c r="AS676" s="22">
        <f t="shared" si="211"/>
        <v>5</v>
      </c>
      <c r="AT676" s="24" t="str">
        <f t="shared" si="212"/>
        <v>4-6 months</v>
      </c>
    </row>
    <row r="677" spans="1:46" s="12" customFormat="1">
      <c r="A677" s="33" t="str">
        <f t="shared" si="201"/>
        <v>FY 19/20</v>
      </c>
      <c r="B677" s="152">
        <v>2020</v>
      </c>
      <c r="C677" s="152">
        <v>3</v>
      </c>
      <c r="D677" s="33" t="str">
        <f t="shared" si="202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3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197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3"/>
        <v>1.13</v>
      </c>
      <c r="Z677" s="18">
        <f t="shared" si="196"/>
        <v>360000</v>
      </c>
      <c r="AA677" s="13">
        <v>1.105</v>
      </c>
      <c r="AB677" s="21">
        <f t="shared" si="204"/>
        <v>352035.39823008853</v>
      </c>
      <c r="AC677" s="130">
        <f t="shared" si="205"/>
        <v>59106.743362831861</v>
      </c>
      <c r="AD677" s="169">
        <v>0.16789999999999999</v>
      </c>
      <c r="AE677" s="154">
        <f t="shared" si="206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9"/>
        <v>37969334.083628319</v>
      </c>
      <c r="AJ677" s="19">
        <f t="shared" si="200"/>
        <v>5097226.4551657084</v>
      </c>
      <c r="AK677" s="20">
        <f t="shared" si="207"/>
        <v>0.13424587441904964</v>
      </c>
      <c r="AL677" s="17"/>
      <c r="AM677" s="17"/>
      <c r="AN677" s="17"/>
      <c r="AO677" s="17"/>
      <c r="AP677" s="28" t="str">
        <f t="shared" si="208"/>
        <v>20208</v>
      </c>
      <c r="AQ677" s="28" t="str">
        <f t="shared" si="209"/>
        <v>20208RMB</v>
      </c>
      <c r="AR677" s="206" t="str">
        <f t="shared" si="210"/>
        <v>LOCAL SUPPLIER</v>
      </c>
      <c r="AS677" s="22">
        <f t="shared" si="211"/>
        <v>5</v>
      </c>
      <c r="AT677" s="24" t="str">
        <f t="shared" si="212"/>
        <v>4-6 months</v>
      </c>
    </row>
    <row r="678" spans="1:46" s="12" customFormat="1">
      <c r="A678" s="33" t="str">
        <f t="shared" si="201"/>
        <v>FY 19/20</v>
      </c>
      <c r="B678" s="152">
        <v>2020</v>
      </c>
      <c r="C678" s="152">
        <v>3</v>
      </c>
      <c r="D678" s="33" t="str">
        <f t="shared" si="202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3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197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3"/>
        <v>1.13</v>
      </c>
      <c r="Z678" s="18">
        <f t="shared" si="196"/>
        <v>539000</v>
      </c>
      <c r="AA678" s="13">
        <v>1.105</v>
      </c>
      <c r="AB678" s="21">
        <f t="shared" si="204"/>
        <v>527075.22123893804</v>
      </c>
      <c r="AC678" s="130">
        <f t="shared" si="205"/>
        <v>88495.929646017699</v>
      </c>
      <c r="AD678" s="169">
        <v>0.16789999999999999</v>
      </c>
      <c r="AE678" s="154">
        <f t="shared" si="206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9"/>
        <v>37969334.083628319</v>
      </c>
      <c r="AJ678" s="19">
        <f t="shared" si="200"/>
        <v>5097226.4551657084</v>
      </c>
      <c r="AK678" s="20">
        <f t="shared" si="207"/>
        <v>0.13424587441904964</v>
      </c>
      <c r="AL678" s="17"/>
      <c r="AM678" s="17"/>
      <c r="AN678" s="17"/>
      <c r="AO678" s="17"/>
      <c r="AP678" s="28" t="str">
        <f t="shared" si="208"/>
        <v>20208</v>
      </c>
      <c r="AQ678" s="28" t="str">
        <f t="shared" si="209"/>
        <v>20208RMB</v>
      </c>
      <c r="AR678" s="206" t="str">
        <f t="shared" si="210"/>
        <v>YAMAHA_Non_Mounter</v>
      </c>
      <c r="AS678" s="22">
        <f t="shared" si="211"/>
        <v>5</v>
      </c>
      <c r="AT678" s="24" t="str">
        <f t="shared" si="212"/>
        <v>4-6 months</v>
      </c>
    </row>
    <row r="679" spans="1:46" s="12" customFormat="1">
      <c r="A679" s="33" t="str">
        <f t="shared" si="201"/>
        <v>FY 19/20</v>
      </c>
      <c r="B679" s="152">
        <v>2020</v>
      </c>
      <c r="C679" s="152">
        <v>3</v>
      </c>
      <c r="D679" s="33" t="str">
        <f t="shared" si="202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3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197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3"/>
        <v>1.13</v>
      </c>
      <c r="Z679" s="18">
        <f t="shared" si="196"/>
        <v>34300</v>
      </c>
      <c r="AA679" s="13">
        <v>1.105</v>
      </c>
      <c r="AB679" s="21">
        <f t="shared" si="204"/>
        <v>33541.150442477883</v>
      </c>
      <c r="AC679" s="130">
        <f t="shared" si="205"/>
        <v>5631.5591592920364</v>
      </c>
      <c r="AD679" s="169">
        <v>0.16789999999999999</v>
      </c>
      <c r="AE679" s="154">
        <f t="shared" si="206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9"/>
        <v>37969334.083628319</v>
      </c>
      <c r="AJ679" s="19">
        <f t="shared" si="200"/>
        <v>5097226.4551657084</v>
      </c>
      <c r="AK679" s="20">
        <f t="shared" si="207"/>
        <v>0.13424587441904964</v>
      </c>
      <c r="AL679" s="17"/>
      <c r="AM679" s="17"/>
      <c r="AN679" s="17"/>
      <c r="AO679" s="17"/>
      <c r="AP679" s="28" t="str">
        <f t="shared" si="208"/>
        <v>20208</v>
      </c>
      <c r="AQ679" s="28" t="str">
        <f t="shared" si="209"/>
        <v>20208RMB</v>
      </c>
      <c r="AR679" s="206" t="str">
        <f t="shared" si="210"/>
        <v>LOCAL SUPPLIER</v>
      </c>
      <c r="AS679" s="22">
        <f t="shared" si="211"/>
        <v>5</v>
      </c>
      <c r="AT679" s="24" t="str">
        <f t="shared" si="212"/>
        <v>4-6 months</v>
      </c>
    </row>
    <row r="680" spans="1:46" s="12" customFormat="1" ht="28">
      <c r="A680" s="33" t="str">
        <f t="shared" si="201"/>
        <v>FY 21/22</v>
      </c>
      <c r="B680" s="152">
        <v>2021</v>
      </c>
      <c r="C680" s="152">
        <v>8</v>
      </c>
      <c r="D680" s="33" t="str">
        <f t="shared" si="202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3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197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3"/>
        <v>1.13</v>
      </c>
      <c r="Z680" s="18">
        <f t="shared" si="196"/>
        <v>10200</v>
      </c>
      <c r="AA680" s="13">
        <v>1.2</v>
      </c>
      <c r="AB680" s="21">
        <f t="shared" si="204"/>
        <v>10831.858407079646</v>
      </c>
      <c r="AC680" s="130">
        <f t="shared" si="205"/>
        <v>2941.9327433628318</v>
      </c>
      <c r="AD680" s="169">
        <v>0.27160000000000001</v>
      </c>
      <c r="AE680" s="154">
        <f t="shared" si="206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9"/>
        <v>47458373.787610628</v>
      </c>
      <c r="AJ680" s="19">
        <f t="shared" si="200"/>
        <v>7436880.1411522133</v>
      </c>
      <c r="AK680" s="20">
        <f t="shared" si="207"/>
        <v>0.15670322321692506</v>
      </c>
      <c r="AL680" s="17"/>
      <c r="AM680" s="17"/>
      <c r="AN680" s="17"/>
      <c r="AO680" s="17"/>
      <c r="AP680" s="28" t="str">
        <f t="shared" si="208"/>
        <v>20218</v>
      </c>
      <c r="AQ680" s="28" t="str">
        <f t="shared" si="209"/>
        <v>20218RMB</v>
      </c>
      <c r="AR680" s="206" t="str">
        <f t="shared" si="210"/>
        <v>YAMAHA_Mounter</v>
      </c>
      <c r="AS680" s="22">
        <f t="shared" si="211"/>
        <v>0</v>
      </c>
      <c r="AT680" s="24" t="str">
        <f t="shared" si="212"/>
        <v>0-3 months</v>
      </c>
    </row>
    <row r="681" spans="1:46" s="12" customFormat="1">
      <c r="A681" s="33" t="str">
        <f t="shared" si="201"/>
        <v>FY 22/23</v>
      </c>
      <c r="B681" s="152">
        <v>2022</v>
      </c>
      <c r="C681" s="152">
        <v>11</v>
      </c>
      <c r="D681" s="33" t="str">
        <f t="shared" si="202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3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197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3"/>
        <v>1.13</v>
      </c>
      <c r="Z681" s="18">
        <f t="shared" si="196"/>
        <v>430000</v>
      </c>
      <c r="AA681" s="13">
        <v>1.08</v>
      </c>
      <c r="AB681" s="21">
        <f t="shared" si="204"/>
        <v>410973.45132743369</v>
      </c>
      <c r="AC681" s="130">
        <f t="shared" si="205"/>
        <v>62015.893805309744</v>
      </c>
      <c r="AD681" s="169">
        <v>0.15090000000000001</v>
      </c>
      <c r="AE681" s="154">
        <f t="shared" si="206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9"/>
        <v>31017966.201968137</v>
      </c>
      <c r="AJ681" s="19">
        <f t="shared" si="200"/>
        <v>4704250.3347305888</v>
      </c>
      <c r="AK681" s="20">
        <f t="shared" si="207"/>
        <v>0.15166211427595458</v>
      </c>
      <c r="AL681" s="17"/>
      <c r="AM681" s="17"/>
      <c r="AN681" s="17"/>
      <c r="AO681" s="17"/>
      <c r="AP681" s="28" t="str">
        <f t="shared" si="208"/>
        <v>202211</v>
      </c>
      <c r="AQ681" s="28" t="str">
        <f t="shared" si="209"/>
        <v>202211RMB</v>
      </c>
      <c r="AR681" s="206" t="str">
        <f t="shared" si="210"/>
        <v>YAMAHA_Mounter</v>
      </c>
      <c r="AS681" s="22">
        <f t="shared" si="211"/>
        <v>0</v>
      </c>
      <c r="AT681" s="24" t="str">
        <f t="shared" si="212"/>
        <v>0-3 months</v>
      </c>
    </row>
    <row r="682" spans="1:46" s="12" customFormat="1">
      <c r="A682" s="33" t="str">
        <f t="shared" si="201"/>
        <v>FY 18/19</v>
      </c>
      <c r="B682" s="152">
        <v>2018</v>
      </c>
      <c r="C682" s="152">
        <v>10</v>
      </c>
      <c r="D682" s="33" t="str">
        <f t="shared" si="202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3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197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196"/>
        <v>339000</v>
      </c>
      <c r="AA682" s="13">
        <v>1.125</v>
      </c>
      <c r="AB682" s="21">
        <f t="shared" si="204"/>
        <v>328771.55172413797</v>
      </c>
      <c r="AC682" s="130">
        <f t="shared" si="205"/>
        <v>30115.47413793104</v>
      </c>
      <c r="AD682" s="169">
        <v>9.1600000000000001E-2</v>
      </c>
      <c r="AE682" s="154">
        <f t="shared" si="206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9"/>
        <v>29840797.698275864</v>
      </c>
      <c r="AJ682" s="19">
        <f t="shared" si="200"/>
        <v>3940167.6555448272</v>
      </c>
      <c r="AK682" s="20">
        <f t="shared" si="207"/>
        <v>0.13203962224416277</v>
      </c>
      <c r="AL682" s="17"/>
      <c r="AM682" s="17"/>
      <c r="AN682" s="17"/>
      <c r="AO682" s="17"/>
      <c r="AP682" s="28" t="str">
        <f t="shared" si="208"/>
        <v>201812</v>
      </c>
      <c r="AQ682" s="28" t="str">
        <f t="shared" si="209"/>
        <v>201812RMB</v>
      </c>
      <c r="AR682" s="206" t="str">
        <f t="shared" si="210"/>
        <v>YAMAHA_Mounter</v>
      </c>
      <c r="AS682" s="22">
        <f t="shared" si="211"/>
        <v>2</v>
      </c>
      <c r="AT682" s="24" t="str">
        <f t="shared" si="212"/>
        <v>0-3 months</v>
      </c>
    </row>
    <row r="683" spans="1:46" s="12" customFormat="1">
      <c r="A683" s="33" t="str">
        <f t="shared" si="201"/>
        <v>FY 18/19</v>
      </c>
      <c r="B683" s="152">
        <v>2018</v>
      </c>
      <c r="C683" s="152">
        <v>10</v>
      </c>
      <c r="D683" s="33" t="str">
        <f t="shared" si="202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3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197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196"/>
        <v>339000</v>
      </c>
      <c r="AA683" s="13">
        <v>1.125</v>
      </c>
      <c r="AB683" s="21">
        <f t="shared" si="204"/>
        <v>328771.55172413797</v>
      </c>
      <c r="AC683" s="130">
        <f t="shared" si="205"/>
        <v>39452.586206896558</v>
      </c>
      <c r="AD683" s="169">
        <v>0.12</v>
      </c>
      <c r="AE683" s="154">
        <f t="shared" si="206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9"/>
        <v>10785027.603448275</v>
      </c>
      <c r="AJ683" s="19">
        <f t="shared" si="200"/>
        <v>1540894.1297982759</v>
      </c>
      <c r="AK683" s="20">
        <f t="shared" si="207"/>
        <v>0.1428734525728621</v>
      </c>
      <c r="AL683" s="17"/>
      <c r="AM683" s="17"/>
      <c r="AN683" s="17"/>
      <c r="AO683" s="17"/>
      <c r="AP683" s="28" t="str">
        <f t="shared" si="208"/>
        <v>201811</v>
      </c>
      <c r="AQ683" s="28" t="str">
        <f t="shared" si="209"/>
        <v>201811RMB</v>
      </c>
      <c r="AR683" s="206" t="str">
        <f t="shared" si="210"/>
        <v>YAMAHA_Mounter</v>
      </c>
      <c r="AS683" s="22">
        <f t="shared" si="211"/>
        <v>1</v>
      </c>
      <c r="AT683" s="24" t="str">
        <f t="shared" si="212"/>
        <v>0-3 months</v>
      </c>
    </row>
    <row r="684" spans="1:46" s="12" customFormat="1">
      <c r="A684" s="33" t="str">
        <f t="shared" si="201"/>
        <v>FY 19/20</v>
      </c>
      <c r="B684" s="152">
        <v>2019</v>
      </c>
      <c r="C684" s="152">
        <v>6</v>
      </c>
      <c r="D684" s="33" t="str">
        <f t="shared" si="202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3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197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196"/>
        <v>928400</v>
      </c>
      <c r="AA684" s="13">
        <v>1.135</v>
      </c>
      <c r="AB684" s="21">
        <f t="shared" si="204"/>
        <v>932507.96460177004</v>
      </c>
      <c r="AC684" s="130">
        <f t="shared" si="205"/>
        <v>111900.95575221239</v>
      </c>
      <c r="AD684" s="169">
        <v>0.12</v>
      </c>
      <c r="AE684" s="154">
        <f t="shared" si="206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9"/>
        <v>34015877.71150443</v>
      </c>
      <c r="AJ684" s="19">
        <f t="shared" si="200"/>
        <v>4446292.375441948</v>
      </c>
      <c r="AK684" s="20">
        <f t="shared" si="207"/>
        <v>0.13071226364205143</v>
      </c>
      <c r="AL684" s="17"/>
      <c r="AM684" s="17"/>
      <c r="AN684" s="17"/>
      <c r="AO684" s="17"/>
      <c r="AP684" s="28" t="str">
        <f t="shared" si="208"/>
        <v>20197</v>
      </c>
      <c r="AQ684" s="28" t="str">
        <f t="shared" si="209"/>
        <v>20197RMB</v>
      </c>
      <c r="AR684" s="206" t="str">
        <f t="shared" si="210"/>
        <v>YAMAHA_Mounter</v>
      </c>
      <c r="AS684" s="22">
        <f t="shared" si="211"/>
        <v>1</v>
      </c>
      <c r="AT684" s="24" t="str">
        <f t="shared" si="212"/>
        <v>0-3 months</v>
      </c>
    </row>
    <row r="685" spans="1:46" s="12" customFormat="1">
      <c r="A685" s="33" t="str">
        <f t="shared" si="201"/>
        <v>FY 20/21</v>
      </c>
      <c r="B685" s="152">
        <v>2020</v>
      </c>
      <c r="C685" s="152">
        <v>12</v>
      </c>
      <c r="D685" s="33" t="str">
        <f t="shared" si="202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3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197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196"/>
        <v>1833000</v>
      </c>
      <c r="AA685" s="13">
        <v>1.1850000000000001</v>
      </c>
      <c r="AB685" s="21">
        <f t="shared" si="204"/>
        <v>1922216.8141592923</v>
      </c>
      <c r="AC685" s="130">
        <f t="shared" si="205"/>
        <v>197219.44513274339</v>
      </c>
      <c r="AD685" s="169">
        <v>0.1026</v>
      </c>
      <c r="AE685" s="154">
        <f t="shared" si="206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9"/>
        <v>45803245.025628321</v>
      </c>
      <c r="AJ685" s="19">
        <f t="shared" si="200"/>
        <v>5664636.2584379362</v>
      </c>
      <c r="AK685" s="20">
        <f t="shared" si="207"/>
        <v>0.12367325186825515</v>
      </c>
      <c r="AL685" s="17"/>
      <c r="AM685" s="17"/>
      <c r="AN685" s="17"/>
      <c r="AO685" s="17"/>
      <c r="AP685" s="28" t="str">
        <f t="shared" si="208"/>
        <v>20211</v>
      </c>
      <c r="AQ685" s="28" t="str">
        <f t="shared" si="209"/>
        <v>20211RMB</v>
      </c>
      <c r="AR685" s="206" t="str">
        <f t="shared" si="210"/>
        <v>YAMAHA_Mounter</v>
      </c>
      <c r="AS685" s="22">
        <f t="shared" si="211"/>
        <v>1</v>
      </c>
      <c r="AT685" s="24" t="str">
        <f t="shared" si="212"/>
        <v>0-3 months</v>
      </c>
    </row>
    <row r="686" spans="1:46" s="12" customFormat="1">
      <c r="A686" s="33" t="str">
        <f t="shared" si="201"/>
        <v>FY 20/21</v>
      </c>
      <c r="B686" s="152">
        <v>2020</v>
      </c>
      <c r="C686" s="152">
        <v>12</v>
      </c>
      <c r="D686" s="33" t="str">
        <f t="shared" si="202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3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197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196"/>
        <v>787000</v>
      </c>
      <c r="AA686" s="13">
        <v>1.2</v>
      </c>
      <c r="AB686" s="21">
        <f t="shared" si="204"/>
        <v>835752.21238938055</v>
      </c>
      <c r="AC686" s="130">
        <f t="shared" si="205"/>
        <v>85748.176991150438</v>
      </c>
      <c r="AD686" s="169">
        <v>0.1026</v>
      </c>
      <c r="AE686" s="154">
        <f t="shared" si="206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9"/>
        <v>57778307.282035396</v>
      </c>
      <c r="AJ686" s="19">
        <f t="shared" si="200"/>
        <v>7259860.7225420559</v>
      </c>
      <c r="AK686" s="20">
        <f t="shared" si="207"/>
        <v>0.12565028406083667</v>
      </c>
      <c r="AL686" s="17"/>
      <c r="AM686" s="17"/>
      <c r="AN686" s="17"/>
      <c r="AO686" s="17"/>
      <c r="AP686" s="28" t="str">
        <f t="shared" si="208"/>
        <v>20213</v>
      </c>
      <c r="AQ686" s="28" t="str">
        <f t="shared" si="209"/>
        <v>20213RMB</v>
      </c>
      <c r="AR686" s="206" t="str">
        <f t="shared" si="210"/>
        <v>YAMAHA_Mounter</v>
      </c>
      <c r="AS686" s="22">
        <f t="shared" si="211"/>
        <v>3</v>
      </c>
      <c r="AT686" s="24" t="str">
        <f t="shared" si="212"/>
        <v>0-3 months</v>
      </c>
    </row>
    <row r="687" spans="1:46" s="12" customFormat="1">
      <c r="A687" s="33" t="str">
        <f t="shared" si="201"/>
        <v>FY 23/24</v>
      </c>
      <c r="B687" s="152">
        <v>2023</v>
      </c>
      <c r="C687" s="152">
        <v>8</v>
      </c>
      <c r="D687" s="33" t="str">
        <f t="shared" si="202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3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197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196"/>
        <v>429888</v>
      </c>
      <c r="AA687" s="13">
        <v>1.0920000000000001</v>
      </c>
      <c r="AB687" s="21">
        <f t="shared" si="204"/>
        <v>415431.58938053105</v>
      </c>
      <c r="AC687" s="130">
        <f t="shared" si="205"/>
        <v>40546.12312353983</v>
      </c>
      <c r="AD687" s="169">
        <v>9.7600000000000006E-2</v>
      </c>
      <c r="AE687" s="154">
        <f t="shared" si="206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9"/>
        <v>22953677.784070797</v>
      </c>
      <c r="AJ687" s="19">
        <f t="shared" si="200"/>
        <v>4168706.6744155753</v>
      </c>
      <c r="AK687" s="20">
        <f t="shared" si="207"/>
        <v>0.18161388835511752</v>
      </c>
      <c r="AL687" s="17"/>
      <c r="AM687" s="17"/>
      <c r="AN687" s="17"/>
      <c r="AO687" s="17"/>
      <c r="AP687" s="28" t="str">
        <f t="shared" si="208"/>
        <v>20238</v>
      </c>
      <c r="AQ687" s="28" t="str">
        <f t="shared" si="209"/>
        <v>20238RMB</v>
      </c>
      <c r="AR687" s="206" t="str">
        <f t="shared" si="210"/>
        <v>YAMAHA_Mounter</v>
      </c>
      <c r="AS687" s="22">
        <f t="shared" si="211"/>
        <v>0</v>
      </c>
      <c r="AT687" s="24" t="str">
        <f t="shared" si="212"/>
        <v>0-3 months</v>
      </c>
    </row>
    <row r="688" spans="1:46" s="12" customFormat="1">
      <c r="A688" s="33" t="str">
        <f t="shared" si="201"/>
        <v>FY 23/24</v>
      </c>
      <c r="B688" s="23">
        <v>2024</v>
      </c>
      <c r="C688" s="152">
        <v>3</v>
      </c>
      <c r="D688" s="33" t="str">
        <f t="shared" si="202"/>
        <v>Q4</v>
      </c>
      <c r="E688" s="33" t="s">
        <v>3173</v>
      </c>
      <c r="F688" s="23">
        <v>2024</v>
      </c>
      <c r="G688" s="23">
        <v>5</v>
      </c>
      <c r="H688" s="29"/>
      <c r="I688" s="33" t="str">
        <f t="shared" si="203"/>
        <v>Q1</v>
      </c>
      <c r="J688" s="190" t="s">
        <v>3347</v>
      </c>
      <c r="K688" s="29" t="s">
        <v>990</v>
      </c>
      <c r="L688" s="17" t="s">
        <v>3348</v>
      </c>
      <c r="M688" s="22" t="s">
        <v>3358</v>
      </c>
      <c r="N688" s="22">
        <v>1</v>
      </c>
      <c r="O688" s="22"/>
      <c r="P688" s="33" t="str">
        <f t="shared" si="197"/>
        <v>MAIN UNIT</v>
      </c>
      <c r="Q688" s="13" t="s">
        <v>62</v>
      </c>
      <c r="R688" s="22" t="s">
        <v>2056</v>
      </c>
      <c r="S688" s="22" t="s">
        <v>50</v>
      </c>
      <c r="T688" s="22" t="s">
        <v>79</v>
      </c>
      <c r="U688" s="22" t="s">
        <v>247</v>
      </c>
      <c r="V688" s="22" t="s">
        <v>2058</v>
      </c>
      <c r="W688" s="22" t="s">
        <v>902</v>
      </c>
      <c r="X688" s="30">
        <v>78000</v>
      </c>
      <c r="Y688" s="31" t="str">
        <f>IF(W688="","",IF(W688="RMB","1.13", "1"))</f>
        <v>1</v>
      </c>
      <c r="Z688" s="18">
        <f t="shared" ref="Z688:Z751" si="214">IF(X688="","",X688*MAX(O688,N688))</f>
        <v>78000</v>
      </c>
      <c r="AA688" s="22">
        <v>7.8</v>
      </c>
      <c r="AB688" s="21">
        <f t="shared" si="204"/>
        <v>608400</v>
      </c>
      <c r="AC688" s="25">
        <f t="shared" si="205"/>
        <v>193106.16</v>
      </c>
      <c r="AD688" s="192">
        <v>0.31740000000000002</v>
      </c>
      <c r="AE688" s="26">
        <f t="shared" si="206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9"/>
        <v>11472879.764601771</v>
      </c>
      <c r="AJ688" s="27">
        <f t="shared" si="200"/>
        <v>2038344.1716106194</v>
      </c>
      <c r="AK688" s="28">
        <f t="shared" si="207"/>
        <v>0.17766630640544948</v>
      </c>
      <c r="AL688" s="24"/>
      <c r="AM688" s="24"/>
      <c r="AN688" s="24"/>
      <c r="AO688" s="24"/>
      <c r="AP688" s="28" t="str">
        <f t="shared" si="208"/>
        <v>20245</v>
      </c>
      <c r="AQ688" s="28" t="str">
        <f t="shared" si="209"/>
        <v>20245USD</v>
      </c>
      <c r="AR688" s="206" t="str">
        <f t="shared" si="210"/>
        <v>HELLER</v>
      </c>
      <c r="AS688" s="22">
        <f t="shared" si="211"/>
        <v>2</v>
      </c>
      <c r="AT688" s="24" t="str">
        <f t="shared" si="212"/>
        <v>0-3 months</v>
      </c>
    </row>
    <row r="689" spans="1:46" s="12" customFormat="1">
      <c r="A689" s="33" t="str">
        <f t="shared" si="201"/>
        <v>FY 23/24</v>
      </c>
      <c r="B689" s="23">
        <v>2024</v>
      </c>
      <c r="C689" s="152">
        <v>3</v>
      </c>
      <c r="D689" s="33" t="str">
        <f t="shared" si="202"/>
        <v>Q4</v>
      </c>
      <c r="E689" s="33" t="s">
        <v>3173</v>
      </c>
      <c r="F689" s="23">
        <v>2024</v>
      </c>
      <c r="G689" s="23">
        <v>5</v>
      </c>
      <c r="H689" s="29"/>
      <c r="I689" s="33" t="str">
        <f t="shared" si="203"/>
        <v>Q1</v>
      </c>
      <c r="J689" s="190" t="s">
        <v>3349</v>
      </c>
      <c r="K689" s="29" t="s">
        <v>990</v>
      </c>
      <c r="L689" s="17" t="s">
        <v>3350</v>
      </c>
      <c r="M689" s="22" t="s">
        <v>3359</v>
      </c>
      <c r="N689" s="22">
        <v>1</v>
      </c>
      <c r="O689" s="22"/>
      <c r="P689" s="33" t="str">
        <f t="shared" si="197"/>
        <v>MAIN UNIT</v>
      </c>
      <c r="Q689" s="13" t="s">
        <v>62</v>
      </c>
      <c r="R689" s="22" t="s">
        <v>2056</v>
      </c>
      <c r="S689" s="22" t="s">
        <v>50</v>
      </c>
      <c r="T689" s="22" t="s">
        <v>79</v>
      </c>
      <c r="U689" s="22" t="s">
        <v>247</v>
      </c>
      <c r="V689" s="22" t="s">
        <v>2058</v>
      </c>
      <c r="W689" s="22" t="s">
        <v>2508</v>
      </c>
      <c r="X689" s="30">
        <v>290000</v>
      </c>
      <c r="Y689" s="31" t="str">
        <f>IF(W689="","",IF(W689="RMB","1.13", "1"))</f>
        <v>1</v>
      </c>
      <c r="Z689" s="18">
        <f t="shared" si="214"/>
        <v>290000</v>
      </c>
      <c r="AA689" s="22">
        <v>1</v>
      </c>
      <c r="AB689" s="21">
        <f t="shared" si="204"/>
        <v>290000</v>
      </c>
      <c r="AC689" s="25">
        <f t="shared" si="205"/>
        <v>142158</v>
      </c>
      <c r="AD689" s="192">
        <v>0.49020000000000002</v>
      </c>
      <c r="AE689" s="26">
        <f t="shared" si="206"/>
        <v>0</v>
      </c>
      <c r="AF689" s="26" t="str">
        <f>IF(AND(COUNTIFS($J$18:J689,J689)=1,AE689=1),1,"")</f>
        <v/>
      </c>
      <c r="AG689" s="26">
        <f>IF(C689="","",IF(AND(COUNTIFS($J$18:J689,J689)=1,C689&lt;&gt;""),1,""))</f>
        <v>1</v>
      </c>
      <c r="AH689" s="26">
        <f>IF(G689="","",IF(AND(COUNTIFS($J$18:J689,J689)=1,G689&lt;&gt;""),1,""))</f>
        <v>1</v>
      </c>
      <c r="AI689" s="27">
        <f t="shared" si="199"/>
        <v>11472879.764601771</v>
      </c>
      <c r="AJ689" s="27">
        <f t="shared" si="200"/>
        <v>2038344.1716106194</v>
      </c>
      <c r="AK689" s="28">
        <f t="shared" si="207"/>
        <v>0.17766630640544948</v>
      </c>
      <c r="AL689" s="24"/>
      <c r="AM689" s="24"/>
      <c r="AN689" s="24"/>
      <c r="AO689" s="24"/>
      <c r="AP689" s="28" t="str">
        <f t="shared" si="208"/>
        <v>20245</v>
      </c>
      <c r="AQ689" s="28" t="str">
        <f t="shared" si="209"/>
        <v>20245HKD</v>
      </c>
      <c r="AR689" s="206" t="str">
        <f t="shared" si="210"/>
        <v>LOCAL SUPPLIER</v>
      </c>
      <c r="AS689" s="22">
        <f t="shared" si="211"/>
        <v>2</v>
      </c>
      <c r="AT689" s="24" t="str">
        <f t="shared" si="212"/>
        <v>0-3 months</v>
      </c>
    </row>
    <row r="690" spans="1:46" s="12" customFormat="1">
      <c r="A690" s="33" t="str">
        <f t="shared" si="201"/>
        <v>FY 23/24</v>
      </c>
      <c r="B690" s="23">
        <v>2024</v>
      </c>
      <c r="C690" s="152">
        <v>3</v>
      </c>
      <c r="D690" s="33" t="str">
        <f t="shared" si="202"/>
        <v>Q4</v>
      </c>
      <c r="E690" s="33" t="s">
        <v>3173</v>
      </c>
      <c r="F690" s="23">
        <v>2024</v>
      </c>
      <c r="G690" s="23">
        <v>5</v>
      </c>
      <c r="H690" s="29"/>
      <c r="I690" s="33" t="str">
        <f t="shared" si="203"/>
        <v>Q1</v>
      </c>
      <c r="J690" s="190" t="s">
        <v>3351</v>
      </c>
      <c r="K690" s="29" t="s">
        <v>990</v>
      </c>
      <c r="L690" s="17" t="s">
        <v>3352</v>
      </c>
      <c r="M690" s="22" t="s">
        <v>61</v>
      </c>
      <c r="N690" s="22">
        <v>1</v>
      </c>
      <c r="O690" s="22"/>
      <c r="P690" s="33" t="str">
        <f t="shared" si="197"/>
        <v>MAIN UNIT</v>
      </c>
      <c r="Q690" s="13" t="s">
        <v>62</v>
      </c>
      <c r="R690" s="22" t="s">
        <v>2056</v>
      </c>
      <c r="S690" s="22" t="s">
        <v>50</v>
      </c>
      <c r="T690" s="22" t="s">
        <v>79</v>
      </c>
      <c r="U690" s="22" t="s">
        <v>247</v>
      </c>
      <c r="V690" s="22" t="s">
        <v>2058</v>
      </c>
      <c r="W690" s="22" t="s">
        <v>2508</v>
      </c>
      <c r="X690" s="30">
        <v>240000</v>
      </c>
      <c r="Y690" s="31" t="str">
        <f>IF(W690="","",IF(W690="RMB","1.13", "1"))</f>
        <v>1</v>
      </c>
      <c r="Z690" s="18">
        <f t="shared" si="214"/>
        <v>240000</v>
      </c>
      <c r="AA690" s="22">
        <v>1</v>
      </c>
      <c r="AB690" s="21">
        <f t="shared" si="204"/>
        <v>240000</v>
      </c>
      <c r="AC690" s="25">
        <f t="shared" si="205"/>
        <v>80592</v>
      </c>
      <c r="AD690" s="192">
        <v>0.33579999999999999</v>
      </c>
      <c r="AE690" s="26">
        <f t="shared" si="206"/>
        <v>0</v>
      </c>
      <c r="AF690" s="26" t="str">
        <f>IF(AND(COUNTIFS($J$18:J690,J690)=1,AE690=1),1,"")</f>
        <v/>
      </c>
      <c r="AG690" s="26">
        <f>IF(C690="","",IF(AND(COUNTIFS($J$18:J690,J690)=1,C690&lt;&gt;""),1,""))</f>
        <v>1</v>
      </c>
      <c r="AH690" s="26">
        <f>IF(G690="","",IF(AND(COUNTIFS($J$18:J690,J690)=1,G690&lt;&gt;""),1,""))</f>
        <v>1</v>
      </c>
      <c r="AI690" s="27">
        <f t="shared" si="199"/>
        <v>11472879.764601771</v>
      </c>
      <c r="AJ690" s="27">
        <f t="shared" si="200"/>
        <v>2038344.1716106194</v>
      </c>
      <c r="AK690" s="28">
        <f t="shared" si="207"/>
        <v>0.17766630640544948</v>
      </c>
      <c r="AL690" s="24"/>
      <c r="AM690" s="24"/>
      <c r="AN690" s="24"/>
      <c r="AO690" s="24"/>
      <c r="AP690" s="28" t="str">
        <f t="shared" si="208"/>
        <v>20245</v>
      </c>
      <c r="AQ690" s="28" t="str">
        <f t="shared" si="209"/>
        <v>20245HKD</v>
      </c>
      <c r="AR690" s="206" t="str">
        <f t="shared" si="210"/>
        <v>YAMAHA_Non_Mounter</v>
      </c>
      <c r="AS690" s="22">
        <f t="shared" si="211"/>
        <v>2</v>
      </c>
      <c r="AT690" s="24" t="str">
        <f t="shared" si="212"/>
        <v>0-3 months</v>
      </c>
    </row>
    <row r="691" spans="1:46" s="12" customFormat="1">
      <c r="A691" s="33" t="str">
        <f t="shared" si="201"/>
        <v>FY 22/23</v>
      </c>
      <c r="B691" s="152">
        <v>2022</v>
      </c>
      <c r="C691" s="152">
        <v>12</v>
      </c>
      <c r="D691" s="33" t="str">
        <f t="shared" si="202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3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197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14"/>
        <v>500000</v>
      </c>
      <c r="AA691" s="13">
        <v>1.0900000000000001</v>
      </c>
      <c r="AB691" s="21">
        <f t="shared" si="204"/>
        <v>482300.88495575229</v>
      </c>
      <c r="AC691" s="130">
        <f t="shared" si="205"/>
        <v>66268.141592920365</v>
      </c>
      <c r="AD691" s="169">
        <v>0.13739999999999999</v>
      </c>
      <c r="AE691" s="154">
        <f t="shared" si="206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9"/>
        <v>17329060.066371687</v>
      </c>
      <c r="AJ691" s="19">
        <f t="shared" si="200"/>
        <v>2472600.2142256643</v>
      </c>
      <c r="AK691" s="20">
        <f t="shared" si="207"/>
        <v>0.14268518919984163</v>
      </c>
      <c r="AL691" s="17"/>
      <c r="AM691" s="17"/>
      <c r="AN691" s="17"/>
      <c r="AO691" s="17"/>
      <c r="AP691" s="28" t="str">
        <f t="shared" si="208"/>
        <v>202212</v>
      </c>
      <c r="AQ691" s="28" t="str">
        <f t="shared" si="209"/>
        <v>202212RMB</v>
      </c>
      <c r="AR691" s="206" t="str">
        <f t="shared" si="210"/>
        <v>YAMAHA_Mounter</v>
      </c>
      <c r="AS691" s="22">
        <f t="shared" si="211"/>
        <v>0</v>
      </c>
      <c r="AT691" s="24" t="str">
        <f t="shared" si="212"/>
        <v>0-3 months</v>
      </c>
    </row>
    <row r="692" spans="1:46" s="12" customFormat="1">
      <c r="A692" s="33" t="str">
        <f t="shared" si="201"/>
        <v>FY 22/23</v>
      </c>
      <c r="B692" s="152">
        <v>2022</v>
      </c>
      <c r="C692" s="152">
        <v>12</v>
      </c>
      <c r="D692" s="33" t="str">
        <f t="shared" si="202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3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197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14"/>
        <v>750000</v>
      </c>
      <c r="AA692" s="13">
        <v>1.0900000000000001</v>
      </c>
      <c r="AB692" s="21">
        <f t="shared" si="204"/>
        <v>723451.3274336285</v>
      </c>
      <c r="AC692" s="130">
        <f t="shared" si="205"/>
        <v>99402.212389380555</v>
      </c>
      <c r="AD692" s="169">
        <v>0.13739999999999999</v>
      </c>
      <c r="AE692" s="154">
        <f t="shared" si="206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9"/>
        <v>17329060.066371687</v>
      </c>
      <c r="AJ692" s="19">
        <f t="shared" si="200"/>
        <v>2472600.2142256643</v>
      </c>
      <c r="AK692" s="20">
        <f t="shared" si="207"/>
        <v>0.14268518919984163</v>
      </c>
      <c r="AL692" s="17"/>
      <c r="AM692" s="17"/>
      <c r="AN692" s="17"/>
      <c r="AO692" s="17"/>
      <c r="AP692" s="28" t="str">
        <f t="shared" si="208"/>
        <v>202212</v>
      </c>
      <c r="AQ692" s="28" t="str">
        <f t="shared" si="209"/>
        <v>202212RMB</v>
      </c>
      <c r="AR692" s="206" t="str">
        <f t="shared" si="210"/>
        <v>YAMAHA_Mounter</v>
      </c>
      <c r="AS692" s="22">
        <f t="shared" si="211"/>
        <v>0</v>
      </c>
      <c r="AT692" s="24" t="str">
        <f t="shared" si="212"/>
        <v>0-3 months</v>
      </c>
    </row>
    <row r="693" spans="1:46" s="12" customFormat="1">
      <c r="A693" s="33" t="str">
        <f t="shared" si="201"/>
        <v>FY 21/22</v>
      </c>
      <c r="B693" s="152">
        <v>2021</v>
      </c>
      <c r="C693" s="152">
        <v>6</v>
      </c>
      <c r="D693" s="33" t="str">
        <f t="shared" si="202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3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197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14"/>
        <v>799000</v>
      </c>
      <c r="AA693" s="13">
        <v>1.175</v>
      </c>
      <c r="AB693" s="21">
        <f t="shared" si="204"/>
        <v>830818.5840707965</v>
      </c>
      <c r="AC693" s="130">
        <f t="shared" si="205"/>
        <v>216594.40486725664</v>
      </c>
      <c r="AD693" s="169">
        <v>0.26069999999999999</v>
      </c>
      <c r="AE693" s="154">
        <f t="shared" si="206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9"/>
        <v>35682787.057522126</v>
      </c>
      <c r="AJ693" s="19">
        <f t="shared" si="200"/>
        <v>5833368.3789623892</v>
      </c>
      <c r="AK693" s="20">
        <f t="shared" si="207"/>
        <v>0.16347849649632912</v>
      </c>
      <c r="AL693" s="17"/>
      <c r="AM693" s="17"/>
      <c r="AN693" s="17"/>
      <c r="AO693" s="17"/>
      <c r="AP693" s="28" t="str">
        <f t="shared" si="208"/>
        <v>20226</v>
      </c>
      <c r="AQ693" s="28" t="str">
        <f t="shared" si="209"/>
        <v>20226RMB</v>
      </c>
      <c r="AR693" s="206" t="str">
        <f t="shared" si="210"/>
        <v>YAMAHA_Mounter</v>
      </c>
      <c r="AS693" s="22">
        <f t="shared" si="211"/>
        <v>12</v>
      </c>
      <c r="AT693" s="24" t="str">
        <f t="shared" si="212"/>
        <v>&gt; 6 months</v>
      </c>
    </row>
    <row r="694" spans="1:46" s="12" customFormat="1">
      <c r="A694" s="33" t="str">
        <f t="shared" si="201"/>
        <v>FY 19/20</v>
      </c>
      <c r="B694" s="152">
        <v>2020</v>
      </c>
      <c r="C694" s="152">
        <v>3</v>
      </c>
      <c r="D694" s="33" t="str">
        <f t="shared" si="202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3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197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14"/>
        <v>600000</v>
      </c>
      <c r="AA694" s="13">
        <v>1.095</v>
      </c>
      <c r="AB694" s="21">
        <f t="shared" si="204"/>
        <v>581415.92920353985</v>
      </c>
      <c r="AC694" s="130">
        <f t="shared" si="205"/>
        <v>69014.070796460175</v>
      </c>
      <c r="AD694" s="169">
        <v>0.1187</v>
      </c>
      <c r="AE694" s="154">
        <f t="shared" si="206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9"/>
        <v>23168285.927433632</v>
      </c>
      <c r="AJ694" s="19">
        <f t="shared" si="200"/>
        <v>2764878.916878053</v>
      </c>
      <c r="AK694" s="20">
        <f t="shared" si="207"/>
        <v>0.11933895004309111</v>
      </c>
      <c r="AL694" s="17"/>
      <c r="AM694" s="17"/>
      <c r="AN694" s="17"/>
      <c r="AO694" s="17"/>
      <c r="AP694" s="28" t="str">
        <f t="shared" si="208"/>
        <v>20203</v>
      </c>
      <c r="AQ694" s="28" t="str">
        <f t="shared" si="209"/>
        <v>20203RMB</v>
      </c>
      <c r="AR694" s="206" t="str">
        <f t="shared" si="210"/>
        <v>YAMAHA_Mounter</v>
      </c>
      <c r="AS694" s="22">
        <f t="shared" si="211"/>
        <v>0</v>
      </c>
      <c r="AT694" s="24" t="str">
        <f t="shared" si="212"/>
        <v>0-3 months</v>
      </c>
    </row>
    <row r="695" spans="1:46" s="12" customFormat="1">
      <c r="A695" s="33" t="str">
        <f t="shared" si="201"/>
        <v>FY 23/24</v>
      </c>
      <c r="B695" s="23">
        <v>2024</v>
      </c>
      <c r="C695" s="152">
        <v>2</v>
      </c>
      <c r="D695" s="33" t="str">
        <f t="shared" si="202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3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197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14"/>
        <v>865000</v>
      </c>
      <c r="AA695" s="22">
        <v>1.0900000000000001</v>
      </c>
      <c r="AB695" s="21">
        <f t="shared" si="204"/>
        <v>834380.53097345144</v>
      </c>
      <c r="AC695" s="25">
        <f t="shared" si="205"/>
        <v>87192.765486725679</v>
      </c>
      <c r="AD695" s="209">
        <v>0.1045</v>
      </c>
      <c r="AE695" s="26">
        <f t="shared" si="206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9"/>
        <v>21194662.454867262</v>
      </c>
      <c r="AJ695" s="27">
        <f t="shared" si="200"/>
        <v>2981431.5970757701</v>
      </c>
      <c r="AK695" s="28">
        <f t="shared" si="207"/>
        <v>0.14066898226968919</v>
      </c>
      <c r="AL695" s="24"/>
      <c r="AM695" s="24"/>
      <c r="AN695" s="24"/>
      <c r="AO695" s="24"/>
      <c r="AP695" s="28" t="str">
        <f t="shared" si="208"/>
        <v>20243</v>
      </c>
      <c r="AQ695" s="28" t="str">
        <f t="shared" si="209"/>
        <v>20243RMB</v>
      </c>
      <c r="AR695" s="206" t="str">
        <f t="shared" si="210"/>
        <v>YAMAHA_Mounter</v>
      </c>
      <c r="AS695" s="22">
        <f t="shared" si="211"/>
        <v>1</v>
      </c>
      <c r="AT695" s="24" t="str">
        <f t="shared" si="212"/>
        <v>0-3 months</v>
      </c>
    </row>
    <row r="696" spans="1:46" s="12" customFormat="1">
      <c r="A696" s="33" t="str">
        <f t="shared" si="201"/>
        <v>FY 19/20</v>
      </c>
      <c r="B696" s="152">
        <v>2019</v>
      </c>
      <c r="C696" s="152">
        <v>5</v>
      </c>
      <c r="D696" s="33" t="str">
        <f t="shared" si="202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3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197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14"/>
        <v>916000</v>
      </c>
      <c r="AA696" s="13">
        <v>1.135</v>
      </c>
      <c r="AB696" s="21">
        <f t="shared" si="204"/>
        <v>920053.09734513285</v>
      </c>
      <c r="AC696" s="130">
        <f t="shared" si="205"/>
        <v>116386.7168141593</v>
      </c>
      <c r="AD696" s="169">
        <v>0.1265</v>
      </c>
      <c r="AE696" s="154">
        <f t="shared" si="206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9"/>
        <v>21386017.707964607</v>
      </c>
      <c r="AJ696" s="19">
        <f t="shared" si="200"/>
        <v>2238764.3265707968</v>
      </c>
      <c r="AK696" s="20">
        <f t="shared" si="207"/>
        <v>0.10468355339185161</v>
      </c>
      <c r="AL696" s="17"/>
      <c r="AM696" s="17"/>
      <c r="AN696" s="17"/>
      <c r="AO696" s="17" t="s">
        <v>705</v>
      </c>
      <c r="AP696" s="28" t="str">
        <f t="shared" si="208"/>
        <v>20198</v>
      </c>
      <c r="AQ696" s="28" t="str">
        <f t="shared" si="209"/>
        <v>20198RMB</v>
      </c>
      <c r="AR696" s="206" t="str">
        <f t="shared" si="210"/>
        <v>YAMAHA_Mounter</v>
      </c>
      <c r="AS696" s="22">
        <f t="shared" si="211"/>
        <v>3</v>
      </c>
      <c r="AT696" s="24" t="str">
        <f t="shared" si="212"/>
        <v>0-3 months</v>
      </c>
    </row>
    <row r="697" spans="1:46" s="12" customFormat="1">
      <c r="A697" s="33" t="str">
        <f t="shared" si="201"/>
        <v>FY 20/21</v>
      </c>
      <c r="B697" s="152">
        <v>2020</v>
      </c>
      <c r="C697" s="152">
        <v>9</v>
      </c>
      <c r="D697" s="33" t="str">
        <f t="shared" si="202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3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197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14"/>
        <v>520000</v>
      </c>
      <c r="AA697" s="13">
        <v>1.155</v>
      </c>
      <c r="AB697" s="21">
        <f t="shared" si="204"/>
        <v>531504.42477876111</v>
      </c>
      <c r="AC697" s="130">
        <f t="shared" si="205"/>
        <v>79141.008849557533</v>
      </c>
      <c r="AD697" s="169">
        <v>0.1489</v>
      </c>
      <c r="AE697" s="154">
        <f t="shared" si="206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9"/>
        <v>44078731.611185849</v>
      </c>
      <c r="AJ697" s="19">
        <f t="shared" si="200"/>
        <v>5508173.2163771465</v>
      </c>
      <c r="AK697" s="20">
        <f t="shared" si="207"/>
        <v>0.12496215328889679</v>
      </c>
      <c r="AL697" s="17"/>
      <c r="AM697" s="17"/>
      <c r="AN697" s="17"/>
      <c r="AO697" s="17"/>
      <c r="AP697" s="28" t="str">
        <f t="shared" si="208"/>
        <v>202011</v>
      </c>
      <c r="AQ697" s="28" t="str">
        <f t="shared" si="209"/>
        <v>202011RMB</v>
      </c>
      <c r="AR697" s="206" t="str">
        <f t="shared" si="210"/>
        <v>YAMAHA_Mounter</v>
      </c>
      <c r="AS697" s="22">
        <f t="shared" si="211"/>
        <v>2</v>
      </c>
      <c r="AT697" s="24" t="str">
        <f t="shared" si="212"/>
        <v>0-3 months</v>
      </c>
    </row>
    <row r="698" spans="1:46" s="12" customFormat="1">
      <c r="A698" s="33" t="str">
        <f t="shared" si="201"/>
        <v>cancel</v>
      </c>
      <c r="B698" s="152"/>
      <c r="C698" s="152" t="s">
        <v>186</v>
      </c>
      <c r="D698" s="33" t="str">
        <f t="shared" si="202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3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197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14"/>
        <v>664000</v>
      </c>
      <c r="AA698" s="13">
        <v>1.1100000000000001</v>
      </c>
      <c r="AB698" s="21">
        <f t="shared" si="204"/>
        <v>652247.78761061956</v>
      </c>
      <c r="AC698" s="130">
        <f t="shared" si="205"/>
        <v>78269.73451327435</v>
      </c>
      <c r="AD698" s="169">
        <v>0.12</v>
      </c>
      <c r="AE698" s="154">
        <f t="shared" si="206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9"/>
        <v>477651199.57437885</v>
      </c>
      <c r="AJ698" s="19">
        <f t="shared" si="200"/>
        <v>56918800.518691957</v>
      </c>
      <c r="AK698" s="20">
        <f t="shared" si="207"/>
        <v>0.11916394341605475</v>
      </c>
      <c r="AL698" s="17"/>
      <c r="AM698" s="17"/>
      <c r="AN698" s="17"/>
      <c r="AO698" s="17"/>
      <c r="AP698" s="28" t="str">
        <f t="shared" si="208"/>
        <v>CancelCancel</v>
      </c>
      <c r="AQ698" s="28" t="str">
        <f t="shared" si="209"/>
        <v>CancelCancelRMB</v>
      </c>
      <c r="AR698" s="206" t="str">
        <f t="shared" si="210"/>
        <v>YAMAHA_Mounter</v>
      </c>
      <c r="AS698" s="22" t="str">
        <f t="shared" si="211"/>
        <v/>
      </c>
      <c r="AT698" s="24" t="str">
        <f t="shared" si="212"/>
        <v/>
      </c>
    </row>
    <row r="699" spans="1:46" s="12" customFormat="1">
      <c r="A699" s="33" t="str">
        <f t="shared" si="201"/>
        <v>cancel</v>
      </c>
      <c r="B699" s="152"/>
      <c r="C699" s="152" t="s">
        <v>186</v>
      </c>
      <c r="D699" s="33" t="str">
        <f t="shared" si="202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3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197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14"/>
        <v>664000</v>
      </c>
      <c r="AA699" s="13">
        <v>1.1100000000000001</v>
      </c>
      <c r="AB699" s="21">
        <f t="shared" si="204"/>
        <v>652247.78761061956</v>
      </c>
      <c r="AC699" s="130">
        <f t="shared" si="205"/>
        <v>78269.73451327435</v>
      </c>
      <c r="AD699" s="169">
        <v>0.12</v>
      </c>
      <c r="AE699" s="154">
        <f t="shared" si="206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9"/>
        <v>477651199.57437885</v>
      </c>
      <c r="AJ699" s="19">
        <f t="shared" si="200"/>
        <v>56918800.518691957</v>
      </c>
      <c r="AK699" s="20">
        <f t="shared" si="207"/>
        <v>0.11916394341605475</v>
      </c>
      <c r="AL699" s="17"/>
      <c r="AM699" s="17"/>
      <c r="AN699" s="17"/>
      <c r="AO699" s="17"/>
      <c r="AP699" s="28" t="str">
        <f t="shared" si="208"/>
        <v>CancelCancel</v>
      </c>
      <c r="AQ699" s="28" t="str">
        <f t="shared" si="209"/>
        <v>CancelCancelRMB</v>
      </c>
      <c r="AR699" s="206" t="str">
        <f t="shared" si="210"/>
        <v>YAMAHA_Mounter</v>
      </c>
      <c r="AS699" s="22" t="str">
        <f t="shared" si="211"/>
        <v/>
      </c>
      <c r="AT699" s="24" t="str">
        <f t="shared" si="212"/>
        <v/>
      </c>
    </row>
    <row r="700" spans="1:46" s="12" customFormat="1" ht="42">
      <c r="A700" s="33" t="str">
        <f t="shared" si="201"/>
        <v/>
      </c>
      <c r="B700" s="23"/>
      <c r="C700" s="23"/>
      <c r="D700" s="202" t="str">
        <f t="shared" si="202"/>
        <v/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5</v>
      </c>
      <c r="H700" s="29"/>
      <c r="I700" s="202" t="str">
        <f t="shared" si="203"/>
        <v>Q1</v>
      </c>
      <c r="J700" s="188"/>
      <c r="K700" s="29"/>
      <c r="L700" s="17" t="s">
        <v>44</v>
      </c>
      <c r="M700" s="22" t="s">
        <v>44</v>
      </c>
      <c r="N700" s="22">
        <v>0</v>
      </c>
      <c r="O700" s="22"/>
      <c r="P700" s="33" t="str">
        <f t="shared" si="197"/>
        <v>C66 SERVICE/OTHERS</v>
      </c>
      <c r="Q700" s="22" t="s">
        <v>46</v>
      </c>
      <c r="R700" s="22" t="s">
        <v>46</v>
      </c>
      <c r="S700" s="22" t="s">
        <v>53</v>
      </c>
      <c r="T700" s="22"/>
      <c r="U700" s="22"/>
      <c r="V700" s="22"/>
      <c r="W700" s="22"/>
      <c r="X700" s="104"/>
      <c r="Y700" s="195" t="str">
        <f>IF(W700="","",IF(W700="RMB","1.13", "1"))</f>
        <v/>
      </c>
      <c r="Z700" s="196" t="str">
        <f t="shared" si="214"/>
        <v/>
      </c>
      <c r="AA700" s="22"/>
      <c r="AB700" s="197">
        <v>15000</v>
      </c>
      <c r="AC700" s="198">
        <f t="shared" si="205"/>
        <v>4500</v>
      </c>
      <c r="AD700" s="162">
        <v>0.3</v>
      </c>
      <c r="AE700" s="199">
        <f t="shared" si="206"/>
        <v>0</v>
      </c>
      <c r="AF700" s="199" t="str">
        <f>IF(AND(COUNTIFS($J$18:J700,J700)=1,AE700=1),1,"")</f>
        <v/>
      </c>
      <c r="AG700" s="199" t="str">
        <f>IF(C700="","",IF(AND(COUNTIFS($J$18:J700,J700)=1,C700&lt;&gt;""),1,""))</f>
        <v/>
      </c>
      <c r="AH700" s="199" t="str">
        <f>IF(G700="","",IF(AND(COUNTIFS($J$18:J700,J700)=1,G700&lt;&gt;""),1,""))</f>
        <v/>
      </c>
      <c r="AI700" s="200">
        <f t="shared" si="199"/>
        <v>11472879.764601771</v>
      </c>
      <c r="AJ700" s="200">
        <f t="shared" si="200"/>
        <v>2038344.1716106194</v>
      </c>
      <c r="AK700" s="201">
        <f t="shared" si="207"/>
        <v>0.17766630640544948</v>
      </c>
      <c r="AL700" s="24"/>
      <c r="AM700" s="24"/>
      <c r="AN700" s="24"/>
      <c r="AO700" s="24"/>
      <c r="AP700" s="105" t="str">
        <f t="shared" si="208"/>
        <v>20245</v>
      </c>
      <c r="AQ700" s="28" t="str">
        <f t="shared" si="209"/>
        <v/>
      </c>
      <c r="AR700" s="206" t="str">
        <f t="shared" si="210"/>
        <v>C66 SERVICE</v>
      </c>
      <c r="AS700" s="22" t="str">
        <f t="shared" si="211"/>
        <v/>
      </c>
      <c r="AT700" s="24" t="str">
        <f t="shared" si="212"/>
        <v/>
      </c>
    </row>
    <row r="701" spans="1:46" s="12" customFormat="1" ht="28">
      <c r="A701" s="33" t="str">
        <f t="shared" si="201"/>
        <v>FY 21/22</v>
      </c>
      <c r="B701" s="152">
        <v>2021</v>
      </c>
      <c r="C701" s="152">
        <v>9</v>
      </c>
      <c r="D701" s="33" t="str">
        <f t="shared" si="202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3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197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14"/>
        <v>38000</v>
      </c>
      <c r="AA701" s="13">
        <v>1.2</v>
      </c>
      <c r="AB701" s="21">
        <f t="shared" ref="AB701:AB720" si="215">IF(AND(R701&lt;&gt;"C66",R701&lt;&gt;""),Z701/Y701*AA701,"")</f>
        <v>40353.982300884963</v>
      </c>
      <c r="AC701" s="130">
        <f t="shared" si="205"/>
        <v>15608.920353982303</v>
      </c>
      <c r="AD701" s="169">
        <v>0.38679999999999998</v>
      </c>
      <c r="AE701" s="154">
        <f t="shared" si="206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9"/>
        <v>15533177.71460177</v>
      </c>
      <c r="AJ701" s="19">
        <f t="shared" si="200"/>
        <v>1819298.5437526547</v>
      </c>
      <c r="AK701" s="20">
        <f t="shared" si="207"/>
        <v>0.11712339723265033</v>
      </c>
      <c r="AL701" s="17"/>
      <c r="AM701" s="17"/>
      <c r="AN701" s="17"/>
      <c r="AO701" s="17"/>
      <c r="AP701" s="28" t="str">
        <f t="shared" si="208"/>
        <v>202110</v>
      </c>
      <c r="AQ701" s="28" t="str">
        <f t="shared" si="209"/>
        <v>202110RMB</v>
      </c>
      <c r="AR701" s="206" t="str">
        <f t="shared" si="210"/>
        <v>LOCAL SUPPLIER</v>
      </c>
      <c r="AS701" s="22">
        <f t="shared" si="211"/>
        <v>1</v>
      </c>
      <c r="AT701" s="24" t="str">
        <f t="shared" si="212"/>
        <v>0-3 months</v>
      </c>
    </row>
    <row r="702" spans="1:46" s="12" customFormat="1">
      <c r="A702" s="33" t="str">
        <f t="shared" si="201"/>
        <v>FY 19/20</v>
      </c>
      <c r="B702" s="152">
        <v>2019</v>
      </c>
      <c r="C702" s="152">
        <v>5</v>
      </c>
      <c r="D702" s="33" t="str">
        <f t="shared" si="202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3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197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14"/>
        <v>600000</v>
      </c>
      <c r="AA702" s="13">
        <v>1.135</v>
      </c>
      <c r="AB702" s="21">
        <f t="shared" si="215"/>
        <v>602654.8672566372</v>
      </c>
      <c r="AC702" s="130">
        <f t="shared" si="205"/>
        <v>60446.283185840708</v>
      </c>
      <c r="AD702" s="169">
        <v>0.1003</v>
      </c>
      <c r="AE702" s="154">
        <f t="shared" si="206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9"/>
        <v>31296887.037898075</v>
      </c>
      <c r="AJ702" s="19">
        <f t="shared" si="200"/>
        <v>3588873.9502021763</v>
      </c>
      <c r="AK702" s="20">
        <f t="shared" si="207"/>
        <v>0.11467191436184473</v>
      </c>
      <c r="AL702" s="17"/>
      <c r="AM702" s="17"/>
      <c r="AN702" s="17"/>
      <c r="AO702" s="17"/>
      <c r="AP702" s="28" t="str">
        <f t="shared" si="208"/>
        <v>20196</v>
      </c>
      <c r="AQ702" s="28" t="str">
        <f t="shared" si="209"/>
        <v>20196RMB</v>
      </c>
      <c r="AR702" s="206" t="str">
        <f t="shared" si="210"/>
        <v>YAMAHA_Mounter</v>
      </c>
      <c r="AS702" s="22">
        <f t="shared" si="211"/>
        <v>1</v>
      </c>
      <c r="AT702" s="24" t="str">
        <f t="shared" si="212"/>
        <v>0-3 months</v>
      </c>
    </row>
    <row r="703" spans="1:46" s="12" customFormat="1">
      <c r="A703" s="33" t="str">
        <f t="shared" si="201"/>
        <v>FY 19/20</v>
      </c>
      <c r="B703" s="152">
        <v>2019</v>
      </c>
      <c r="C703" s="152">
        <v>5</v>
      </c>
      <c r="D703" s="33" t="str">
        <f t="shared" si="202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3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197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14"/>
        <v>600000</v>
      </c>
      <c r="AA703" s="13">
        <v>1.135</v>
      </c>
      <c r="AB703" s="21">
        <f t="shared" si="215"/>
        <v>602654.8672566372</v>
      </c>
      <c r="AC703" s="130">
        <f t="shared" si="205"/>
        <v>60446.283185840708</v>
      </c>
      <c r="AD703" s="169">
        <v>0.1003</v>
      </c>
      <c r="AE703" s="154">
        <f t="shared" si="206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9"/>
        <v>31296887.037898075</v>
      </c>
      <c r="AJ703" s="19">
        <f t="shared" si="200"/>
        <v>3588873.9502021763</v>
      </c>
      <c r="AK703" s="20">
        <f t="shared" si="207"/>
        <v>0.11467191436184473</v>
      </c>
      <c r="AL703" s="17"/>
      <c r="AM703" s="17"/>
      <c r="AN703" s="17"/>
      <c r="AO703" s="17"/>
      <c r="AP703" s="28" t="str">
        <f t="shared" si="208"/>
        <v>20196</v>
      </c>
      <c r="AQ703" s="28" t="str">
        <f t="shared" si="209"/>
        <v>20196RMB</v>
      </c>
      <c r="AR703" s="206" t="str">
        <f t="shared" si="210"/>
        <v>YAMAHA_Mounter</v>
      </c>
      <c r="AS703" s="22">
        <f t="shared" si="211"/>
        <v>1</v>
      </c>
      <c r="AT703" s="24" t="str">
        <f t="shared" si="212"/>
        <v>0-3 months</v>
      </c>
    </row>
    <row r="704" spans="1:46" s="12" customFormat="1">
      <c r="A704" s="33" t="str">
        <f t="shared" si="201"/>
        <v>FY 20/21</v>
      </c>
      <c r="B704" s="152">
        <v>2020</v>
      </c>
      <c r="C704" s="152">
        <v>10</v>
      </c>
      <c r="D704" s="33" t="str">
        <f t="shared" si="202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3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197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6">IF(W704="RMB","1.13", "1")</f>
        <v>1.13</v>
      </c>
      <c r="Z704" s="18">
        <f t="shared" si="214"/>
        <v>598000</v>
      </c>
      <c r="AA704" s="13">
        <v>1.1850000000000001</v>
      </c>
      <c r="AB704" s="21">
        <f t="shared" si="215"/>
        <v>627106.19469026558</v>
      </c>
      <c r="AC704" s="130">
        <f t="shared" si="205"/>
        <v>84847.468141592937</v>
      </c>
      <c r="AD704" s="169">
        <v>0.1353</v>
      </c>
      <c r="AE704" s="154">
        <f t="shared" si="206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9"/>
        <v>45803245.025628321</v>
      </c>
      <c r="AJ704" s="19">
        <f t="shared" si="200"/>
        <v>5664636.2584379362</v>
      </c>
      <c r="AK704" s="20">
        <f t="shared" si="207"/>
        <v>0.12367325186825515</v>
      </c>
      <c r="AL704" s="17"/>
      <c r="AM704" s="17"/>
      <c r="AN704" s="17"/>
      <c r="AO704" s="17"/>
      <c r="AP704" s="28" t="str">
        <f t="shared" si="208"/>
        <v>20211</v>
      </c>
      <c r="AQ704" s="28" t="str">
        <f t="shared" si="209"/>
        <v>20211RMB</v>
      </c>
      <c r="AR704" s="206" t="str">
        <f t="shared" si="210"/>
        <v>YAMAHA_Mounter</v>
      </c>
      <c r="AS704" s="22">
        <f t="shared" si="211"/>
        <v>3</v>
      </c>
      <c r="AT704" s="24" t="str">
        <f t="shared" si="212"/>
        <v>0-3 months</v>
      </c>
    </row>
    <row r="705" spans="1:46" s="12" customFormat="1">
      <c r="A705" s="33" t="str">
        <f t="shared" si="201"/>
        <v>FY 21/22</v>
      </c>
      <c r="B705" s="152">
        <v>2022</v>
      </c>
      <c r="C705" s="152">
        <v>2</v>
      </c>
      <c r="D705" s="33" t="str">
        <f t="shared" si="202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3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197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6"/>
        <v>1.13</v>
      </c>
      <c r="Z705" s="18">
        <f t="shared" si="214"/>
        <v>930000</v>
      </c>
      <c r="AA705" s="13">
        <v>1.22</v>
      </c>
      <c r="AB705" s="21">
        <f t="shared" si="215"/>
        <v>1004070.7964601771</v>
      </c>
      <c r="AC705" s="130">
        <f t="shared" si="205"/>
        <v>150811.4336283186</v>
      </c>
      <c r="AD705" s="169">
        <v>0.1502</v>
      </c>
      <c r="AE705" s="154">
        <f t="shared" si="206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9"/>
        <v>28726768.133805312</v>
      </c>
      <c r="AJ705" s="19">
        <f t="shared" si="200"/>
        <v>3853638.1988864429</v>
      </c>
      <c r="AK705" s="20">
        <f t="shared" si="207"/>
        <v>0.1341479898099476</v>
      </c>
      <c r="AL705" s="17"/>
      <c r="AM705" s="17"/>
      <c r="AN705" s="17"/>
      <c r="AO705" s="17"/>
      <c r="AP705" s="28" t="str">
        <f t="shared" si="208"/>
        <v>20223</v>
      </c>
      <c r="AQ705" s="28" t="str">
        <f t="shared" si="209"/>
        <v>20223RMB</v>
      </c>
      <c r="AR705" s="206" t="str">
        <f t="shared" si="210"/>
        <v>YAMAHA_Mounter</v>
      </c>
      <c r="AS705" s="22">
        <f t="shared" si="211"/>
        <v>1</v>
      </c>
      <c r="AT705" s="24" t="str">
        <f t="shared" si="212"/>
        <v>0-3 months</v>
      </c>
    </row>
    <row r="706" spans="1:46" s="12" customFormat="1">
      <c r="A706" s="33" t="str">
        <f t="shared" si="201"/>
        <v>FY 22/23</v>
      </c>
      <c r="B706" s="152">
        <v>2022</v>
      </c>
      <c r="C706" s="152">
        <v>6</v>
      </c>
      <c r="D706" s="33" t="str">
        <f t="shared" si="202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3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ref="P706:P769" si="217">IF(M706="","",IF(AND(N706&gt;0,L706&lt;&gt;""),"MAIN UNIT",IF(AND(O706&gt;0,L706&lt;&gt;""),"SERVICE/ PARTS","C66 SERVICE/OTHERS")))</f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6"/>
        <v>1.13</v>
      </c>
      <c r="Z706" s="18">
        <f t="shared" si="214"/>
        <v>460000</v>
      </c>
      <c r="AA706" s="13">
        <v>1.17</v>
      </c>
      <c r="AB706" s="21">
        <f t="shared" si="215"/>
        <v>476283.18584070797</v>
      </c>
      <c r="AC706" s="130">
        <f t="shared" si="205"/>
        <v>64679.256637168146</v>
      </c>
      <c r="AD706" s="169">
        <v>0.1358</v>
      </c>
      <c r="AE706" s="154">
        <f t="shared" si="206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8">IF(P706="C66 SERVICE","",SUMIFS(AB:AB,F:F,F706,G:G,G706,E:E,E706))</f>
        <v>36480247.665929198</v>
      </c>
      <c r="AJ706" s="19">
        <f t="shared" ref="AJ706:AJ769" si="219">IF(P706="C66 SERVICE","",SUMIFS(AC:AC,F:F,F706,G:G,G706,E:E,E706))</f>
        <v>5330996.6372757526</v>
      </c>
      <c r="AK706" s="20">
        <f t="shared" si="207"/>
        <v>0.14613378412599562</v>
      </c>
      <c r="AL706" s="17"/>
      <c r="AM706" s="17"/>
      <c r="AN706" s="17"/>
      <c r="AO706" s="17"/>
      <c r="AP706" s="28" t="str">
        <f t="shared" si="208"/>
        <v>20227</v>
      </c>
      <c r="AQ706" s="28" t="str">
        <f t="shared" si="209"/>
        <v>20227RMB</v>
      </c>
      <c r="AR706" s="206" t="str">
        <f t="shared" si="210"/>
        <v>YAMAHA_Mounter</v>
      </c>
      <c r="AS706" s="22">
        <f t="shared" si="211"/>
        <v>1</v>
      </c>
      <c r="AT706" s="24" t="str">
        <f t="shared" si="212"/>
        <v>0-3 months</v>
      </c>
    </row>
    <row r="707" spans="1:46" s="12" customFormat="1">
      <c r="A707" s="33" t="str">
        <f t="shared" si="201"/>
        <v>FY 20/21</v>
      </c>
      <c r="B707" s="152">
        <v>2020</v>
      </c>
      <c r="C707" s="152">
        <v>12</v>
      </c>
      <c r="D707" s="33" t="str">
        <f t="shared" si="202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3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17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6"/>
        <v>1.13</v>
      </c>
      <c r="Z707" s="18">
        <f t="shared" si="214"/>
        <v>1000000</v>
      </c>
      <c r="AA707" s="13">
        <v>1.2</v>
      </c>
      <c r="AB707" s="21">
        <f t="shared" si="215"/>
        <v>1061946.9026548674</v>
      </c>
      <c r="AC707" s="130">
        <f t="shared" si="205"/>
        <v>145486.72566371685</v>
      </c>
      <c r="AD707" s="169">
        <v>0.13700000000000001</v>
      </c>
      <c r="AE707" s="154">
        <f t="shared" si="206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8"/>
        <v>57778307.282035396</v>
      </c>
      <c r="AJ707" s="19">
        <f t="shared" si="219"/>
        <v>7259860.7225420559</v>
      </c>
      <c r="AK707" s="20">
        <f t="shared" si="207"/>
        <v>0.12565028406083667</v>
      </c>
      <c r="AL707" s="17"/>
      <c r="AM707" s="17"/>
      <c r="AN707" s="17"/>
      <c r="AO707" s="17"/>
      <c r="AP707" s="28" t="str">
        <f t="shared" si="208"/>
        <v>20213</v>
      </c>
      <c r="AQ707" s="28" t="str">
        <f t="shared" si="209"/>
        <v>20213RMB</v>
      </c>
      <c r="AR707" s="206" t="str">
        <f t="shared" si="210"/>
        <v>YAMAHA_Mounter</v>
      </c>
      <c r="AS707" s="22">
        <f t="shared" si="211"/>
        <v>3</v>
      </c>
      <c r="AT707" s="24" t="str">
        <f t="shared" si="212"/>
        <v>0-3 months</v>
      </c>
    </row>
    <row r="708" spans="1:46" s="12" customFormat="1">
      <c r="A708" s="33" t="str">
        <f t="shared" si="201"/>
        <v>FY 20/21</v>
      </c>
      <c r="B708" s="152">
        <v>2020</v>
      </c>
      <c r="C708" s="152">
        <v>12</v>
      </c>
      <c r="D708" s="33" t="str">
        <f t="shared" si="202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3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17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6"/>
        <v>1.13</v>
      </c>
      <c r="Z708" s="18">
        <f t="shared" si="214"/>
        <v>680000</v>
      </c>
      <c r="AA708" s="13">
        <v>1.2</v>
      </c>
      <c r="AB708" s="21">
        <f t="shared" si="215"/>
        <v>722123.89380530978</v>
      </c>
      <c r="AC708" s="130">
        <f t="shared" si="205"/>
        <v>98930.973451327445</v>
      </c>
      <c r="AD708" s="169">
        <v>0.13700000000000001</v>
      </c>
      <c r="AE708" s="154">
        <f t="shared" si="206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8"/>
        <v>57778307.282035396</v>
      </c>
      <c r="AJ708" s="19">
        <f t="shared" si="219"/>
        <v>7259860.7225420559</v>
      </c>
      <c r="AK708" s="20">
        <f t="shared" si="207"/>
        <v>0.12565028406083667</v>
      </c>
      <c r="AL708" s="17"/>
      <c r="AM708" s="17"/>
      <c r="AN708" s="17"/>
      <c r="AO708" s="17"/>
      <c r="AP708" s="28" t="str">
        <f t="shared" si="208"/>
        <v>20213</v>
      </c>
      <c r="AQ708" s="28" t="str">
        <f t="shared" si="209"/>
        <v>20213RMB</v>
      </c>
      <c r="AR708" s="206" t="str">
        <f t="shared" si="210"/>
        <v>YAMAHA_Mounter</v>
      </c>
      <c r="AS708" s="22">
        <f t="shared" si="211"/>
        <v>3</v>
      </c>
      <c r="AT708" s="24" t="str">
        <f t="shared" si="212"/>
        <v>0-3 months</v>
      </c>
    </row>
    <row r="709" spans="1:46" s="12" customFormat="1" ht="28">
      <c r="A709" s="33" t="str">
        <f t="shared" si="201"/>
        <v>FY 20/21</v>
      </c>
      <c r="B709" s="152">
        <v>2021</v>
      </c>
      <c r="C709" s="152">
        <v>2</v>
      </c>
      <c r="D709" s="33" t="str">
        <f t="shared" si="202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3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17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6"/>
        <v>1.13</v>
      </c>
      <c r="Z709" s="18">
        <f t="shared" si="214"/>
        <v>57101</v>
      </c>
      <c r="AA709" s="13">
        <v>1.2</v>
      </c>
      <c r="AB709" s="21">
        <f t="shared" si="215"/>
        <v>60638.230088495577</v>
      </c>
      <c r="AC709" s="130">
        <f t="shared" si="205"/>
        <v>15468.812495575221</v>
      </c>
      <c r="AD709" s="169">
        <v>0.25509999999999999</v>
      </c>
      <c r="AE709" s="154">
        <f t="shared" si="206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8"/>
        <v>57778307.282035396</v>
      </c>
      <c r="AJ709" s="19">
        <f t="shared" si="219"/>
        <v>7259860.7225420559</v>
      </c>
      <c r="AK709" s="20">
        <f t="shared" si="207"/>
        <v>0.12565028406083667</v>
      </c>
      <c r="AL709" s="17"/>
      <c r="AM709" s="17"/>
      <c r="AN709" s="17"/>
      <c r="AO709" s="17"/>
      <c r="AP709" s="28" t="str">
        <f t="shared" si="208"/>
        <v>20213</v>
      </c>
      <c r="AQ709" s="28" t="str">
        <f t="shared" si="209"/>
        <v>20213RMB</v>
      </c>
      <c r="AR709" s="206" t="str">
        <f t="shared" si="210"/>
        <v>YAMAHA_Mounter</v>
      </c>
      <c r="AS709" s="22">
        <f t="shared" si="211"/>
        <v>1</v>
      </c>
      <c r="AT709" s="24" t="str">
        <f t="shared" si="212"/>
        <v>0-3 months</v>
      </c>
    </row>
    <row r="710" spans="1:46" s="12" customFormat="1">
      <c r="A710" s="33" t="str">
        <f t="shared" ref="A710:A773" si="220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21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2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si="217"/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6"/>
        <v>1.13</v>
      </c>
      <c r="Z710" s="18">
        <f t="shared" si="214"/>
        <v>650000</v>
      </c>
      <c r="AA710" s="13">
        <v>1.175</v>
      </c>
      <c r="AB710" s="21">
        <f t="shared" si="215"/>
        <v>675884.95575221244</v>
      </c>
      <c r="AC710" s="130">
        <f t="shared" ref="AC710:AC773" si="223">IF(R710&lt;&gt;"",AB710*AD710,"")</f>
        <v>155115.59734513276</v>
      </c>
      <c r="AD710" s="169">
        <v>0.22950000000000001</v>
      </c>
      <c r="AE710" s="154">
        <f t="shared" ref="AE710:AE773" si="224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8"/>
        <v>35682787.057522126</v>
      </c>
      <c r="AJ710" s="19">
        <f t="shared" si="219"/>
        <v>5833368.3789623892</v>
      </c>
      <c r="AK710" s="20">
        <f t="shared" ref="AK710:AK773" si="225">IF(AJ710&gt;0,AJ710/AI710,"")</f>
        <v>0.16347849649632912</v>
      </c>
      <c r="AL710" s="17"/>
      <c r="AM710" s="17"/>
      <c r="AN710" s="17"/>
      <c r="AO710" s="17"/>
      <c r="AP710" s="28" t="str">
        <f t="shared" ref="AP710:AP773" si="226">IF(F710="","",F710&amp;G710)</f>
        <v>20226</v>
      </c>
      <c r="AQ710" s="28" t="str">
        <f t="shared" ref="AQ710:AQ773" si="227">IF(W710="","",F710&amp;G710&amp;W710)</f>
        <v>20226RMB</v>
      </c>
      <c r="AR710" s="206" t="str">
        <f t="shared" ref="AR710:AR773" si="228">IFERROR(IF(AND(M710="YAMAHA", R710="C28"), "YAMAHA_Non_Mounter", IF(AND(M710="YAMAHA", R710="C49"), "YAMAHA_Mounter", M710)),"")</f>
        <v>YAMAHA_Mounter</v>
      </c>
      <c r="AS710" s="22">
        <f t="shared" ref="AS710:AS773" si="229">IFERROR(IF(OR(G710="TBA", G710=""), "", DATEDIF(DATE(B710, C710, 1), DATE(F710, G710, 1), "M")),"")</f>
        <v>1</v>
      </c>
      <c r="AT710" s="24" t="str">
        <f t="shared" ref="AT710:AT773" si="230">IF(ISNUMBER(AS710), IF(AS710&gt;=0, IF(AS710&lt;=3, "0-3 months", IF(AS710&lt;=6, "4-6 months", "&gt; 6 months"))), "")</f>
        <v>0-3 months</v>
      </c>
    </row>
    <row r="711" spans="1:46" s="12" customFormat="1" ht="28">
      <c r="A711" s="33" t="str">
        <f t="shared" si="220"/>
        <v>FY 22/23</v>
      </c>
      <c r="B711" s="152">
        <v>2022</v>
      </c>
      <c r="C711" s="152">
        <v>6</v>
      </c>
      <c r="D711" s="33" t="str">
        <f t="shared" si="221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2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17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6"/>
        <v>1.13</v>
      </c>
      <c r="Z711" s="18">
        <f t="shared" si="214"/>
        <v>13900</v>
      </c>
      <c r="AA711" s="13">
        <v>1.17</v>
      </c>
      <c r="AB711" s="21">
        <f t="shared" si="215"/>
        <v>14392.035398230089</v>
      </c>
      <c r="AC711" s="130">
        <f t="shared" si="223"/>
        <v>3635.4281415929204</v>
      </c>
      <c r="AD711" s="169">
        <v>0.25259999999999999</v>
      </c>
      <c r="AE711" s="154">
        <f t="shared" si="224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8"/>
        <v>36480247.665929198</v>
      </c>
      <c r="AJ711" s="19">
        <f t="shared" si="219"/>
        <v>5330996.6372757526</v>
      </c>
      <c r="AK711" s="20">
        <f t="shared" si="225"/>
        <v>0.14613378412599562</v>
      </c>
      <c r="AL711" s="17"/>
      <c r="AM711" s="17"/>
      <c r="AN711" s="17"/>
      <c r="AO711" s="17"/>
      <c r="AP711" s="28" t="str">
        <f t="shared" si="226"/>
        <v>20227</v>
      </c>
      <c r="AQ711" s="28" t="str">
        <f t="shared" si="227"/>
        <v>20227RMB</v>
      </c>
      <c r="AR711" s="206" t="str">
        <f t="shared" si="228"/>
        <v>LOCAL SUPPLIER</v>
      </c>
      <c r="AS711" s="22">
        <f t="shared" si="229"/>
        <v>1</v>
      </c>
      <c r="AT711" s="24" t="str">
        <f t="shared" si="230"/>
        <v>0-3 months</v>
      </c>
    </row>
    <row r="712" spans="1:46" s="12" customFormat="1" ht="28">
      <c r="A712" s="33" t="str">
        <f t="shared" si="220"/>
        <v>FY 22/23</v>
      </c>
      <c r="B712" s="152">
        <v>2022</v>
      </c>
      <c r="C712" s="152">
        <v>6</v>
      </c>
      <c r="D712" s="33" t="str">
        <f t="shared" si="221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2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17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6"/>
        <v>1.13</v>
      </c>
      <c r="Z712" s="18">
        <f t="shared" si="214"/>
        <v>3900</v>
      </c>
      <c r="AA712" s="13">
        <v>1.17</v>
      </c>
      <c r="AB712" s="21">
        <f t="shared" si="215"/>
        <v>4038.0530973451328</v>
      </c>
      <c r="AC712" s="130">
        <f t="shared" si="223"/>
        <v>1020.0122123893805</v>
      </c>
      <c r="AD712" s="169">
        <v>0.25259999999999999</v>
      </c>
      <c r="AE712" s="154">
        <f t="shared" si="224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8"/>
        <v>36480247.665929198</v>
      </c>
      <c r="AJ712" s="19">
        <f t="shared" si="219"/>
        <v>5330996.6372757526</v>
      </c>
      <c r="AK712" s="20">
        <f t="shared" si="225"/>
        <v>0.14613378412599562</v>
      </c>
      <c r="AL712" s="17"/>
      <c r="AM712" s="17"/>
      <c r="AN712" s="17"/>
      <c r="AO712" s="17"/>
      <c r="AP712" s="28" t="str">
        <f t="shared" si="226"/>
        <v>20227</v>
      </c>
      <c r="AQ712" s="28" t="str">
        <f t="shared" si="227"/>
        <v>20227RMB</v>
      </c>
      <c r="AR712" s="206" t="str">
        <f t="shared" si="228"/>
        <v>LOCAL SUPPLIER</v>
      </c>
      <c r="AS712" s="22">
        <f t="shared" si="229"/>
        <v>1</v>
      </c>
      <c r="AT712" s="24" t="str">
        <f t="shared" si="230"/>
        <v>0-3 months</v>
      </c>
    </row>
    <row r="713" spans="1:46" s="12" customFormat="1">
      <c r="A713" s="33" t="str">
        <f t="shared" si="220"/>
        <v>FY 18/19</v>
      </c>
      <c r="B713" s="152">
        <v>2018</v>
      </c>
      <c r="C713" s="152">
        <v>12</v>
      </c>
      <c r="D713" s="33" t="str">
        <f t="shared" si="221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2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17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14"/>
        <v>850000</v>
      </c>
      <c r="AA713" s="13">
        <v>1.1499999999999999</v>
      </c>
      <c r="AB713" s="21">
        <f t="shared" si="215"/>
        <v>842672.41379310342</v>
      </c>
      <c r="AC713" s="130">
        <f t="shared" si="223"/>
        <v>85109.913793103449</v>
      </c>
      <c r="AD713" s="169">
        <v>0.10100000000000001</v>
      </c>
      <c r="AE713" s="154">
        <f t="shared" si="224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8"/>
        <v>16455710.386637932</v>
      </c>
      <c r="AJ713" s="19">
        <f t="shared" si="219"/>
        <v>2150644.6466930606</v>
      </c>
      <c r="AK713" s="20">
        <f t="shared" si="225"/>
        <v>0.13069290818580451</v>
      </c>
      <c r="AL713" s="17"/>
      <c r="AM713" s="17"/>
      <c r="AN713" s="17"/>
      <c r="AO713" s="17"/>
      <c r="AP713" s="28" t="str">
        <f t="shared" si="226"/>
        <v>20192</v>
      </c>
      <c r="AQ713" s="28" t="str">
        <f t="shared" si="227"/>
        <v>20192RMB</v>
      </c>
      <c r="AR713" s="206" t="str">
        <f t="shared" si="228"/>
        <v>YAMAHA_Mounter</v>
      </c>
      <c r="AS713" s="22">
        <f t="shared" si="229"/>
        <v>2</v>
      </c>
      <c r="AT713" s="24" t="str">
        <f t="shared" si="230"/>
        <v>0-3 months</v>
      </c>
    </row>
    <row r="714" spans="1:46" s="12" customFormat="1">
      <c r="A714" s="33" t="str">
        <f t="shared" si="220"/>
        <v>FY 18/19</v>
      </c>
      <c r="B714" s="152">
        <v>2018</v>
      </c>
      <c r="C714" s="152">
        <v>12</v>
      </c>
      <c r="D714" s="33" t="str">
        <f t="shared" si="221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2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17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14"/>
        <v>836000</v>
      </c>
      <c r="AA714" s="13">
        <v>1.1499999999999999</v>
      </c>
      <c r="AB714" s="21">
        <f t="shared" si="215"/>
        <v>828793.10344827583</v>
      </c>
      <c r="AC714" s="130">
        <f t="shared" si="223"/>
        <v>83708.10344827587</v>
      </c>
      <c r="AD714" s="169">
        <v>0.10100000000000001</v>
      </c>
      <c r="AE714" s="154">
        <f t="shared" si="224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8"/>
        <v>16455710.386637932</v>
      </c>
      <c r="AJ714" s="19">
        <f t="shared" si="219"/>
        <v>2150644.6466930606</v>
      </c>
      <c r="AK714" s="20">
        <f t="shared" si="225"/>
        <v>0.13069290818580451</v>
      </c>
      <c r="AL714" s="17"/>
      <c r="AM714" s="17"/>
      <c r="AN714" s="17"/>
      <c r="AO714" s="17"/>
      <c r="AP714" s="28" t="str">
        <f t="shared" si="226"/>
        <v>20192</v>
      </c>
      <c r="AQ714" s="28" t="str">
        <f t="shared" si="227"/>
        <v>20192RMB</v>
      </c>
      <c r="AR714" s="206" t="str">
        <f t="shared" si="228"/>
        <v>YAMAHA_Mounter</v>
      </c>
      <c r="AS714" s="22">
        <f t="shared" si="229"/>
        <v>2</v>
      </c>
      <c r="AT714" s="24" t="str">
        <f t="shared" si="230"/>
        <v>0-3 months</v>
      </c>
    </row>
    <row r="715" spans="1:46" s="12" customFormat="1">
      <c r="A715" s="33" t="str">
        <f t="shared" si="220"/>
        <v>FY 17/18</v>
      </c>
      <c r="B715" s="152">
        <v>2018</v>
      </c>
      <c r="C715" s="152">
        <v>1</v>
      </c>
      <c r="D715" s="33" t="str">
        <f t="shared" si="221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2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17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14"/>
        <v>915000</v>
      </c>
      <c r="AA715" s="13">
        <v>1.23</v>
      </c>
      <c r="AB715" s="21">
        <f t="shared" si="215"/>
        <v>961923.07692307699</v>
      </c>
      <c r="AC715" s="130">
        <f t="shared" si="223"/>
        <v>132264.42307692309</v>
      </c>
      <c r="AD715" s="169">
        <v>0.13750000000000001</v>
      </c>
      <c r="AE715" s="154">
        <f t="shared" si="224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8"/>
        <v>29288201.603076916</v>
      </c>
      <c r="AJ715" s="19">
        <f t="shared" si="219"/>
        <v>3870159.1769246152</v>
      </c>
      <c r="AK715" s="20">
        <f t="shared" si="225"/>
        <v>0.13214055370740244</v>
      </c>
      <c r="AL715" s="17"/>
      <c r="AM715" s="17"/>
      <c r="AN715" s="17"/>
      <c r="AO715" s="17"/>
      <c r="AP715" s="28" t="str">
        <f t="shared" si="226"/>
        <v>20184</v>
      </c>
      <c r="AQ715" s="28" t="str">
        <f t="shared" si="227"/>
        <v>20184RMB</v>
      </c>
      <c r="AR715" s="206" t="str">
        <f t="shared" si="228"/>
        <v>YAMAHA_Mounter</v>
      </c>
      <c r="AS715" s="22">
        <f t="shared" si="229"/>
        <v>3</v>
      </c>
      <c r="AT715" s="24" t="str">
        <f t="shared" si="230"/>
        <v>0-3 months</v>
      </c>
    </row>
    <row r="716" spans="1:46" s="12" customFormat="1">
      <c r="A716" s="33" t="str">
        <f t="shared" si="220"/>
        <v>FY 22/23</v>
      </c>
      <c r="B716" s="152">
        <v>2022</v>
      </c>
      <c r="C716" s="152">
        <v>11</v>
      </c>
      <c r="D716" s="33" t="str">
        <f t="shared" si="221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2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17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14"/>
        <v>766000</v>
      </c>
      <c r="AA716" s="13">
        <v>1.0900000000000001</v>
      </c>
      <c r="AB716" s="21">
        <f t="shared" si="215"/>
        <v>738884.95575221255</v>
      </c>
      <c r="AC716" s="130">
        <f t="shared" si="223"/>
        <v>94060.054867256651</v>
      </c>
      <c r="AD716" s="169">
        <v>0.1273</v>
      </c>
      <c r="AE716" s="154">
        <f t="shared" si="224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8"/>
        <v>17329060.066371687</v>
      </c>
      <c r="AJ716" s="19">
        <f t="shared" si="219"/>
        <v>2472600.2142256643</v>
      </c>
      <c r="AK716" s="20">
        <f t="shared" si="225"/>
        <v>0.14268518919984163</v>
      </c>
      <c r="AL716" s="17"/>
      <c r="AM716" s="17"/>
      <c r="AN716" s="17"/>
      <c r="AO716" s="17"/>
      <c r="AP716" s="28" t="str">
        <f t="shared" si="226"/>
        <v>202212</v>
      </c>
      <c r="AQ716" s="28" t="str">
        <f t="shared" si="227"/>
        <v>202212RMB</v>
      </c>
      <c r="AR716" s="206" t="str">
        <f t="shared" si="228"/>
        <v>YAMAHA_Mounter</v>
      </c>
      <c r="AS716" s="22">
        <f t="shared" si="229"/>
        <v>1</v>
      </c>
      <c r="AT716" s="24" t="str">
        <f t="shared" si="230"/>
        <v>0-3 months</v>
      </c>
    </row>
    <row r="717" spans="1:46" s="12" customFormat="1">
      <c r="A717" s="33" t="str">
        <f t="shared" si="220"/>
        <v>FY 20/21</v>
      </c>
      <c r="B717" s="152">
        <v>2021</v>
      </c>
      <c r="C717" s="152">
        <v>1</v>
      </c>
      <c r="D717" s="33" t="str">
        <f t="shared" si="221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2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17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14"/>
        <v>589000</v>
      </c>
      <c r="AA717" s="13">
        <v>1.18</v>
      </c>
      <c r="AB717" s="21">
        <f t="shared" si="215"/>
        <v>615061.94690265495</v>
      </c>
      <c r="AC717" s="130">
        <f t="shared" si="223"/>
        <v>85924.153982300893</v>
      </c>
      <c r="AD717" s="169">
        <v>0.13969999999999999</v>
      </c>
      <c r="AE717" s="154">
        <f t="shared" si="224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8"/>
        <v>43684091.636631854</v>
      </c>
      <c r="AJ717" s="19">
        <f t="shared" si="219"/>
        <v>6483951.8242071122</v>
      </c>
      <c r="AK717" s="20">
        <f t="shared" si="225"/>
        <v>0.14842821680123736</v>
      </c>
      <c r="AL717" s="17"/>
      <c r="AM717" s="17"/>
      <c r="AN717" s="17"/>
      <c r="AO717" s="17"/>
      <c r="AP717" s="28" t="str">
        <f t="shared" si="226"/>
        <v>20214</v>
      </c>
      <c r="AQ717" s="28" t="str">
        <f t="shared" si="227"/>
        <v>20214RMB</v>
      </c>
      <c r="AR717" s="206" t="str">
        <f t="shared" si="228"/>
        <v>YAMAHA_Mounter</v>
      </c>
      <c r="AS717" s="22">
        <f t="shared" si="229"/>
        <v>3</v>
      </c>
      <c r="AT717" s="24" t="str">
        <f t="shared" si="230"/>
        <v>0-3 months</v>
      </c>
    </row>
    <row r="718" spans="1:46" s="12" customFormat="1">
      <c r="A718" s="33" t="str">
        <f t="shared" si="220"/>
        <v>FY 20/21</v>
      </c>
      <c r="B718" s="152">
        <v>2021</v>
      </c>
      <c r="C718" s="152">
        <v>1</v>
      </c>
      <c r="D718" s="33" t="str">
        <f t="shared" si="221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2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17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14"/>
        <v>589000</v>
      </c>
      <c r="AA718" s="13">
        <v>1.18</v>
      </c>
      <c r="AB718" s="21">
        <f t="shared" si="215"/>
        <v>615061.94690265495</v>
      </c>
      <c r="AC718" s="130">
        <f t="shared" si="223"/>
        <v>85924.153982300893</v>
      </c>
      <c r="AD718" s="169">
        <v>0.13969999999999999</v>
      </c>
      <c r="AE718" s="154">
        <f t="shared" si="224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8"/>
        <v>43684091.636631854</v>
      </c>
      <c r="AJ718" s="19">
        <f t="shared" si="219"/>
        <v>6483951.8242071122</v>
      </c>
      <c r="AK718" s="20">
        <f t="shared" si="225"/>
        <v>0.14842821680123736</v>
      </c>
      <c r="AL718" s="17"/>
      <c r="AM718" s="17"/>
      <c r="AN718" s="17"/>
      <c r="AO718" s="17"/>
      <c r="AP718" s="28" t="str">
        <f t="shared" si="226"/>
        <v>20214</v>
      </c>
      <c r="AQ718" s="28" t="str">
        <f t="shared" si="227"/>
        <v>20214RMB</v>
      </c>
      <c r="AR718" s="206" t="str">
        <f t="shared" si="228"/>
        <v>YAMAHA_Mounter</v>
      </c>
      <c r="AS718" s="22">
        <f t="shared" si="229"/>
        <v>3</v>
      </c>
      <c r="AT718" s="24" t="str">
        <f t="shared" si="230"/>
        <v>0-3 months</v>
      </c>
    </row>
    <row r="719" spans="1:46" s="12" customFormat="1">
      <c r="A719" s="33" t="str">
        <f t="shared" si="220"/>
        <v>FY 20/21</v>
      </c>
      <c r="B719" s="152">
        <v>2020</v>
      </c>
      <c r="C719" s="152">
        <v>9</v>
      </c>
      <c r="D719" s="33" t="str">
        <f t="shared" si="221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2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17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14"/>
        <v>584000</v>
      </c>
      <c r="AA719" s="13">
        <v>1.175</v>
      </c>
      <c r="AB719" s="21">
        <f t="shared" si="215"/>
        <v>607256.63716814166</v>
      </c>
      <c r="AC719" s="130">
        <f t="shared" si="223"/>
        <v>68862.90265486727</v>
      </c>
      <c r="AD719" s="169">
        <v>0.1134</v>
      </c>
      <c r="AE719" s="154">
        <f t="shared" si="224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8"/>
        <v>48763143.537654862</v>
      </c>
      <c r="AJ719" s="19">
        <f t="shared" si="219"/>
        <v>5924029.9702154724</v>
      </c>
      <c r="AK719" s="20">
        <f t="shared" si="225"/>
        <v>0.1214858095774925</v>
      </c>
      <c r="AL719" s="17"/>
      <c r="AM719" s="17"/>
      <c r="AN719" s="17"/>
      <c r="AO719" s="17"/>
      <c r="AP719" s="28" t="str">
        <f t="shared" si="226"/>
        <v>202012</v>
      </c>
      <c r="AQ719" s="28" t="str">
        <f t="shared" si="227"/>
        <v>202012RMB</v>
      </c>
      <c r="AR719" s="206" t="str">
        <f t="shared" si="228"/>
        <v>YAMAHA_Mounter</v>
      </c>
      <c r="AS719" s="22">
        <f t="shared" si="229"/>
        <v>3</v>
      </c>
      <c r="AT719" s="24" t="str">
        <f t="shared" si="230"/>
        <v>0-3 months</v>
      </c>
    </row>
    <row r="720" spans="1:46" s="12" customFormat="1">
      <c r="A720" s="33" t="str">
        <f t="shared" si="220"/>
        <v>FY 20/21</v>
      </c>
      <c r="B720" s="152">
        <v>2020</v>
      </c>
      <c r="C720" s="152">
        <v>9</v>
      </c>
      <c r="D720" s="33" t="str">
        <f t="shared" si="221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2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17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14"/>
        <v>584000</v>
      </c>
      <c r="AA720" s="13">
        <v>1.175</v>
      </c>
      <c r="AB720" s="21">
        <f t="shared" si="215"/>
        <v>607256.63716814166</v>
      </c>
      <c r="AC720" s="130">
        <f t="shared" si="223"/>
        <v>68862.90265486727</v>
      </c>
      <c r="AD720" s="169">
        <v>0.1134</v>
      </c>
      <c r="AE720" s="154">
        <f t="shared" si="224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8"/>
        <v>48763143.537654862</v>
      </c>
      <c r="AJ720" s="19">
        <f t="shared" si="219"/>
        <v>5924029.9702154724</v>
      </c>
      <c r="AK720" s="20">
        <f t="shared" si="225"/>
        <v>0.1214858095774925</v>
      </c>
      <c r="AL720" s="17"/>
      <c r="AM720" s="17"/>
      <c r="AN720" s="17"/>
      <c r="AO720" s="17"/>
      <c r="AP720" s="28" t="str">
        <f t="shared" si="226"/>
        <v>202012</v>
      </c>
      <c r="AQ720" s="28" t="str">
        <f t="shared" si="227"/>
        <v>202012RMB</v>
      </c>
      <c r="AR720" s="206" t="str">
        <f t="shared" si="228"/>
        <v>YAMAHA_Mounter</v>
      </c>
      <c r="AS720" s="22">
        <f t="shared" si="229"/>
        <v>3</v>
      </c>
      <c r="AT720" s="24" t="str">
        <f t="shared" si="230"/>
        <v>0-3 months</v>
      </c>
    </row>
    <row r="721" spans="1:46" s="12" customFormat="1" ht="42">
      <c r="A721" s="33" t="str">
        <f t="shared" si="220"/>
        <v/>
      </c>
      <c r="B721" s="23"/>
      <c r="C721" s="23"/>
      <c r="D721" s="202" t="str">
        <f t="shared" si="221"/>
        <v/>
      </c>
      <c r="E721" s="33" t="str">
        <f>IF(G721="Cancel","Cancel",IF(G721="TBA","TBA",IFERROR(IF(I721="Q4","FY "&amp;RIGHT(F721,2)-1&amp;"/"&amp;RIGHT(F721,2),"FY "&amp;RIGHT(F721,2)&amp;"/"&amp;RIGHT(F721,2)+1),"")))</f>
        <v>FY 24/25</v>
      </c>
      <c r="F721" s="23">
        <v>2024</v>
      </c>
      <c r="G721" s="23">
        <v>5</v>
      </c>
      <c r="H721" s="29"/>
      <c r="I721" s="202" t="str">
        <f t="shared" si="222"/>
        <v>Q1</v>
      </c>
      <c r="J721" s="188"/>
      <c r="K721" s="29"/>
      <c r="L721" s="17" t="s">
        <v>44</v>
      </c>
      <c r="M721" s="22" t="s">
        <v>44</v>
      </c>
      <c r="N721" s="22">
        <v>0</v>
      </c>
      <c r="O721" s="22"/>
      <c r="P721" s="33" t="str">
        <f t="shared" si="217"/>
        <v>C66 SERVICE/OTHERS</v>
      </c>
      <c r="Q721" s="22" t="s">
        <v>46</v>
      </c>
      <c r="R721" s="22" t="s">
        <v>46</v>
      </c>
      <c r="S721" s="22" t="s">
        <v>52</v>
      </c>
      <c r="T721" s="22"/>
      <c r="U721" s="22"/>
      <c r="V721" s="22"/>
      <c r="W721" s="22"/>
      <c r="X721" s="104"/>
      <c r="Y721" s="195" t="str">
        <f>IF(W721="","",IF(W721="RMB","1.13", "1"))</f>
        <v/>
      </c>
      <c r="Z721" s="196" t="str">
        <f t="shared" si="214"/>
        <v/>
      </c>
      <c r="AA721" s="22"/>
      <c r="AB721" s="197">
        <v>46000</v>
      </c>
      <c r="AC721" s="198">
        <f t="shared" si="223"/>
        <v>13800</v>
      </c>
      <c r="AD721" s="162">
        <v>0.3</v>
      </c>
      <c r="AE721" s="199">
        <f t="shared" si="224"/>
        <v>0</v>
      </c>
      <c r="AF721" s="199" t="str">
        <f>IF(AND(COUNTIFS($J$18:J721,J721)=1,AE721=1),1,"")</f>
        <v/>
      </c>
      <c r="AG721" s="199" t="str">
        <f>IF(C721="","",IF(AND(COUNTIFS($J$18:J721,J721)=1,C721&lt;&gt;""),1,""))</f>
        <v/>
      </c>
      <c r="AH721" s="199" t="str">
        <f>IF(G721="","",IF(AND(COUNTIFS($J$18:J721,J721)=1,G721&lt;&gt;""),1,""))</f>
        <v/>
      </c>
      <c r="AI721" s="200">
        <f t="shared" si="218"/>
        <v>11472879.764601771</v>
      </c>
      <c r="AJ721" s="200">
        <f t="shared" si="219"/>
        <v>2038344.1716106194</v>
      </c>
      <c r="AK721" s="201">
        <f t="shared" si="225"/>
        <v>0.17766630640544948</v>
      </c>
      <c r="AL721" s="24"/>
      <c r="AM721" s="24"/>
      <c r="AN721" s="24"/>
      <c r="AO721" s="24"/>
      <c r="AP721" s="105" t="str">
        <f t="shared" si="226"/>
        <v>20245</v>
      </c>
      <c r="AQ721" s="28" t="str">
        <f t="shared" si="227"/>
        <v/>
      </c>
      <c r="AR721" s="206" t="str">
        <f t="shared" si="228"/>
        <v>C66 SERVICE</v>
      </c>
      <c r="AS721" s="22" t="str">
        <f t="shared" si="229"/>
        <v/>
      </c>
      <c r="AT721" s="24" t="str">
        <f t="shared" si="230"/>
        <v/>
      </c>
    </row>
    <row r="722" spans="1:46" s="12" customFormat="1">
      <c r="A722" s="33" t="str">
        <f t="shared" si="220"/>
        <v>FY 18/19</v>
      </c>
      <c r="B722" s="152">
        <v>2018</v>
      </c>
      <c r="C722" s="152">
        <v>5</v>
      </c>
      <c r="D722" s="33" t="str">
        <f t="shared" si="221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2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17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14"/>
        <v>850000</v>
      </c>
      <c r="AA722" s="13">
        <v>1.1499999999999999</v>
      </c>
      <c r="AB722" s="21">
        <f t="shared" ref="AB722:AB747" si="231">IF(AND(R722&lt;&gt;"C66",R722&lt;&gt;""),Z722/Y722*AA722,"")</f>
        <v>842672.41379310342</v>
      </c>
      <c r="AC722" s="130">
        <f t="shared" si="223"/>
        <v>76598.922413793101</v>
      </c>
      <c r="AD722" s="169">
        <v>9.0899999999999995E-2</v>
      </c>
      <c r="AE722" s="154">
        <f t="shared" si="224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8"/>
        <v>26754147.763010349</v>
      </c>
      <c r="AJ722" s="19">
        <f t="shared" si="219"/>
        <v>3429137.9965357962</v>
      </c>
      <c r="AK722" s="20">
        <f t="shared" si="225"/>
        <v>0.12817220069617921</v>
      </c>
      <c r="AL722" s="17"/>
      <c r="AM722" s="17"/>
      <c r="AN722" s="17"/>
      <c r="AO722" s="17"/>
      <c r="AP722" s="28" t="str">
        <f t="shared" si="226"/>
        <v>20188</v>
      </c>
      <c r="AQ722" s="28" t="str">
        <f t="shared" si="227"/>
        <v>20188RMB</v>
      </c>
      <c r="AR722" s="206" t="str">
        <f t="shared" si="228"/>
        <v>YAMAHA_Mounter</v>
      </c>
      <c r="AS722" s="22">
        <f t="shared" si="229"/>
        <v>3</v>
      </c>
      <c r="AT722" s="24" t="str">
        <f t="shared" si="230"/>
        <v>0-3 months</v>
      </c>
    </row>
    <row r="723" spans="1:46" s="12" customFormat="1">
      <c r="A723" s="33" t="str">
        <f t="shared" si="220"/>
        <v>FY 18/19</v>
      </c>
      <c r="B723" s="152">
        <v>2018</v>
      </c>
      <c r="C723" s="152">
        <v>5</v>
      </c>
      <c r="D723" s="33" t="str">
        <f t="shared" si="221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2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17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14"/>
        <v>850000</v>
      </c>
      <c r="AA723" s="13">
        <v>1.1499999999999999</v>
      </c>
      <c r="AB723" s="21">
        <f t="shared" si="231"/>
        <v>842672.41379310342</v>
      </c>
      <c r="AC723" s="130">
        <f t="shared" si="223"/>
        <v>76598.922413793101</v>
      </c>
      <c r="AD723" s="169">
        <v>9.0899999999999995E-2</v>
      </c>
      <c r="AE723" s="154">
        <f t="shared" si="224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8"/>
        <v>26754147.763010349</v>
      </c>
      <c r="AJ723" s="19">
        <f t="shared" si="219"/>
        <v>3429137.9965357962</v>
      </c>
      <c r="AK723" s="20">
        <f t="shared" si="225"/>
        <v>0.12817220069617921</v>
      </c>
      <c r="AL723" s="17"/>
      <c r="AM723" s="17"/>
      <c r="AN723" s="17"/>
      <c r="AO723" s="17"/>
      <c r="AP723" s="28" t="str">
        <f t="shared" si="226"/>
        <v>20188</v>
      </c>
      <c r="AQ723" s="28" t="str">
        <f t="shared" si="227"/>
        <v>20188RMB</v>
      </c>
      <c r="AR723" s="206" t="str">
        <f t="shared" si="228"/>
        <v>YAMAHA_Mounter</v>
      </c>
      <c r="AS723" s="22">
        <f t="shared" si="229"/>
        <v>3</v>
      </c>
      <c r="AT723" s="24" t="str">
        <f t="shared" si="230"/>
        <v>0-3 months</v>
      </c>
    </row>
    <row r="724" spans="1:46" s="12" customFormat="1">
      <c r="A724" s="33" t="str">
        <f t="shared" si="220"/>
        <v>FY 18/19</v>
      </c>
      <c r="B724" s="152">
        <v>2018</v>
      </c>
      <c r="C724" s="152">
        <v>5</v>
      </c>
      <c r="D724" s="33" t="str">
        <f t="shared" si="221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2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17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14"/>
        <v>780000</v>
      </c>
      <c r="AA724" s="13">
        <v>1.1499999999999999</v>
      </c>
      <c r="AB724" s="21">
        <f t="shared" si="231"/>
        <v>773275.86206896557</v>
      </c>
      <c r="AC724" s="130">
        <f t="shared" si="223"/>
        <v>70290.775862068971</v>
      </c>
      <c r="AD724" s="169">
        <v>9.0899999999999995E-2</v>
      </c>
      <c r="AE724" s="154">
        <f t="shared" si="224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8"/>
        <v>26754147.763010349</v>
      </c>
      <c r="AJ724" s="19">
        <f t="shared" si="219"/>
        <v>3429137.9965357962</v>
      </c>
      <c r="AK724" s="20">
        <f t="shared" si="225"/>
        <v>0.12817220069617921</v>
      </c>
      <c r="AL724" s="17"/>
      <c r="AM724" s="17"/>
      <c r="AN724" s="17"/>
      <c r="AO724" s="17"/>
      <c r="AP724" s="28" t="str">
        <f t="shared" si="226"/>
        <v>20188</v>
      </c>
      <c r="AQ724" s="28" t="str">
        <f t="shared" si="227"/>
        <v>20188RMB</v>
      </c>
      <c r="AR724" s="206" t="str">
        <f t="shared" si="228"/>
        <v>YAMAHA_Mounter</v>
      </c>
      <c r="AS724" s="22">
        <f t="shared" si="229"/>
        <v>3</v>
      </c>
      <c r="AT724" s="24" t="str">
        <f t="shared" si="230"/>
        <v>0-3 months</v>
      </c>
    </row>
    <row r="725" spans="1:46" s="12" customFormat="1">
      <c r="A725" s="33" t="str">
        <f t="shared" si="220"/>
        <v>FY 21/22</v>
      </c>
      <c r="B725" s="152">
        <v>2021</v>
      </c>
      <c r="C725" s="152">
        <v>5</v>
      </c>
      <c r="D725" s="33" t="str">
        <f t="shared" si="221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2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17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2">IF(W725="RMB","1.13", "1")</f>
        <v>1</v>
      </c>
      <c r="Z725" s="18">
        <f t="shared" si="214"/>
        <v>9000000</v>
      </c>
      <c r="AA725" s="13">
        <v>7.2099999999999997E-2</v>
      </c>
      <c r="AB725" s="21">
        <f t="shared" si="231"/>
        <v>648900</v>
      </c>
      <c r="AC725" s="130">
        <f t="shared" si="223"/>
        <v>70340.759999999995</v>
      </c>
      <c r="AD725" s="169">
        <v>0.1084</v>
      </c>
      <c r="AE725" s="154">
        <f t="shared" si="224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8"/>
        <v>54700260.692079648</v>
      </c>
      <c r="AJ725" s="19">
        <f t="shared" si="219"/>
        <v>7482899.5749188727</v>
      </c>
      <c r="AK725" s="20">
        <f t="shared" si="225"/>
        <v>0.13679824337660537</v>
      </c>
      <c r="AL725" s="17"/>
      <c r="AM725" s="17"/>
      <c r="AN725" s="17"/>
      <c r="AO725" s="17"/>
      <c r="AP725" s="28" t="str">
        <f t="shared" si="226"/>
        <v>20216</v>
      </c>
      <c r="AQ725" s="28" t="str">
        <f t="shared" si="227"/>
        <v>20216JPY</v>
      </c>
      <c r="AR725" s="206" t="str">
        <f t="shared" si="228"/>
        <v>YAMAHA_Mounter</v>
      </c>
      <c r="AS725" s="22">
        <f t="shared" si="229"/>
        <v>1</v>
      </c>
      <c r="AT725" s="24" t="str">
        <f t="shared" si="230"/>
        <v>0-3 months</v>
      </c>
    </row>
    <row r="726" spans="1:46" s="12" customFormat="1">
      <c r="A726" s="33" t="str">
        <f t="shared" si="220"/>
        <v>FY 21/22</v>
      </c>
      <c r="B726" s="152">
        <v>2021</v>
      </c>
      <c r="C726" s="152">
        <v>5</v>
      </c>
      <c r="D726" s="33" t="str">
        <f t="shared" si="221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2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17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2"/>
        <v>1</v>
      </c>
      <c r="Z726" s="18">
        <f t="shared" si="214"/>
        <v>12000000</v>
      </c>
      <c r="AA726" s="13">
        <v>7.2400000000000006E-2</v>
      </c>
      <c r="AB726" s="21">
        <f t="shared" si="231"/>
        <v>868800.00000000012</v>
      </c>
      <c r="AC726" s="130">
        <f t="shared" si="223"/>
        <v>96349.920000000013</v>
      </c>
      <c r="AD726" s="169">
        <v>0.1109</v>
      </c>
      <c r="AE726" s="154">
        <f t="shared" si="224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8"/>
        <v>47458373.787610628</v>
      </c>
      <c r="AJ726" s="19">
        <f t="shared" si="219"/>
        <v>7436880.1411522133</v>
      </c>
      <c r="AK726" s="20">
        <f t="shared" si="225"/>
        <v>0.15670322321692506</v>
      </c>
      <c r="AL726" s="17"/>
      <c r="AM726" s="17"/>
      <c r="AN726" s="17"/>
      <c r="AO726" s="17"/>
      <c r="AP726" s="28" t="str">
        <f t="shared" si="226"/>
        <v>20218</v>
      </c>
      <c r="AQ726" s="28" t="str">
        <f t="shared" si="227"/>
        <v>20218JPY</v>
      </c>
      <c r="AR726" s="206" t="str">
        <f t="shared" si="228"/>
        <v>YAMAHA_Mounter</v>
      </c>
      <c r="AS726" s="22">
        <f t="shared" si="229"/>
        <v>3</v>
      </c>
      <c r="AT726" s="24" t="str">
        <f t="shared" si="230"/>
        <v>0-3 months</v>
      </c>
    </row>
    <row r="727" spans="1:46" s="12" customFormat="1">
      <c r="A727" s="33" t="str">
        <f t="shared" si="220"/>
        <v>FY 21/22</v>
      </c>
      <c r="B727" s="152">
        <v>2021</v>
      </c>
      <c r="C727" s="152">
        <v>5</v>
      </c>
      <c r="D727" s="33" t="str">
        <f t="shared" si="221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2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17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2"/>
        <v>1</v>
      </c>
      <c r="Z727" s="18">
        <f t="shared" si="214"/>
        <v>9000000</v>
      </c>
      <c r="AA727" s="13">
        <v>6.9199999999999998E-2</v>
      </c>
      <c r="AB727" s="21">
        <f t="shared" si="231"/>
        <v>622800</v>
      </c>
      <c r="AC727" s="130">
        <f t="shared" si="223"/>
        <v>68632.56</v>
      </c>
      <c r="AD727" s="169">
        <v>0.11020000000000001</v>
      </c>
      <c r="AE727" s="154">
        <f t="shared" si="224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8"/>
        <v>28726768.133805312</v>
      </c>
      <c r="AJ727" s="19">
        <f t="shared" si="219"/>
        <v>3853638.1988864429</v>
      </c>
      <c r="AK727" s="20">
        <f t="shared" si="225"/>
        <v>0.1341479898099476</v>
      </c>
      <c r="AL727" s="17"/>
      <c r="AM727" s="17"/>
      <c r="AN727" s="17"/>
      <c r="AO727" s="17"/>
      <c r="AP727" s="28" t="str">
        <f t="shared" si="226"/>
        <v>20223</v>
      </c>
      <c r="AQ727" s="28" t="str">
        <f t="shared" si="227"/>
        <v>20223JPY</v>
      </c>
      <c r="AR727" s="206" t="str">
        <f t="shared" si="228"/>
        <v>YAMAHA_Mounter</v>
      </c>
      <c r="AS727" s="22">
        <f t="shared" si="229"/>
        <v>10</v>
      </c>
      <c r="AT727" s="24" t="str">
        <f t="shared" si="230"/>
        <v>&gt; 6 months</v>
      </c>
    </row>
    <row r="728" spans="1:46" s="12" customFormat="1">
      <c r="A728" s="33" t="str">
        <f t="shared" si="220"/>
        <v>FY 21/22</v>
      </c>
      <c r="B728" s="152">
        <v>2021</v>
      </c>
      <c r="C728" s="152">
        <v>5</v>
      </c>
      <c r="D728" s="33" t="str">
        <f t="shared" si="221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2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17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2"/>
        <v>1</v>
      </c>
      <c r="Z728" s="18">
        <f t="shared" si="214"/>
        <v>9000000</v>
      </c>
      <c r="AA728" s="13">
        <v>6.9199999999999998E-2</v>
      </c>
      <c r="AB728" s="21">
        <f t="shared" si="231"/>
        <v>622800</v>
      </c>
      <c r="AC728" s="130">
        <f t="shared" si="223"/>
        <v>52377.479999999996</v>
      </c>
      <c r="AD728" s="169">
        <v>8.4099999999999994E-2</v>
      </c>
      <c r="AE728" s="154">
        <f t="shared" si="224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8"/>
        <v>28726768.133805312</v>
      </c>
      <c r="AJ728" s="19">
        <f t="shared" si="219"/>
        <v>3853638.1988864429</v>
      </c>
      <c r="AK728" s="20">
        <f t="shared" si="225"/>
        <v>0.1341479898099476</v>
      </c>
      <c r="AL728" s="17"/>
      <c r="AM728" s="17"/>
      <c r="AN728" s="17"/>
      <c r="AO728" s="17"/>
      <c r="AP728" s="28" t="str">
        <f t="shared" si="226"/>
        <v>20223</v>
      </c>
      <c r="AQ728" s="28" t="str">
        <f t="shared" si="227"/>
        <v>20223JPY</v>
      </c>
      <c r="AR728" s="206" t="str">
        <f t="shared" si="228"/>
        <v>YAMAHA_Mounter</v>
      </c>
      <c r="AS728" s="22">
        <f t="shared" si="229"/>
        <v>10</v>
      </c>
      <c r="AT728" s="24" t="str">
        <f t="shared" si="230"/>
        <v>&gt; 6 months</v>
      </c>
    </row>
    <row r="729" spans="1:46" s="12" customFormat="1">
      <c r="A729" s="33" t="str">
        <f t="shared" si="220"/>
        <v>FY 21/22</v>
      </c>
      <c r="B729" s="152">
        <v>2021</v>
      </c>
      <c r="C729" s="152">
        <v>5</v>
      </c>
      <c r="D729" s="33" t="str">
        <f t="shared" si="221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2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17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2"/>
        <v>1</v>
      </c>
      <c r="Z729" s="18">
        <f t="shared" si="214"/>
        <v>12000000</v>
      </c>
      <c r="AA729" s="13">
        <v>6.54E-2</v>
      </c>
      <c r="AB729" s="21">
        <f t="shared" si="231"/>
        <v>784800</v>
      </c>
      <c r="AC729" s="130">
        <f t="shared" si="223"/>
        <v>66001.679999999993</v>
      </c>
      <c r="AD729" s="169">
        <v>8.4099999999999994E-2</v>
      </c>
      <c r="AE729" s="154">
        <f t="shared" si="224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8"/>
        <v>46600814.041769907</v>
      </c>
      <c r="AJ729" s="19">
        <f t="shared" si="219"/>
        <v>5956366.3435927071</v>
      </c>
      <c r="AK729" s="20">
        <f t="shared" si="225"/>
        <v>0.1278167874546958</v>
      </c>
      <c r="AL729" s="17"/>
      <c r="AM729" s="17"/>
      <c r="AN729" s="17"/>
      <c r="AO729" s="17"/>
      <c r="AP729" s="28" t="str">
        <f t="shared" si="226"/>
        <v>20224</v>
      </c>
      <c r="AQ729" s="28" t="str">
        <f t="shared" si="227"/>
        <v>20224JPY</v>
      </c>
      <c r="AR729" s="206" t="str">
        <f t="shared" si="228"/>
        <v>YAMAHA_Mounter</v>
      </c>
      <c r="AS729" s="22">
        <f t="shared" si="229"/>
        <v>11</v>
      </c>
      <c r="AT729" s="24" t="str">
        <f t="shared" si="230"/>
        <v>&gt; 6 months</v>
      </c>
    </row>
    <row r="730" spans="1:46" s="12" customFormat="1">
      <c r="A730" s="33" t="str">
        <f t="shared" si="220"/>
        <v>FY 21/22</v>
      </c>
      <c r="B730" s="152">
        <v>2021</v>
      </c>
      <c r="C730" s="152">
        <v>5</v>
      </c>
      <c r="D730" s="33" t="str">
        <f t="shared" si="221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2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17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2"/>
        <v>1</v>
      </c>
      <c r="Z730" s="18">
        <f t="shared" si="214"/>
        <v>12000000</v>
      </c>
      <c r="AA730" s="13">
        <v>6.54E-2</v>
      </c>
      <c r="AB730" s="21">
        <f t="shared" si="231"/>
        <v>784800</v>
      </c>
      <c r="AC730" s="130">
        <f t="shared" si="223"/>
        <v>86484.96</v>
      </c>
      <c r="AD730" s="169">
        <v>0.11020000000000001</v>
      </c>
      <c r="AE730" s="154">
        <f t="shared" si="224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8"/>
        <v>46600814.041769907</v>
      </c>
      <c r="AJ730" s="19">
        <f t="shared" si="219"/>
        <v>5956366.3435927071</v>
      </c>
      <c r="AK730" s="20">
        <f t="shared" si="225"/>
        <v>0.1278167874546958</v>
      </c>
      <c r="AL730" s="17"/>
      <c r="AM730" s="17"/>
      <c r="AN730" s="17"/>
      <c r="AO730" s="17"/>
      <c r="AP730" s="28" t="str">
        <f t="shared" si="226"/>
        <v>20224</v>
      </c>
      <c r="AQ730" s="28" t="str">
        <f t="shared" si="227"/>
        <v>20224JPY</v>
      </c>
      <c r="AR730" s="206" t="str">
        <f t="shared" si="228"/>
        <v>YAMAHA_Mounter</v>
      </c>
      <c r="AS730" s="22">
        <f t="shared" si="229"/>
        <v>11</v>
      </c>
      <c r="AT730" s="24" t="str">
        <f t="shared" si="230"/>
        <v>&gt; 6 months</v>
      </c>
    </row>
    <row r="731" spans="1:46" s="12" customFormat="1">
      <c r="A731" s="33" t="str">
        <f t="shared" si="220"/>
        <v>FY 18/19</v>
      </c>
      <c r="B731" s="152">
        <v>2018</v>
      </c>
      <c r="C731" s="152">
        <v>4</v>
      </c>
      <c r="D731" s="33" t="str">
        <f t="shared" si="221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2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17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14"/>
        <v>650000</v>
      </c>
      <c r="AA731" s="13">
        <v>1.23</v>
      </c>
      <c r="AB731" s="21">
        <f t="shared" si="231"/>
        <v>689224.13793103455</v>
      </c>
      <c r="AC731" s="130">
        <f t="shared" si="223"/>
        <v>110275.86206896554</v>
      </c>
      <c r="AD731" s="169">
        <v>0.16</v>
      </c>
      <c r="AE731" s="154">
        <f t="shared" si="224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8"/>
        <v>34109166.105589926</v>
      </c>
      <c r="AJ731" s="19">
        <f t="shared" si="219"/>
        <v>4642032.7199573703</v>
      </c>
      <c r="AK731" s="20">
        <f t="shared" si="225"/>
        <v>0.13609340977692849</v>
      </c>
      <c r="AL731" s="17"/>
      <c r="AM731" s="17"/>
      <c r="AN731" s="17"/>
      <c r="AO731" s="17"/>
      <c r="AP731" s="28" t="str">
        <f t="shared" si="226"/>
        <v>20185</v>
      </c>
      <c r="AQ731" s="28" t="str">
        <f t="shared" si="227"/>
        <v>20185RMB</v>
      </c>
      <c r="AR731" s="206" t="str">
        <f t="shared" si="228"/>
        <v>YAMAHA_Mounter</v>
      </c>
      <c r="AS731" s="22">
        <f t="shared" si="229"/>
        <v>1</v>
      </c>
      <c r="AT731" s="24" t="str">
        <f t="shared" si="230"/>
        <v>0-3 months</v>
      </c>
    </row>
    <row r="732" spans="1:46" s="12" customFormat="1">
      <c r="A732" s="33" t="str">
        <f t="shared" si="220"/>
        <v>FY 20/21</v>
      </c>
      <c r="B732" s="152">
        <v>2021</v>
      </c>
      <c r="C732" s="152">
        <v>1</v>
      </c>
      <c r="D732" s="33" t="str">
        <f t="shared" si="221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2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17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14"/>
        <v>12640000</v>
      </c>
      <c r="AA732" s="13">
        <v>7.5700000000000003E-2</v>
      </c>
      <c r="AB732" s="21">
        <f t="shared" si="231"/>
        <v>956848</v>
      </c>
      <c r="AC732" s="130">
        <f t="shared" si="223"/>
        <v>109846.1504</v>
      </c>
      <c r="AD732" s="169">
        <v>0.1148</v>
      </c>
      <c r="AE732" s="154">
        <f t="shared" si="224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8"/>
        <v>31097187.02948761</v>
      </c>
      <c r="AJ732" s="19">
        <f t="shared" si="219"/>
        <v>3892353.6644401965</v>
      </c>
      <c r="AK732" s="20">
        <f t="shared" si="225"/>
        <v>0.12516738767237401</v>
      </c>
      <c r="AL732" s="17"/>
      <c r="AM732" s="17"/>
      <c r="AN732" s="17"/>
      <c r="AO732" s="17"/>
      <c r="AP732" s="28" t="str">
        <f t="shared" si="226"/>
        <v>20212</v>
      </c>
      <c r="AQ732" s="28" t="str">
        <f t="shared" si="227"/>
        <v>20212JPY</v>
      </c>
      <c r="AR732" s="206" t="str">
        <f t="shared" si="228"/>
        <v>YAMAHA_Mounter</v>
      </c>
      <c r="AS732" s="22">
        <f t="shared" si="229"/>
        <v>1</v>
      </c>
      <c r="AT732" s="24" t="str">
        <f t="shared" si="230"/>
        <v>0-3 months</v>
      </c>
    </row>
    <row r="733" spans="1:46" s="12" customFormat="1">
      <c r="A733" s="33" t="str">
        <f t="shared" si="220"/>
        <v>FY 20/21</v>
      </c>
      <c r="B733" s="152">
        <v>2020</v>
      </c>
      <c r="C733" s="152">
        <v>7</v>
      </c>
      <c r="D733" s="33" t="str">
        <f t="shared" si="221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2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17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14"/>
        <v>25000000</v>
      </c>
      <c r="AA733" s="13">
        <v>7.4499999999999997E-2</v>
      </c>
      <c r="AB733" s="21">
        <f t="shared" si="231"/>
        <v>1862500</v>
      </c>
      <c r="AC733" s="130">
        <f t="shared" si="223"/>
        <v>223500</v>
      </c>
      <c r="AD733" s="169">
        <v>0.12</v>
      </c>
      <c r="AE733" s="154">
        <f t="shared" si="224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8"/>
        <v>477651199.57437885</v>
      </c>
      <c r="AJ733" s="19">
        <f t="shared" si="219"/>
        <v>56918800.518691957</v>
      </c>
      <c r="AK733" s="20">
        <f t="shared" si="225"/>
        <v>0.11916394341605475</v>
      </c>
      <c r="AL733" s="17"/>
      <c r="AM733" s="17"/>
      <c r="AN733" s="17"/>
      <c r="AO733" s="17"/>
      <c r="AP733" s="28" t="str">
        <f t="shared" si="226"/>
        <v>CancelCancel</v>
      </c>
      <c r="AQ733" s="28" t="str">
        <f t="shared" si="227"/>
        <v>CancelCancelJPY</v>
      </c>
      <c r="AR733" s="206" t="str">
        <f t="shared" si="228"/>
        <v>YAMAHA_Mounter</v>
      </c>
      <c r="AS733" s="22" t="str">
        <f t="shared" si="229"/>
        <v/>
      </c>
      <c r="AT733" s="24" t="str">
        <f t="shared" si="230"/>
        <v/>
      </c>
    </row>
    <row r="734" spans="1:46" s="12" customFormat="1">
      <c r="A734" s="33" t="str">
        <f t="shared" si="220"/>
        <v>FY 20/21</v>
      </c>
      <c r="B734" s="152">
        <v>2020</v>
      </c>
      <c r="C734" s="152">
        <v>7</v>
      </c>
      <c r="D734" s="33" t="str">
        <f t="shared" si="221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2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17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14"/>
        <v>17800000</v>
      </c>
      <c r="AA734" s="13">
        <v>7.4499999999999997E-2</v>
      </c>
      <c r="AB734" s="21">
        <f t="shared" si="231"/>
        <v>1326100</v>
      </c>
      <c r="AC734" s="130">
        <f t="shared" si="223"/>
        <v>159132</v>
      </c>
      <c r="AD734" s="169">
        <v>0.12</v>
      </c>
      <c r="AE734" s="154">
        <f t="shared" si="224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8"/>
        <v>477651199.57437885</v>
      </c>
      <c r="AJ734" s="19">
        <f t="shared" si="219"/>
        <v>56918800.518691957</v>
      </c>
      <c r="AK734" s="20">
        <f t="shared" si="225"/>
        <v>0.11916394341605475</v>
      </c>
      <c r="AL734" s="17"/>
      <c r="AM734" s="17"/>
      <c r="AN734" s="17"/>
      <c r="AO734" s="17"/>
      <c r="AP734" s="28" t="str">
        <f t="shared" si="226"/>
        <v>CancelCancel</v>
      </c>
      <c r="AQ734" s="28" t="str">
        <f t="shared" si="227"/>
        <v>CancelCancelJPY</v>
      </c>
      <c r="AR734" s="206" t="str">
        <f t="shared" si="228"/>
        <v>YAMAHA_Mounter</v>
      </c>
      <c r="AS734" s="22" t="str">
        <f t="shared" si="229"/>
        <v/>
      </c>
      <c r="AT734" s="24" t="str">
        <f t="shared" si="230"/>
        <v/>
      </c>
    </row>
    <row r="735" spans="1:46" s="12" customFormat="1">
      <c r="A735" s="33" t="str">
        <f t="shared" si="220"/>
        <v>FY 20/21</v>
      </c>
      <c r="B735" s="152">
        <v>2021</v>
      </c>
      <c r="C735" s="152">
        <v>3</v>
      </c>
      <c r="D735" s="33" t="str">
        <f t="shared" si="221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2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17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3">IF(W735="RMB","1.13", "1")</f>
        <v>1</v>
      </c>
      <c r="Z735" s="18">
        <f t="shared" si="214"/>
        <v>25000000</v>
      </c>
      <c r="AA735" s="13">
        <v>7.17E-2</v>
      </c>
      <c r="AB735" s="21">
        <f t="shared" si="231"/>
        <v>1792500</v>
      </c>
      <c r="AC735" s="130">
        <f t="shared" si="223"/>
        <v>412633.5</v>
      </c>
      <c r="AD735" s="169">
        <v>0.23019999999999999</v>
      </c>
      <c r="AE735" s="154">
        <f t="shared" si="224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8"/>
        <v>43684091.636631854</v>
      </c>
      <c r="AJ735" s="19">
        <f t="shared" si="219"/>
        <v>6483951.8242071122</v>
      </c>
      <c r="AK735" s="20">
        <f t="shared" si="225"/>
        <v>0.14842821680123736</v>
      </c>
      <c r="AL735" s="17"/>
      <c r="AM735" s="17"/>
      <c r="AN735" s="17"/>
      <c r="AO735" s="17"/>
      <c r="AP735" s="28" t="str">
        <f t="shared" si="226"/>
        <v>20214</v>
      </c>
      <c r="AQ735" s="28" t="str">
        <f t="shared" si="227"/>
        <v>20214JPY</v>
      </c>
      <c r="AR735" s="206" t="str">
        <f t="shared" si="228"/>
        <v>YAMAHA_Mounter</v>
      </c>
      <c r="AS735" s="22">
        <f t="shared" si="229"/>
        <v>1</v>
      </c>
      <c r="AT735" s="24" t="str">
        <f t="shared" si="230"/>
        <v>0-3 months</v>
      </c>
    </row>
    <row r="736" spans="1:46" s="12" customFormat="1">
      <c r="A736" s="33" t="str">
        <f t="shared" si="220"/>
        <v>FY 20/21</v>
      </c>
      <c r="B736" s="152">
        <v>2021</v>
      </c>
      <c r="C736" s="152">
        <v>3</v>
      </c>
      <c r="D736" s="33" t="str">
        <f t="shared" si="221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2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17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3"/>
        <v>1</v>
      </c>
      <c r="Z736" s="18">
        <f t="shared" si="214"/>
        <v>17800000</v>
      </c>
      <c r="AA736" s="13">
        <v>7.17E-2</v>
      </c>
      <c r="AB736" s="21">
        <f t="shared" si="231"/>
        <v>1276260</v>
      </c>
      <c r="AC736" s="130">
        <f t="shared" si="223"/>
        <v>293795.05199999997</v>
      </c>
      <c r="AD736" s="169">
        <v>0.23019999999999999</v>
      </c>
      <c r="AE736" s="154">
        <f t="shared" si="224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8"/>
        <v>43684091.636631854</v>
      </c>
      <c r="AJ736" s="19">
        <f t="shared" si="219"/>
        <v>6483951.8242071122</v>
      </c>
      <c r="AK736" s="20">
        <f t="shared" si="225"/>
        <v>0.14842821680123736</v>
      </c>
      <c r="AL736" s="17"/>
      <c r="AM736" s="17"/>
      <c r="AN736" s="17"/>
      <c r="AO736" s="17"/>
      <c r="AP736" s="28" t="str">
        <f t="shared" si="226"/>
        <v>20214</v>
      </c>
      <c r="AQ736" s="28" t="str">
        <f t="shared" si="227"/>
        <v>20214JPY</v>
      </c>
      <c r="AR736" s="206" t="str">
        <f t="shared" si="228"/>
        <v>YAMAHA_Mounter</v>
      </c>
      <c r="AS736" s="22">
        <f t="shared" si="229"/>
        <v>1</v>
      </c>
      <c r="AT736" s="24" t="str">
        <f t="shared" si="230"/>
        <v>0-3 months</v>
      </c>
    </row>
    <row r="737" spans="1:46" s="12" customFormat="1">
      <c r="A737" s="33" t="str">
        <f t="shared" si="220"/>
        <v>FY 21/22</v>
      </c>
      <c r="B737" s="152">
        <v>2021</v>
      </c>
      <c r="C737" s="152">
        <v>9</v>
      </c>
      <c r="D737" s="33" t="str">
        <f t="shared" si="221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2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17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3"/>
        <v>1</v>
      </c>
      <c r="Z737" s="18">
        <f t="shared" si="214"/>
        <v>18000000</v>
      </c>
      <c r="AA737" s="13">
        <v>6.54E-2</v>
      </c>
      <c r="AB737" s="21">
        <f t="shared" si="231"/>
        <v>1177200</v>
      </c>
      <c r="AC737" s="130">
        <f t="shared" si="223"/>
        <v>147267.72</v>
      </c>
      <c r="AD737" s="169">
        <v>0.12509999999999999</v>
      </c>
      <c r="AE737" s="154">
        <f t="shared" si="224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8"/>
        <v>46600814.041769907</v>
      </c>
      <c r="AJ737" s="19">
        <f t="shared" si="219"/>
        <v>5956366.3435927071</v>
      </c>
      <c r="AK737" s="20">
        <f t="shared" si="225"/>
        <v>0.1278167874546958</v>
      </c>
      <c r="AL737" s="17"/>
      <c r="AM737" s="17"/>
      <c r="AN737" s="17"/>
      <c r="AO737" s="17"/>
      <c r="AP737" s="28" t="str">
        <f t="shared" si="226"/>
        <v>20224</v>
      </c>
      <c r="AQ737" s="28" t="str">
        <f t="shared" si="227"/>
        <v>20224JPY</v>
      </c>
      <c r="AR737" s="206" t="str">
        <f t="shared" si="228"/>
        <v>YAMAHA_Mounter</v>
      </c>
      <c r="AS737" s="22">
        <f t="shared" si="229"/>
        <v>7</v>
      </c>
      <c r="AT737" s="24" t="str">
        <f t="shared" si="230"/>
        <v>&gt; 6 months</v>
      </c>
    </row>
    <row r="738" spans="1:46" s="12" customFormat="1">
      <c r="A738" s="33" t="str">
        <f t="shared" si="220"/>
        <v>FY 21/22</v>
      </c>
      <c r="B738" s="152">
        <v>2021</v>
      </c>
      <c r="C738" s="152">
        <v>9</v>
      </c>
      <c r="D738" s="33" t="str">
        <f t="shared" si="221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2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17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3"/>
        <v>1</v>
      </c>
      <c r="Z738" s="18">
        <f t="shared" si="214"/>
        <v>8200000</v>
      </c>
      <c r="AA738" s="13">
        <v>6.54E-2</v>
      </c>
      <c r="AB738" s="21">
        <f t="shared" si="231"/>
        <v>536280</v>
      </c>
      <c r="AC738" s="130">
        <f t="shared" si="223"/>
        <v>67088.627999999997</v>
      </c>
      <c r="AD738" s="169">
        <v>0.12509999999999999</v>
      </c>
      <c r="AE738" s="154">
        <f t="shared" si="224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8"/>
        <v>46600814.041769907</v>
      </c>
      <c r="AJ738" s="19">
        <f t="shared" si="219"/>
        <v>5956366.3435927071</v>
      </c>
      <c r="AK738" s="20">
        <f t="shared" si="225"/>
        <v>0.1278167874546958</v>
      </c>
      <c r="AL738" s="17"/>
      <c r="AM738" s="17"/>
      <c r="AN738" s="17"/>
      <c r="AO738" s="17"/>
      <c r="AP738" s="28" t="str">
        <f t="shared" si="226"/>
        <v>20224</v>
      </c>
      <c r="AQ738" s="28" t="str">
        <f t="shared" si="227"/>
        <v>20224JPY</v>
      </c>
      <c r="AR738" s="206" t="str">
        <f t="shared" si="228"/>
        <v>YAMAHA_Mounter</v>
      </c>
      <c r="AS738" s="22">
        <f t="shared" si="229"/>
        <v>7</v>
      </c>
      <c r="AT738" s="24" t="str">
        <f t="shared" si="230"/>
        <v>&gt; 6 months</v>
      </c>
    </row>
    <row r="739" spans="1:46" s="12" customFormat="1">
      <c r="A739" s="33" t="str">
        <f t="shared" si="220"/>
        <v>FY 22/23</v>
      </c>
      <c r="B739" s="152">
        <v>2022</v>
      </c>
      <c r="C739" s="152">
        <v>6</v>
      </c>
      <c r="D739" s="33" t="str">
        <f t="shared" si="221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2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17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3"/>
        <v>1.13</v>
      </c>
      <c r="Z739" s="18">
        <f t="shared" si="214"/>
        <v>660000</v>
      </c>
      <c r="AA739" s="13">
        <v>1.175</v>
      </c>
      <c r="AB739" s="21">
        <f t="shared" si="231"/>
        <v>686283.18584070809</v>
      </c>
      <c r="AC739" s="130">
        <f t="shared" si="223"/>
        <v>117628.93805309736</v>
      </c>
      <c r="AD739" s="169">
        <v>0.1714</v>
      </c>
      <c r="AE739" s="154">
        <f t="shared" si="224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8"/>
        <v>35682787.057522126</v>
      </c>
      <c r="AJ739" s="19">
        <f t="shared" si="219"/>
        <v>5833368.3789623892</v>
      </c>
      <c r="AK739" s="20">
        <f t="shared" si="225"/>
        <v>0.16347849649632912</v>
      </c>
      <c r="AL739" s="17"/>
      <c r="AM739" s="17"/>
      <c r="AN739" s="17"/>
      <c r="AO739" s="17"/>
      <c r="AP739" s="28" t="str">
        <f t="shared" si="226"/>
        <v>20226</v>
      </c>
      <c r="AQ739" s="28" t="str">
        <f t="shared" si="227"/>
        <v>20226RMB</v>
      </c>
      <c r="AR739" s="206" t="str">
        <f t="shared" si="228"/>
        <v>YAMAHA_Mounter</v>
      </c>
      <c r="AS739" s="22">
        <f t="shared" si="229"/>
        <v>0</v>
      </c>
      <c r="AT739" s="24" t="str">
        <f t="shared" si="230"/>
        <v>0-3 months</v>
      </c>
    </row>
    <row r="740" spans="1:46" s="12" customFormat="1">
      <c r="A740" s="33" t="str">
        <f t="shared" si="220"/>
        <v>FY 22/23</v>
      </c>
      <c r="B740" s="152">
        <v>2022</v>
      </c>
      <c r="C740" s="152">
        <v>6</v>
      </c>
      <c r="D740" s="33" t="str">
        <f t="shared" si="221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2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17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3"/>
        <v>1.13</v>
      </c>
      <c r="Z740" s="18">
        <f t="shared" si="214"/>
        <v>900000</v>
      </c>
      <c r="AA740" s="13">
        <v>1.175</v>
      </c>
      <c r="AB740" s="21">
        <f t="shared" si="231"/>
        <v>935840.70796460181</v>
      </c>
      <c r="AC740" s="130">
        <f t="shared" si="223"/>
        <v>160403.09734513276</v>
      </c>
      <c r="AD740" s="169">
        <v>0.1714</v>
      </c>
      <c r="AE740" s="154">
        <f t="shared" si="224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8"/>
        <v>35682787.057522126</v>
      </c>
      <c r="AJ740" s="19">
        <f t="shared" si="219"/>
        <v>5833368.3789623892</v>
      </c>
      <c r="AK740" s="20">
        <f t="shared" si="225"/>
        <v>0.16347849649632912</v>
      </c>
      <c r="AL740" s="17"/>
      <c r="AM740" s="17"/>
      <c r="AN740" s="17"/>
      <c r="AO740" s="17"/>
      <c r="AP740" s="28" t="str">
        <f t="shared" si="226"/>
        <v>20226</v>
      </c>
      <c r="AQ740" s="28" t="str">
        <f t="shared" si="227"/>
        <v>20226RMB</v>
      </c>
      <c r="AR740" s="206" t="str">
        <f t="shared" si="228"/>
        <v>YAMAHA_Mounter</v>
      </c>
      <c r="AS740" s="22">
        <f t="shared" si="229"/>
        <v>0</v>
      </c>
      <c r="AT740" s="24" t="str">
        <f t="shared" si="230"/>
        <v>0-3 months</v>
      </c>
    </row>
    <row r="741" spans="1:46" s="12" customFormat="1">
      <c r="A741" s="33" t="str">
        <f t="shared" si="220"/>
        <v>FY 19/20</v>
      </c>
      <c r="B741" s="152">
        <v>2019</v>
      </c>
      <c r="C741" s="152">
        <v>12</v>
      </c>
      <c r="D741" s="33" t="str">
        <f t="shared" si="221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2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17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14"/>
        <v>7400000</v>
      </c>
      <c r="AA741" s="13">
        <v>7.2900000000000006E-2</v>
      </c>
      <c r="AB741" s="21">
        <f t="shared" si="231"/>
        <v>539460</v>
      </c>
      <c r="AC741" s="130">
        <f t="shared" si="223"/>
        <v>69212.717999999993</v>
      </c>
      <c r="AD741" s="169">
        <v>0.1283</v>
      </c>
      <c r="AE741" s="154">
        <f t="shared" si="224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8"/>
        <v>27318180.088495575</v>
      </c>
      <c r="AJ741" s="19">
        <f t="shared" si="219"/>
        <v>3014099.212353982</v>
      </c>
      <c r="AK741" s="20">
        <f t="shared" si="225"/>
        <v>0.11033308963444827</v>
      </c>
      <c r="AL741" s="17"/>
      <c r="AM741" s="17"/>
      <c r="AN741" s="17"/>
      <c r="AO741" s="17"/>
      <c r="AP741" s="28" t="str">
        <f t="shared" si="226"/>
        <v>201912</v>
      </c>
      <c r="AQ741" s="28" t="str">
        <f t="shared" si="227"/>
        <v>201912JPY</v>
      </c>
      <c r="AR741" s="206" t="str">
        <f t="shared" si="228"/>
        <v>YAMAHA_Mounter</v>
      </c>
      <c r="AS741" s="22">
        <f t="shared" si="229"/>
        <v>0</v>
      </c>
      <c r="AT741" s="24" t="str">
        <f t="shared" si="230"/>
        <v>0-3 months</v>
      </c>
    </row>
    <row r="742" spans="1:46" s="12" customFormat="1">
      <c r="A742" s="33" t="str">
        <f t="shared" si="220"/>
        <v>FY 19/20</v>
      </c>
      <c r="B742" s="152">
        <v>2020</v>
      </c>
      <c r="C742" s="152">
        <v>3</v>
      </c>
      <c r="D742" s="33" t="str">
        <f t="shared" si="221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2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17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14"/>
        <v>7400000</v>
      </c>
      <c r="AA742" s="13">
        <v>7.2999999999999995E-2</v>
      </c>
      <c r="AB742" s="21">
        <f t="shared" si="231"/>
        <v>540200</v>
      </c>
      <c r="AC742" s="130">
        <f t="shared" si="223"/>
        <v>70982.28</v>
      </c>
      <c r="AD742" s="169">
        <v>0.13139999999999999</v>
      </c>
      <c r="AE742" s="154">
        <f t="shared" si="224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8"/>
        <v>23168285.927433632</v>
      </c>
      <c r="AJ742" s="19">
        <f t="shared" si="219"/>
        <v>2764878.916878053</v>
      </c>
      <c r="AK742" s="20">
        <f t="shared" si="225"/>
        <v>0.11933895004309111</v>
      </c>
      <c r="AL742" s="17"/>
      <c r="AM742" s="17"/>
      <c r="AN742" s="17"/>
      <c r="AO742" s="17"/>
      <c r="AP742" s="28" t="str">
        <f t="shared" si="226"/>
        <v>20203</v>
      </c>
      <c r="AQ742" s="28" t="str">
        <f t="shared" si="227"/>
        <v>20203JPY</v>
      </c>
      <c r="AR742" s="206" t="str">
        <f t="shared" si="228"/>
        <v>YAMAHA_Mounter</v>
      </c>
      <c r="AS742" s="22">
        <f t="shared" si="229"/>
        <v>0</v>
      </c>
      <c r="AT742" s="24" t="str">
        <f t="shared" si="230"/>
        <v>0-3 months</v>
      </c>
    </row>
    <row r="743" spans="1:46" s="12" customFormat="1">
      <c r="A743" s="33" t="str">
        <f t="shared" si="220"/>
        <v>FY 20/21</v>
      </c>
      <c r="B743" s="152">
        <v>2020</v>
      </c>
      <c r="C743" s="152">
        <v>7</v>
      </c>
      <c r="D743" s="33" t="str">
        <f t="shared" si="221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2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17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14"/>
        <v>10500000</v>
      </c>
      <c r="AA743" s="13">
        <v>7.4899999999999994E-2</v>
      </c>
      <c r="AB743" s="21">
        <f t="shared" si="231"/>
        <v>786449.99999999988</v>
      </c>
      <c r="AC743" s="130">
        <f t="shared" si="223"/>
        <v>87846.464999999982</v>
      </c>
      <c r="AD743" s="169">
        <v>0.11169999999999999</v>
      </c>
      <c r="AE743" s="154">
        <f t="shared" si="224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8"/>
        <v>28011162.254106201</v>
      </c>
      <c r="AJ743" s="19">
        <f t="shared" si="219"/>
        <v>3401347.1124888416</v>
      </c>
      <c r="AK743" s="20">
        <f t="shared" si="225"/>
        <v>0.12142827497242578</v>
      </c>
      <c r="AL743" s="17"/>
      <c r="AM743" s="17"/>
      <c r="AN743" s="17"/>
      <c r="AO743" s="17"/>
      <c r="AP743" s="28" t="str">
        <f t="shared" si="226"/>
        <v>202010</v>
      </c>
      <c r="AQ743" s="28" t="str">
        <f t="shared" si="227"/>
        <v>202010JPY</v>
      </c>
      <c r="AR743" s="206" t="str">
        <f t="shared" si="228"/>
        <v>YAMAHA_Mounter</v>
      </c>
      <c r="AS743" s="22">
        <f t="shared" si="229"/>
        <v>3</v>
      </c>
      <c r="AT743" s="24" t="str">
        <f t="shared" si="230"/>
        <v>0-3 months</v>
      </c>
    </row>
    <row r="744" spans="1:46" s="12" customFormat="1">
      <c r="A744" s="33" t="str">
        <f t="shared" si="220"/>
        <v>FY 20/21</v>
      </c>
      <c r="B744" s="152">
        <v>2020</v>
      </c>
      <c r="C744" s="152">
        <v>9</v>
      </c>
      <c r="D744" s="33" t="str">
        <f t="shared" si="221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2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17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14"/>
        <v>10734000</v>
      </c>
      <c r="AA744" s="13">
        <v>7.4899999999999994E-2</v>
      </c>
      <c r="AB744" s="21">
        <f t="shared" si="231"/>
        <v>803976.6</v>
      </c>
      <c r="AC744" s="130">
        <f t="shared" si="223"/>
        <v>78387.718500000003</v>
      </c>
      <c r="AD744" s="169">
        <v>9.7500000000000003E-2</v>
      </c>
      <c r="AE744" s="154">
        <f t="shared" si="224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8"/>
        <v>28011162.254106201</v>
      </c>
      <c r="AJ744" s="19">
        <f t="shared" si="219"/>
        <v>3401347.1124888416</v>
      </c>
      <c r="AK744" s="20">
        <f t="shared" si="225"/>
        <v>0.12142827497242578</v>
      </c>
      <c r="AL744" s="17"/>
      <c r="AM744" s="17"/>
      <c r="AN744" s="17"/>
      <c r="AO744" s="17"/>
      <c r="AP744" s="28" t="str">
        <f t="shared" si="226"/>
        <v>202010</v>
      </c>
      <c r="AQ744" s="28" t="str">
        <f t="shared" si="227"/>
        <v>202010JPY</v>
      </c>
      <c r="AR744" s="206" t="str">
        <f t="shared" si="228"/>
        <v>YAMAHA_Mounter</v>
      </c>
      <c r="AS744" s="22">
        <f t="shared" si="229"/>
        <v>1</v>
      </c>
      <c r="AT744" s="24" t="str">
        <f t="shared" si="230"/>
        <v>0-3 months</v>
      </c>
    </row>
    <row r="745" spans="1:46" s="12" customFormat="1">
      <c r="A745" s="33" t="str">
        <f t="shared" si="220"/>
        <v>FY 20/21</v>
      </c>
      <c r="B745" s="152">
        <v>2020</v>
      </c>
      <c r="C745" s="152">
        <v>9</v>
      </c>
      <c r="D745" s="33" t="str">
        <f t="shared" si="221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2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17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14"/>
        <v>10734000</v>
      </c>
      <c r="AA745" s="13">
        <v>7.4899999999999994E-2</v>
      </c>
      <c r="AB745" s="21">
        <f t="shared" si="231"/>
        <v>803976.6</v>
      </c>
      <c r="AC745" s="130">
        <f t="shared" si="223"/>
        <v>78387.718500000003</v>
      </c>
      <c r="AD745" s="169">
        <v>9.7500000000000003E-2</v>
      </c>
      <c r="AE745" s="154">
        <f t="shared" si="224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8"/>
        <v>28011162.254106201</v>
      </c>
      <c r="AJ745" s="19">
        <f t="shared" si="219"/>
        <v>3401347.1124888416</v>
      </c>
      <c r="AK745" s="20">
        <f t="shared" si="225"/>
        <v>0.12142827497242578</v>
      </c>
      <c r="AL745" s="17"/>
      <c r="AM745" s="17"/>
      <c r="AN745" s="17"/>
      <c r="AO745" s="17"/>
      <c r="AP745" s="28" t="str">
        <f t="shared" si="226"/>
        <v>202010</v>
      </c>
      <c r="AQ745" s="28" t="str">
        <f t="shared" si="227"/>
        <v>202010JPY</v>
      </c>
      <c r="AR745" s="206" t="str">
        <f t="shared" si="228"/>
        <v>YAMAHA_Mounter</v>
      </c>
      <c r="AS745" s="22">
        <f t="shared" si="229"/>
        <v>1</v>
      </c>
      <c r="AT745" s="24" t="str">
        <f t="shared" si="230"/>
        <v>0-3 months</v>
      </c>
    </row>
    <row r="746" spans="1:46" s="12" customFormat="1">
      <c r="A746" s="33" t="str">
        <f t="shared" si="220"/>
        <v>FY 20/21</v>
      </c>
      <c r="B746" s="152">
        <v>2020</v>
      </c>
      <c r="C746" s="152">
        <v>9</v>
      </c>
      <c r="D746" s="33" t="str">
        <f t="shared" si="221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2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17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14"/>
        <v>10870000</v>
      </c>
      <c r="AA746" s="13">
        <v>7.6100000000000001E-2</v>
      </c>
      <c r="AB746" s="21">
        <f t="shared" si="231"/>
        <v>827207</v>
      </c>
      <c r="AC746" s="130">
        <f t="shared" si="223"/>
        <v>80652.68250000001</v>
      </c>
      <c r="AD746" s="169">
        <v>9.7500000000000003E-2</v>
      </c>
      <c r="AE746" s="154">
        <f t="shared" si="224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8"/>
        <v>48763143.537654862</v>
      </c>
      <c r="AJ746" s="19">
        <f t="shared" si="219"/>
        <v>5924029.9702154724</v>
      </c>
      <c r="AK746" s="20">
        <f t="shared" si="225"/>
        <v>0.1214858095774925</v>
      </c>
      <c r="AL746" s="17"/>
      <c r="AM746" s="17"/>
      <c r="AN746" s="17"/>
      <c r="AO746" s="17"/>
      <c r="AP746" s="28" t="str">
        <f t="shared" si="226"/>
        <v>202012</v>
      </c>
      <c r="AQ746" s="28" t="str">
        <f t="shared" si="227"/>
        <v>202012JPY</v>
      </c>
      <c r="AR746" s="206" t="str">
        <f t="shared" si="228"/>
        <v>YAMAHA_Mounter</v>
      </c>
      <c r="AS746" s="22">
        <f t="shared" si="229"/>
        <v>3</v>
      </c>
      <c r="AT746" s="24" t="str">
        <f t="shared" si="230"/>
        <v>0-3 months</v>
      </c>
    </row>
    <row r="747" spans="1:46" s="12" customFormat="1">
      <c r="A747" s="33" t="str">
        <f t="shared" si="220"/>
        <v>FY 19/20</v>
      </c>
      <c r="B747" s="152">
        <v>2019</v>
      </c>
      <c r="C747" s="152">
        <v>8</v>
      </c>
      <c r="D747" s="33" t="str">
        <f t="shared" si="221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2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17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14"/>
        <v>540000</v>
      </c>
      <c r="AA747" s="13">
        <v>1.095</v>
      </c>
      <c r="AB747" s="21">
        <f t="shared" si="231"/>
        <v>523274.33628318593</v>
      </c>
      <c r="AC747" s="130">
        <f t="shared" si="223"/>
        <v>70537.38053097346</v>
      </c>
      <c r="AD747" s="169">
        <v>0.1348</v>
      </c>
      <c r="AE747" s="154">
        <f t="shared" si="224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8"/>
        <v>37599388.802345134</v>
      </c>
      <c r="AJ747" s="19">
        <f t="shared" si="219"/>
        <v>4866784.3630338367</v>
      </c>
      <c r="AK747" s="20">
        <f t="shared" si="225"/>
        <v>0.12943785838163113</v>
      </c>
      <c r="AL747" s="17"/>
      <c r="AM747" s="17"/>
      <c r="AN747" s="17"/>
      <c r="AO747" s="17"/>
      <c r="AP747" s="28" t="str">
        <f t="shared" si="226"/>
        <v>20199</v>
      </c>
      <c r="AQ747" s="28" t="str">
        <f t="shared" si="227"/>
        <v>20199RMB</v>
      </c>
      <c r="AR747" s="206" t="str">
        <f t="shared" si="228"/>
        <v>YAMAHA_Mounter</v>
      </c>
      <c r="AS747" s="22">
        <f t="shared" si="229"/>
        <v>1</v>
      </c>
      <c r="AT747" s="24" t="str">
        <f t="shared" si="230"/>
        <v>0-3 months</v>
      </c>
    </row>
    <row r="748" spans="1:46" s="12" customFormat="1" ht="42">
      <c r="A748" s="33" t="str">
        <f t="shared" si="220"/>
        <v/>
      </c>
      <c r="B748" s="23"/>
      <c r="C748" s="23"/>
      <c r="D748" s="202" t="str">
        <f t="shared" si="221"/>
        <v/>
      </c>
      <c r="E748" s="33" t="str">
        <f>IF(G748="Cancel","Cancel",IF(G748="TBA","TBA",IFERROR(IF(I748="Q4","FY "&amp;RIGHT(F748,2)-1&amp;"/"&amp;RIGHT(F748,2),"FY "&amp;RIGHT(F748,2)&amp;"/"&amp;RIGHT(F748,2)+1),"")))</f>
        <v>FY 24/25</v>
      </c>
      <c r="F748" s="23">
        <v>2024</v>
      </c>
      <c r="G748" s="23">
        <v>5</v>
      </c>
      <c r="H748" s="29"/>
      <c r="I748" s="202" t="str">
        <f t="shared" si="222"/>
        <v>Q1</v>
      </c>
      <c r="J748" s="188"/>
      <c r="K748" s="29"/>
      <c r="L748" s="17" t="s">
        <v>44</v>
      </c>
      <c r="M748" s="22" t="s">
        <v>44</v>
      </c>
      <c r="N748" s="22">
        <v>0</v>
      </c>
      <c r="O748" s="22"/>
      <c r="P748" s="33" t="str">
        <f t="shared" si="217"/>
        <v>C66 SERVICE/OTHERS</v>
      </c>
      <c r="Q748" s="22" t="s">
        <v>46</v>
      </c>
      <c r="R748" s="22" t="s">
        <v>46</v>
      </c>
      <c r="S748" s="22" t="s">
        <v>51</v>
      </c>
      <c r="T748" s="22"/>
      <c r="U748" s="22"/>
      <c r="V748" s="22"/>
      <c r="W748" s="22"/>
      <c r="X748" s="104"/>
      <c r="Y748" s="195" t="str">
        <f>IF(W748="","",IF(W748="RMB","1.13", "1"))</f>
        <v/>
      </c>
      <c r="Z748" s="196" t="str">
        <f t="shared" si="214"/>
        <v/>
      </c>
      <c r="AA748" s="22"/>
      <c r="AB748" s="197">
        <v>100000</v>
      </c>
      <c r="AC748" s="198">
        <f t="shared" si="223"/>
        <v>30000</v>
      </c>
      <c r="AD748" s="162">
        <v>0.3</v>
      </c>
      <c r="AE748" s="199">
        <f t="shared" si="224"/>
        <v>0</v>
      </c>
      <c r="AF748" s="199" t="str">
        <f>IF(AND(COUNTIFS($J$18:J748,J748)=1,AE748=1),1,"")</f>
        <v/>
      </c>
      <c r="AG748" s="199" t="str">
        <f>IF(C748="","",IF(AND(COUNTIFS($J$18:J748,J748)=1,C748&lt;&gt;""),1,""))</f>
        <v/>
      </c>
      <c r="AH748" s="199" t="str">
        <f>IF(G748="","",IF(AND(COUNTIFS($J$18:J748,J748)=1,G748&lt;&gt;""),1,""))</f>
        <v/>
      </c>
      <c r="AI748" s="200">
        <f t="shared" si="218"/>
        <v>11472879.764601771</v>
      </c>
      <c r="AJ748" s="200">
        <f t="shared" si="219"/>
        <v>2038344.1716106194</v>
      </c>
      <c r="AK748" s="201">
        <f t="shared" si="225"/>
        <v>0.17766630640544948</v>
      </c>
      <c r="AL748" s="24"/>
      <c r="AM748" s="24"/>
      <c r="AN748" s="24"/>
      <c r="AO748" s="24"/>
      <c r="AP748" s="105" t="str">
        <f t="shared" si="226"/>
        <v>20245</v>
      </c>
      <c r="AQ748" s="28" t="str">
        <f t="shared" si="227"/>
        <v/>
      </c>
      <c r="AR748" s="206" t="str">
        <f t="shared" si="228"/>
        <v>C66 SERVICE</v>
      </c>
      <c r="AS748" s="22" t="str">
        <f t="shared" si="229"/>
        <v/>
      </c>
      <c r="AT748" s="24" t="str">
        <f t="shared" si="230"/>
        <v/>
      </c>
    </row>
    <row r="749" spans="1:46" s="12" customFormat="1" ht="42">
      <c r="A749" s="33" t="str">
        <f t="shared" si="220"/>
        <v/>
      </c>
      <c r="B749" s="23"/>
      <c r="C749" s="23"/>
      <c r="D749" s="202" t="str">
        <f t="shared" si="221"/>
        <v/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5</v>
      </c>
      <c r="H749" s="29"/>
      <c r="I749" s="202" t="str">
        <f t="shared" si="222"/>
        <v>Q1</v>
      </c>
      <c r="J749" s="188"/>
      <c r="K749" s="29"/>
      <c r="L749" s="17" t="s">
        <v>44</v>
      </c>
      <c r="M749" s="22" t="s">
        <v>44</v>
      </c>
      <c r="N749" s="22">
        <v>0</v>
      </c>
      <c r="O749" s="22"/>
      <c r="P749" s="33" t="str">
        <f t="shared" si="217"/>
        <v>C66 SERVICE/OTHERS</v>
      </c>
      <c r="Q749" s="22" t="s">
        <v>46</v>
      </c>
      <c r="R749" s="22" t="s">
        <v>46</v>
      </c>
      <c r="S749" s="22" t="s">
        <v>50</v>
      </c>
      <c r="T749" s="22"/>
      <c r="U749" s="22"/>
      <c r="V749" s="22"/>
      <c r="W749" s="22"/>
      <c r="X749" s="104"/>
      <c r="Y749" s="195" t="str">
        <f>IF(W749="","",IF(W749="RMB","1.13", "1"))</f>
        <v/>
      </c>
      <c r="Z749" s="196" t="str">
        <f t="shared" si="214"/>
        <v/>
      </c>
      <c r="AA749" s="22"/>
      <c r="AB749" s="197">
        <v>266000</v>
      </c>
      <c r="AC749" s="198">
        <f t="shared" si="223"/>
        <v>79800</v>
      </c>
      <c r="AD749" s="162">
        <v>0.3</v>
      </c>
      <c r="AE749" s="199">
        <f t="shared" si="224"/>
        <v>0</v>
      </c>
      <c r="AF749" s="199" t="str">
        <f>IF(AND(COUNTIFS($J$18:J749,J749)=1,AE749=1),1,"")</f>
        <v/>
      </c>
      <c r="AG749" s="199" t="str">
        <f>IF(C749="","",IF(AND(COUNTIFS($J$18:J749,J749)=1,C749&lt;&gt;""),1,""))</f>
        <v/>
      </c>
      <c r="AH749" s="199" t="str">
        <f>IF(G749="","",IF(AND(COUNTIFS($J$18:J749,J749)=1,G749&lt;&gt;""),1,""))</f>
        <v/>
      </c>
      <c r="AI749" s="200">
        <f t="shared" si="218"/>
        <v>11472879.764601771</v>
      </c>
      <c r="AJ749" s="200">
        <f t="shared" si="219"/>
        <v>2038344.1716106194</v>
      </c>
      <c r="AK749" s="201">
        <f t="shared" si="225"/>
        <v>0.17766630640544948</v>
      </c>
      <c r="AL749" s="24"/>
      <c r="AM749" s="24"/>
      <c r="AN749" s="24"/>
      <c r="AO749" s="24"/>
      <c r="AP749" s="105" t="str">
        <f t="shared" si="226"/>
        <v>20245</v>
      </c>
      <c r="AQ749" s="28" t="str">
        <f t="shared" si="227"/>
        <v/>
      </c>
      <c r="AR749" s="206" t="str">
        <f t="shared" si="228"/>
        <v>C66 SERVICE</v>
      </c>
      <c r="AS749" s="22" t="str">
        <f t="shared" si="229"/>
        <v/>
      </c>
      <c r="AT749" s="24" t="str">
        <f t="shared" si="230"/>
        <v/>
      </c>
    </row>
    <row r="750" spans="1:46" s="12" customFormat="1">
      <c r="A750" s="33" t="str">
        <f t="shared" si="220"/>
        <v>FY 20/21</v>
      </c>
      <c r="B750" s="152">
        <v>2020</v>
      </c>
      <c r="C750" s="152">
        <v>6</v>
      </c>
      <c r="D750" s="33" t="str">
        <f t="shared" si="221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2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17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si="214"/>
        <v>1500000</v>
      </c>
      <c r="AA750" s="13">
        <v>1.095</v>
      </c>
      <c r="AB750" s="21">
        <f t="shared" ref="AB750:AB813" si="234">IF(AND(R750&lt;&gt;"C66",R750&lt;&gt;""),Z750/Y750*AA750,"")</f>
        <v>1453539.8230088498</v>
      </c>
      <c r="AC750" s="130">
        <f t="shared" si="223"/>
        <v>134888.49557522126</v>
      </c>
      <c r="AD750" s="169">
        <v>9.2799999999999994E-2</v>
      </c>
      <c r="AE750" s="154">
        <f t="shared" si="224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8"/>
        <v>35384300.169380538</v>
      </c>
      <c r="AJ750" s="19">
        <f t="shared" si="219"/>
        <v>5044538.8896988509</v>
      </c>
      <c r="AK750" s="20">
        <f t="shared" si="225"/>
        <v>0.14256432557804533</v>
      </c>
      <c r="AL750" s="17"/>
      <c r="AM750" s="17"/>
      <c r="AN750" s="17"/>
      <c r="AO750" s="17"/>
      <c r="AP750" s="28" t="str">
        <f t="shared" si="226"/>
        <v>20207</v>
      </c>
      <c r="AQ750" s="28" t="str">
        <f t="shared" si="227"/>
        <v>20207RMB</v>
      </c>
      <c r="AR750" s="206" t="str">
        <f t="shared" si="228"/>
        <v>YAMAHA_Mounter</v>
      </c>
      <c r="AS750" s="22">
        <f t="shared" si="229"/>
        <v>1</v>
      </c>
      <c r="AT750" s="24" t="str">
        <f t="shared" si="230"/>
        <v>0-3 months</v>
      </c>
    </row>
    <row r="751" spans="1:46" s="12" customFormat="1">
      <c r="A751" s="33" t="str">
        <f t="shared" si="220"/>
        <v>cancel</v>
      </c>
      <c r="B751" s="152"/>
      <c r="C751" s="152" t="s">
        <v>186</v>
      </c>
      <c r="D751" s="33" t="str">
        <f t="shared" si="221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2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17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14"/>
        <v>1500000</v>
      </c>
      <c r="AA751" s="13">
        <v>1.089</v>
      </c>
      <c r="AB751" s="21">
        <f t="shared" si="234"/>
        <v>1445575.2212389382</v>
      </c>
      <c r="AC751" s="130">
        <f t="shared" si="223"/>
        <v>173469.02654867258</v>
      </c>
      <c r="AD751" s="169">
        <v>0.12</v>
      </c>
      <c r="AE751" s="154">
        <f t="shared" si="224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8"/>
        <v>477651199.57437885</v>
      </c>
      <c r="AJ751" s="19">
        <f t="shared" si="219"/>
        <v>56918800.518691957</v>
      </c>
      <c r="AK751" s="20">
        <f t="shared" si="225"/>
        <v>0.11916394341605475</v>
      </c>
      <c r="AL751" s="17"/>
      <c r="AM751" s="17"/>
      <c r="AN751" s="17"/>
      <c r="AO751" s="17"/>
      <c r="AP751" s="28" t="str">
        <f t="shared" si="226"/>
        <v>CancelCancel</v>
      </c>
      <c r="AQ751" s="28" t="str">
        <f t="shared" si="227"/>
        <v>CancelCancelRMB</v>
      </c>
      <c r="AR751" s="206" t="str">
        <f t="shared" si="228"/>
        <v>YAMAHA_Mounter</v>
      </c>
      <c r="AS751" s="22" t="str">
        <f t="shared" si="229"/>
        <v/>
      </c>
      <c r="AT751" s="24" t="str">
        <f t="shared" si="230"/>
        <v/>
      </c>
    </row>
    <row r="752" spans="1:46" s="12" customFormat="1">
      <c r="A752" s="33" t="str">
        <f t="shared" si="220"/>
        <v>cancel</v>
      </c>
      <c r="B752" s="152"/>
      <c r="C752" s="152" t="s">
        <v>186</v>
      </c>
      <c r="D752" s="33" t="str">
        <f t="shared" si="221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2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17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ref="Z752:Z815" si="235">IF(X752="","",X752*MAX(O752,N752))</f>
        <v>1500000</v>
      </c>
      <c r="AA752" s="13">
        <v>1.089</v>
      </c>
      <c r="AB752" s="21">
        <f t="shared" si="234"/>
        <v>1445575.2212389382</v>
      </c>
      <c r="AC752" s="130">
        <f t="shared" si="223"/>
        <v>173469.02654867258</v>
      </c>
      <c r="AD752" s="169">
        <v>0.12</v>
      </c>
      <c r="AE752" s="154">
        <f t="shared" si="224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8"/>
        <v>477651199.57437885</v>
      </c>
      <c r="AJ752" s="19">
        <f t="shared" si="219"/>
        <v>56918800.518691957</v>
      </c>
      <c r="AK752" s="20">
        <f t="shared" si="225"/>
        <v>0.11916394341605475</v>
      </c>
      <c r="AL752" s="17"/>
      <c r="AM752" s="17"/>
      <c r="AN752" s="17"/>
      <c r="AO752" s="17"/>
      <c r="AP752" s="28" t="str">
        <f t="shared" si="226"/>
        <v>CancelCancel</v>
      </c>
      <c r="AQ752" s="28" t="str">
        <f t="shared" si="227"/>
        <v>CancelCancelRMB</v>
      </c>
      <c r="AR752" s="206" t="str">
        <f t="shared" si="228"/>
        <v>YAMAHA_Mounter</v>
      </c>
      <c r="AS752" s="22" t="str">
        <f t="shared" si="229"/>
        <v/>
      </c>
      <c r="AT752" s="24" t="str">
        <f t="shared" si="230"/>
        <v/>
      </c>
    </row>
    <row r="753" spans="1:46" s="12" customFormat="1">
      <c r="A753" s="33" t="str">
        <f t="shared" si="220"/>
        <v>FY 18/19</v>
      </c>
      <c r="B753" s="152">
        <v>2019</v>
      </c>
      <c r="C753" s="152">
        <v>3</v>
      </c>
      <c r="D753" s="33" t="str">
        <f t="shared" si="221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2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17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5"/>
        <v>865000</v>
      </c>
      <c r="AA753" s="13">
        <v>1.1599999999999999</v>
      </c>
      <c r="AB753" s="21">
        <f t="shared" si="234"/>
        <v>865000</v>
      </c>
      <c r="AC753" s="130">
        <f t="shared" si="223"/>
        <v>74130.5</v>
      </c>
      <c r="AD753" s="169">
        <v>8.5699999999999998E-2</v>
      </c>
      <c r="AE753" s="154">
        <f t="shared" si="224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8"/>
        <v>47416008.333399981</v>
      </c>
      <c r="AJ753" s="19">
        <f t="shared" si="219"/>
        <v>6981738.4465290187</v>
      </c>
      <c r="AK753" s="20">
        <f t="shared" si="225"/>
        <v>0.14724433143839863</v>
      </c>
      <c r="AL753" s="17"/>
      <c r="AM753" s="17"/>
      <c r="AN753" s="17"/>
      <c r="AO753" s="17"/>
      <c r="AP753" s="28" t="str">
        <f t="shared" si="226"/>
        <v>20193</v>
      </c>
      <c r="AQ753" s="28" t="str">
        <f t="shared" si="227"/>
        <v>20193RMB</v>
      </c>
      <c r="AR753" s="206" t="str">
        <f t="shared" si="228"/>
        <v>YAMAHA_Mounter</v>
      </c>
      <c r="AS753" s="22">
        <f t="shared" si="229"/>
        <v>0</v>
      </c>
      <c r="AT753" s="24" t="str">
        <f t="shared" si="230"/>
        <v>0-3 months</v>
      </c>
    </row>
    <row r="754" spans="1:46" s="12" customFormat="1">
      <c r="A754" s="33" t="str">
        <f t="shared" si="220"/>
        <v>FY 18/19</v>
      </c>
      <c r="B754" s="152">
        <v>2018</v>
      </c>
      <c r="C754" s="152">
        <v>11</v>
      </c>
      <c r="D754" s="33" t="str">
        <f t="shared" si="221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2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17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5"/>
        <v>14483672.5</v>
      </c>
      <c r="AA754" s="13">
        <v>7.22E-2</v>
      </c>
      <c r="AB754" s="21">
        <f t="shared" si="234"/>
        <v>1045721.1544999999</v>
      </c>
      <c r="AC754" s="130">
        <f t="shared" si="223"/>
        <v>148387.83182354999</v>
      </c>
      <c r="AD754" s="169">
        <v>0.1419</v>
      </c>
      <c r="AE754" s="154">
        <f t="shared" si="224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8"/>
        <v>47416008.333399981</v>
      </c>
      <c r="AJ754" s="19">
        <f t="shared" si="219"/>
        <v>6981738.4465290187</v>
      </c>
      <c r="AK754" s="20">
        <f t="shared" si="225"/>
        <v>0.14724433143839863</v>
      </c>
      <c r="AL754" s="17"/>
      <c r="AM754" s="17"/>
      <c r="AN754" s="17"/>
      <c r="AO754" s="17"/>
      <c r="AP754" s="28" t="str">
        <f t="shared" si="226"/>
        <v>20193</v>
      </c>
      <c r="AQ754" s="28" t="str">
        <f t="shared" si="227"/>
        <v>20193JPY</v>
      </c>
      <c r="AR754" s="206" t="str">
        <f t="shared" si="228"/>
        <v>YAMAHA_Mounter</v>
      </c>
      <c r="AS754" s="22">
        <f t="shared" si="229"/>
        <v>4</v>
      </c>
      <c r="AT754" s="24" t="str">
        <f t="shared" si="230"/>
        <v>4-6 months</v>
      </c>
    </row>
    <row r="755" spans="1:46" s="12" customFormat="1">
      <c r="A755" s="33" t="str">
        <f t="shared" si="220"/>
        <v>FY 18/19</v>
      </c>
      <c r="B755" s="152">
        <v>2018</v>
      </c>
      <c r="C755" s="152">
        <v>11</v>
      </c>
      <c r="D755" s="33" t="str">
        <f t="shared" si="221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2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17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5"/>
        <v>14483672.5</v>
      </c>
      <c r="AA755" s="13">
        <v>7.22E-2</v>
      </c>
      <c r="AB755" s="21">
        <f t="shared" si="234"/>
        <v>1045721.1544999999</v>
      </c>
      <c r="AC755" s="130">
        <f t="shared" si="223"/>
        <v>148387.83182354999</v>
      </c>
      <c r="AD755" s="169">
        <v>0.1419</v>
      </c>
      <c r="AE755" s="154">
        <f t="shared" si="224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8"/>
        <v>47416008.333399981</v>
      </c>
      <c r="AJ755" s="19">
        <f t="shared" si="219"/>
        <v>6981738.4465290187</v>
      </c>
      <c r="AK755" s="20">
        <f t="shared" si="225"/>
        <v>0.14724433143839863</v>
      </c>
      <c r="AL755" s="17"/>
      <c r="AM755" s="17"/>
      <c r="AN755" s="17"/>
      <c r="AO755" s="17"/>
      <c r="AP755" s="28" t="str">
        <f t="shared" si="226"/>
        <v>20193</v>
      </c>
      <c r="AQ755" s="28" t="str">
        <f t="shared" si="227"/>
        <v>20193JPY</v>
      </c>
      <c r="AR755" s="206" t="str">
        <f t="shared" si="228"/>
        <v>YAMAHA_Mounter</v>
      </c>
      <c r="AS755" s="22">
        <f t="shared" si="229"/>
        <v>4</v>
      </c>
      <c r="AT755" s="24" t="str">
        <f t="shared" si="230"/>
        <v>4-6 months</v>
      </c>
    </row>
    <row r="756" spans="1:46" s="12" customFormat="1">
      <c r="A756" s="33" t="str">
        <f t="shared" si="220"/>
        <v>FY 19/20</v>
      </c>
      <c r="B756" s="152">
        <v>2019</v>
      </c>
      <c r="C756" s="152">
        <v>6</v>
      </c>
      <c r="D756" s="33" t="str">
        <f t="shared" si="221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2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17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5"/>
        <v>650000</v>
      </c>
      <c r="AA756" s="13">
        <v>1.135</v>
      </c>
      <c r="AB756" s="21">
        <f t="shared" si="234"/>
        <v>652876.10619469034</v>
      </c>
      <c r="AC756" s="130">
        <f t="shared" si="223"/>
        <v>67572.676991150453</v>
      </c>
      <c r="AD756" s="169">
        <v>0.10349999999999999</v>
      </c>
      <c r="AE756" s="154">
        <f t="shared" si="224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8"/>
        <v>34015877.71150443</v>
      </c>
      <c r="AJ756" s="19">
        <f t="shared" si="219"/>
        <v>4446292.375441948</v>
      </c>
      <c r="AK756" s="20">
        <f t="shared" si="225"/>
        <v>0.13071226364205143</v>
      </c>
      <c r="AL756" s="17"/>
      <c r="AM756" s="17"/>
      <c r="AN756" s="17"/>
      <c r="AO756" s="17"/>
      <c r="AP756" s="28" t="str">
        <f t="shared" si="226"/>
        <v>20197</v>
      </c>
      <c r="AQ756" s="28" t="str">
        <f t="shared" si="227"/>
        <v>20197RMB</v>
      </c>
      <c r="AR756" s="206" t="str">
        <f t="shared" si="228"/>
        <v>YAMAHA_Mounter</v>
      </c>
      <c r="AS756" s="22">
        <f t="shared" si="229"/>
        <v>1</v>
      </c>
      <c r="AT756" s="24" t="str">
        <f t="shared" si="230"/>
        <v>0-3 months</v>
      </c>
    </row>
    <row r="757" spans="1:46" s="12" customFormat="1">
      <c r="A757" s="33" t="str">
        <f t="shared" si="220"/>
        <v>FY 18/19</v>
      </c>
      <c r="B757" s="152">
        <v>2019</v>
      </c>
      <c r="C757" s="152">
        <v>2</v>
      </c>
      <c r="D757" s="33" t="str">
        <f t="shared" si="221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2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17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5"/>
        <v>9696000</v>
      </c>
      <c r="AA757" s="13">
        <v>7.22E-2</v>
      </c>
      <c r="AB757" s="21">
        <f t="shared" si="234"/>
        <v>700051.2</v>
      </c>
      <c r="AC757" s="130">
        <f t="shared" si="223"/>
        <v>91496.69184</v>
      </c>
      <c r="AD757" s="169">
        <v>0.13070000000000001</v>
      </c>
      <c r="AE757" s="154">
        <f t="shared" si="224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8"/>
        <v>47416008.333399981</v>
      </c>
      <c r="AJ757" s="19">
        <f t="shared" si="219"/>
        <v>6981738.4465290187</v>
      </c>
      <c r="AK757" s="20">
        <f t="shared" si="225"/>
        <v>0.14724433143839863</v>
      </c>
      <c r="AL757" s="17"/>
      <c r="AM757" s="17"/>
      <c r="AN757" s="17"/>
      <c r="AO757" s="17"/>
      <c r="AP757" s="28" t="str">
        <f t="shared" si="226"/>
        <v>20193</v>
      </c>
      <c r="AQ757" s="28" t="str">
        <f t="shared" si="227"/>
        <v>20193JPY</v>
      </c>
      <c r="AR757" s="206" t="str">
        <f t="shared" si="228"/>
        <v>YAMAHA_Mounter</v>
      </c>
      <c r="AS757" s="22">
        <f t="shared" si="229"/>
        <v>1</v>
      </c>
      <c r="AT757" s="24" t="str">
        <f t="shared" si="230"/>
        <v>0-3 months</v>
      </c>
    </row>
    <row r="758" spans="1:46" s="12" customFormat="1">
      <c r="A758" s="33" t="str">
        <f t="shared" si="220"/>
        <v>FY 18/19</v>
      </c>
      <c r="B758" s="152">
        <v>2019</v>
      </c>
      <c r="C758" s="152">
        <v>3</v>
      </c>
      <c r="D758" s="33" t="str">
        <f t="shared" si="221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2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17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5"/>
        <v>12342400</v>
      </c>
      <c r="AA758" s="13">
        <v>7.22E-2</v>
      </c>
      <c r="AB758" s="21">
        <f t="shared" si="234"/>
        <v>891121.28</v>
      </c>
      <c r="AC758" s="130">
        <f t="shared" si="223"/>
        <v>157461.13017600001</v>
      </c>
      <c r="AD758" s="169">
        <v>0.1767</v>
      </c>
      <c r="AE758" s="154">
        <f t="shared" si="224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8"/>
        <v>47416008.333399981</v>
      </c>
      <c r="AJ758" s="19">
        <f t="shared" si="219"/>
        <v>6981738.4465290187</v>
      </c>
      <c r="AK758" s="20">
        <f t="shared" si="225"/>
        <v>0.14724433143839863</v>
      </c>
      <c r="AL758" s="17"/>
      <c r="AM758" s="17"/>
      <c r="AN758" s="17"/>
      <c r="AO758" s="17"/>
      <c r="AP758" s="28" t="str">
        <f t="shared" si="226"/>
        <v>20193</v>
      </c>
      <c r="AQ758" s="28" t="str">
        <f t="shared" si="227"/>
        <v>20193JPY</v>
      </c>
      <c r="AR758" s="206" t="str">
        <f t="shared" si="228"/>
        <v>YAMAHA_Mounter</v>
      </c>
      <c r="AS758" s="22">
        <f t="shared" si="229"/>
        <v>0</v>
      </c>
      <c r="AT758" s="24" t="str">
        <f t="shared" si="230"/>
        <v>0-3 months</v>
      </c>
    </row>
    <row r="759" spans="1:46" s="12" customFormat="1">
      <c r="A759" s="33" t="str">
        <f t="shared" si="220"/>
        <v>FY 20/21</v>
      </c>
      <c r="B759" s="152">
        <v>2020</v>
      </c>
      <c r="C759" s="152">
        <v>4</v>
      </c>
      <c r="D759" s="33" t="str">
        <f t="shared" si="221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2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17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5"/>
        <v>810000</v>
      </c>
      <c r="AA759" s="13">
        <v>1.095</v>
      </c>
      <c r="AB759" s="21">
        <f t="shared" si="234"/>
        <v>784911.50442477886</v>
      </c>
      <c r="AC759" s="130">
        <f t="shared" si="223"/>
        <v>181707.01327433632</v>
      </c>
      <c r="AD759" s="169">
        <v>0.23150000000000001</v>
      </c>
      <c r="AE759" s="154">
        <f t="shared" si="224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8"/>
        <v>28065694.408805311</v>
      </c>
      <c r="AJ759" s="19">
        <f t="shared" si="219"/>
        <v>4157433.2906989697</v>
      </c>
      <c r="AK759" s="20">
        <f t="shared" si="225"/>
        <v>0.14813220831602228</v>
      </c>
      <c r="AL759" s="17"/>
      <c r="AM759" s="17"/>
      <c r="AN759" s="17"/>
      <c r="AO759" s="17"/>
      <c r="AP759" s="28" t="str">
        <f t="shared" si="226"/>
        <v>20205</v>
      </c>
      <c r="AQ759" s="28" t="str">
        <f t="shared" si="227"/>
        <v>20205RMB</v>
      </c>
      <c r="AR759" s="206" t="str">
        <f t="shared" si="228"/>
        <v>YAMAHA_Mounter</v>
      </c>
      <c r="AS759" s="22">
        <f t="shared" si="229"/>
        <v>1</v>
      </c>
      <c r="AT759" s="24" t="str">
        <f t="shared" si="230"/>
        <v>0-3 months</v>
      </c>
    </row>
    <row r="760" spans="1:46" s="12" customFormat="1">
      <c r="A760" s="33" t="str">
        <f t="shared" si="220"/>
        <v>FY 20/21</v>
      </c>
      <c r="B760" s="152">
        <v>2020</v>
      </c>
      <c r="C760" s="152">
        <v>12</v>
      </c>
      <c r="D760" s="33" t="str">
        <f t="shared" si="221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2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17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5"/>
        <v>11338000</v>
      </c>
      <c r="AA760" s="13">
        <v>7.6100000000000001E-2</v>
      </c>
      <c r="AB760" s="21">
        <f t="shared" si="234"/>
        <v>862821.8</v>
      </c>
      <c r="AC760" s="130">
        <f t="shared" si="223"/>
        <v>126403.3937</v>
      </c>
      <c r="AD760" s="169">
        <v>0.14649999999999999</v>
      </c>
      <c r="AE760" s="154">
        <f t="shared" si="224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8"/>
        <v>48763143.537654862</v>
      </c>
      <c r="AJ760" s="19">
        <f t="shared" si="219"/>
        <v>5924029.9702154724</v>
      </c>
      <c r="AK760" s="20">
        <f t="shared" si="225"/>
        <v>0.1214858095774925</v>
      </c>
      <c r="AL760" s="17"/>
      <c r="AM760" s="17"/>
      <c r="AN760" s="17"/>
      <c r="AO760" s="17"/>
      <c r="AP760" s="28" t="str">
        <f t="shared" si="226"/>
        <v>202012</v>
      </c>
      <c r="AQ760" s="28" t="str">
        <f t="shared" si="227"/>
        <v>202012JPY</v>
      </c>
      <c r="AR760" s="206" t="str">
        <f t="shared" si="228"/>
        <v>YAMAHA_Mounter</v>
      </c>
      <c r="AS760" s="22">
        <f t="shared" si="229"/>
        <v>0</v>
      </c>
      <c r="AT760" s="24" t="str">
        <f t="shared" si="230"/>
        <v>0-3 months</v>
      </c>
    </row>
    <row r="761" spans="1:46" s="12" customFormat="1">
      <c r="A761" s="33" t="str">
        <f t="shared" si="220"/>
        <v>FY 20/21</v>
      </c>
      <c r="B761" s="152">
        <v>2020</v>
      </c>
      <c r="C761" s="152">
        <v>12</v>
      </c>
      <c r="D761" s="33" t="str">
        <f t="shared" si="221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2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17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5"/>
        <v>13580000</v>
      </c>
      <c r="AA761" s="13">
        <v>7.4499999999999997E-2</v>
      </c>
      <c r="AB761" s="21">
        <f t="shared" si="234"/>
        <v>1011710</v>
      </c>
      <c r="AC761" s="130">
        <f t="shared" si="223"/>
        <v>148215.51499999998</v>
      </c>
      <c r="AD761" s="169">
        <v>0.14649999999999999</v>
      </c>
      <c r="AE761" s="154">
        <f t="shared" si="224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8"/>
        <v>57778307.282035396</v>
      </c>
      <c r="AJ761" s="19">
        <f t="shared" si="219"/>
        <v>7259860.7225420559</v>
      </c>
      <c r="AK761" s="20">
        <f t="shared" si="225"/>
        <v>0.12565028406083667</v>
      </c>
      <c r="AL761" s="17"/>
      <c r="AM761" s="17"/>
      <c r="AN761" s="17"/>
      <c r="AO761" s="17"/>
      <c r="AP761" s="28" t="str">
        <f t="shared" si="226"/>
        <v>20213</v>
      </c>
      <c r="AQ761" s="28" t="str">
        <f t="shared" si="227"/>
        <v>20213JPY</v>
      </c>
      <c r="AR761" s="206" t="str">
        <f t="shared" si="228"/>
        <v>YAMAHA_Mounter</v>
      </c>
      <c r="AS761" s="22">
        <f t="shared" si="229"/>
        <v>3</v>
      </c>
      <c r="AT761" s="24" t="str">
        <f t="shared" si="230"/>
        <v>0-3 months</v>
      </c>
    </row>
    <row r="762" spans="1:46" s="12" customFormat="1">
      <c r="A762" s="33" t="str">
        <f t="shared" si="220"/>
        <v>FY 20/21</v>
      </c>
      <c r="B762" s="152">
        <v>2020</v>
      </c>
      <c r="C762" s="152">
        <v>12</v>
      </c>
      <c r="D762" s="33" t="str">
        <f t="shared" si="221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2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17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5"/>
        <v>13580000</v>
      </c>
      <c r="AA762" s="13">
        <v>7.4499999999999997E-2</v>
      </c>
      <c r="AB762" s="21">
        <f t="shared" si="234"/>
        <v>1011710</v>
      </c>
      <c r="AC762" s="130">
        <f t="shared" si="223"/>
        <v>148215.51499999998</v>
      </c>
      <c r="AD762" s="169">
        <v>0.14649999999999999</v>
      </c>
      <c r="AE762" s="154">
        <f t="shared" si="224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8"/>
        <v>57778307.282035396</v>
      </c>
      <c r="AJ762" s="19">
        <f t="shared" si="219"/>
        <v>7259860.7225420559</v>
      </c>
      <c r="AK762" s="20">
        <f t="shared" si="225"/>
        <v>0.12565028406083667</v>
      </c>
      <c r="AL762" s="17"/>
      <c r="AM762" s="17"/>
      <c r="AN762" s="17"/>
      <c r="AO762" s="17"/>
      <c r="AP762" s="28" t="str">
        <f t="shared" si="226"/>
        <v>20213</v>
      </c>
      <c r="AQ762" s="28" t="str">
        <f t="shared" si="227"/>
        <v>20213JPY</v>
      </c>
      <c r="AR762" s="206" t="str">
        <f t="shared" si="228"/>
        <v>YAMAHA_Mounter</v>
      </c>
      <c r="AS762" s="22">
        <f t="shared" si="229"/>
        <v>3</v>
      </c>
      <c r="AT762" s="24" t="str">
        <f t="shared" si="230"/>
        <v>0-3 months</v>
      </c>
    </row>
    <row r="763" spans="1:46" s="12" customFormat="1">
      <c r="A763" s="33" t="str">
        <f t="shared" si="220"/>
        <v>FY 23/24</v>
      </c>
      <c r="B763" s="152">
        <v>2023</v>
      </c>
      <c r="C763" s="152">
        <v>11</v>
      </c>
      <c r="D763" s="33" t="str">
        <f t="shared" si="221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2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17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5"/>
        <v>12200000</v>
      </c>
      <c r="AA763" s="13">
        <v>5.3400000000000003E-2</v>
      </c>
      <c r="AB763" s="21">
        <f t="shared" si="234"/>
        <v>651480</v>
      </c>
      <c r="AC763" s="130">
        <f t="shared" si="223"/>
        <v>80197.187999999995</v>
      </c>
      <c r="AD763" s="169">
        <v>0.1231</v>
      </c>
      <c r="AE763" s="154">
        <f t="shared" si="224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8"/>
        <v>11730565.00042478</v>
      </c>
      <c r="AJ763" s="19">
        <f t="shared" si="219"/>
        <v>1439625.5685810833</v>
      </c>
      <c r="AK763" s="20">
        <f t="shared" si="225"/>
        <v>0.12272431622253084</v>
      </c>
      <c r="AL763" s="17"/>
      <c r="AM763" s="17"/>
      <c r="AN763" s="17"/>
      <c r="AO763" s="17"/>
      <c r="AP763" s="28" t="str">
        <f t="shared" si="226"/>
        <v>202311</v>
      </c>
      <c r="AQ763" s="28" t="str">
        <f t="shared" si="227"/>
        <v>202311JPY</v>
      </c>
      <c r="AR763" s="206" t="str">
        <f t="shared" si="228"/>
        <v>YAMAHA_Mounter</v>
      </c>
      <c r="AS763" s="22">
        <f t="shared" si="229"/>
        <v>0</v>
      </c>
      <c r="AT763" s="24" t="str">
        <f t="shared" si="230"/>
        <v>0-3 months</v>
      </c>
    </row>
    <row r="764" spans="1:46" s="12" customFormat="1">
      <c r="A764" s="33" t="str">
        <f t="shared" si="220"/>
        <v>FY 23/24</v>
      </c>
      <c r="B764" s="152">
        <v>2023</v>
      </c>
      <c r="C764" s="152">
        <v>11</v>
      </c>
      <c r="D764" s="33" t="str">
        <f t="shared" si="221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2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17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5"/>
        <v>7950000</v>
      </c>
      <c r="AA764" s="13">
        <v>5.3400000000000003E-2</v>
      </c>
      <c r="AB764" s="21">
        <f t="shared" si="234"/>
        <v>424530</v>
      </c>
      <c r="AC764" s="130">
        <f t="shared" si="223"/>
        <v>38419.964999999997</v>
      </c>
      <c r="AD764" s="169">
        <v>9.0499999999999997E-2</v>
      </c>
      <c r="AE764" s="154">
        <f t="shared" si="224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8"/>
        <v>11730565.00042478</v>
      </c>
      <c r="AJ764" s="19">
        <f t="shared" si="219"/>
        <v>1439625.5685810833</v>
      </c>
      <c r="AK764" s="20">
        <f t="shared" si="225"/>
        <v>0.12272431622253084</v>
      </c>
      <c r="AL764" s="17"/>
      <c r="AM764" s="17"/>
      <c r="AN764" s="17"/>
      <c r="AO764" s="17"/>
      <c r="AP764" s="28" t="str">
        <f t="shared" si="226"/>
        <v>202311</v>
      </c>
      <c r="AQ764" s="28" t="str">
        <f t="shared" si="227"/>
        <v>202311JPY</v>
      </c>
      <c r="AR764" s="206" t="str">
        <f t="shared" si="228"/>
        <v>YAMAHA_Mounter</v>
      </c>
      <c r="AS764" s="22">
        <f t="shared" si="229"/>
        <v>0</v>
      </c>
      <c r="AT764" s="24" t="str">
        <f t="shared" si="230"/>
        <v>0-3 months</v>
      </c>
    </row>
    <row r="765" spans="1:46" s="12" customFormat="1">
      <c r="A765" s="33" t="str">
        <f t="shared" si="220"/>
        <v>FY 18/19</v>
      </c>
      <c r="B765" s="152">
        <v>2018</v>
      </c>
      <c r="C765" s="152">
        <v>5</v>
      </c>
      <c r="D765" s="33" t="str">
        <f t="shared" si="221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2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17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5"/>
        <v>30741964</v>
      </c>
      <c r="AA765" s="13">
        <v>7.0199999999999999E-2</v>
      </c>
      <c r="AB765" s="21">
        <f t="shared" si="234"/>
        <v>2158085.8728</v>
      </c>
      <c r="AC765" s="130">
        <f t="shared" si="223"/>
        <v>349609.91139359999</v>
      </c>
      <c r="AD765" s="169">
        <v>0.16200000000000001</v>
      </c>
      <c r="AE765" s="154">
        <f t="shared" si="224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8"/>
        <v>10786543.370020689</v>
      </c>
      <c r="AJ765" s="19">
        <f t="shared" si="219"/>
        <v>1330367.5841569281</v>
      </c>
      <c r="AK765" s="20">
        <f t="shared" si="225"/>
        <v>0.123335858255987</v>
      </c>
      <c r="AL765" s="17"/>
      <c r="AM765" s="17"/>
      <c r="AN765" s="17"/>
      <c r="AO765" s="17"/>
      <c r="AP765" s="28" t="str">
        <f t="shared" si="226"/>
        <v>201810</v>
      </c>
      <c r="AQ765" s="28" t="str">
        <f t="shared" si="227"/>
        <v>201810JPY</v>
      </c>
      <c r="AR765" s="206" t="str">
        <f t="shared" si="228"/>
        <v>YAMAHA_Mounter</v>
      </c>
      <c r="AS765" s="22">
        <f t="shared" si="229"/>
        <v>5</v>
      </c>
      <c r="AT765" s="24" t="str">
        <f t="shared" si="230"/>
        <v>4-6 months</v>
      </c>
    </row>
    <row r="766" spans="1:46" s="12" customFormat="1">
      <c r="A766" s="33" t="str">
        <f t="shared" si="220"/>
        <v>FY 20/21</v>
      </c>
      <c r="B766" s="152">
        <v>2020</v>
      </c>
      <c r="C766" s="152">
        <v>12</v>
      </c>
      <c r="D766" s="33" t="str">
        <f t="shared" si="221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2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17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5"/>
        <v>8110000</v>
      </c>
      <c r="AA766" s="13">
        <v>7.5700000000000003E-2</v>
      </c>
      <c r="AB766" s="21">
        <f t="shared" si="234"/>
        <v>613927</v>
      </c>
      <c r="AC766" s="130">
        <f t="shared" si="223"/>
        <v>92089.05</v>
      </c>
      <c r="AD766" s="169">
        <v>0.15</v>
      </c>
      <c r="AE766" s="154">
        <f t="shared" si="224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8"/>
        <v>31097187.02948761</v>
      </c>
      <c r="AJ766" s="19">
        <f t="shared" si="219"/>
        <v>3892353.6644401965</v>
      </c>
      <c r="AK766" s="20">
        <f t="shared" si="225"/>
        <v>0.12516738767237401</v>
      </c>
      <c r="AL766" s="17"/>
      <c r="AM766" s="17"/>
      <c r="AN766" s="17"/>
      <c r="AO766" s="17"/>
      <c r="AP766" s="28" t="str">
        <f t="shared" si="226"/>
        <v>20212</v>
      </c>
      <c r="AQ766" s="28" t="str">
        <f t="shared" si="227"/>
        <v>20212JPY</v>
      </c>
      <c r="AR766" s="206" t="str">
        <f t="shared" si="228"/>
        <v>YAMAHA_Mounter</v>
      </c>
      <c r="AS766" s="22">
        <f t="shared" si="229"/>
        <v>2</v>
      </c>
      <c r="AT766" s="24" t="str">
        <f t="shared" si="230"/>
        <v>0-3 months</v>
      </c>
    </row>
    <row r="767" spans="1:46" s="12" customFormat="1">
      <c r="A767" s="33" t="str">
        <f t="shared" si="220"/>
        <v>FY 22/23</v>
      </c>
      <c r="B767" s="152">
        <v>2022</v>
      </c>
      <c r="C767" s="152">
        <v>11</v>
      </c>
      <c r="D767" s="33" t="str">
        <f t="shared" si="221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2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17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5"/>
        <v>720000</v>
      </c>
      <c r="AA767" s="13">
        <v>1.08</v>
      </c>
      <c r="AB767" s="21">
        <f t="shared" si="234"/>
        <v>688141.5929203541</v>
      </c>
      <c r="AC767" s="130">
        <f t="shared" si="223"/>
        <v>74938.619469026555</v>
      </c>
      <c r="AD767" s="169">
        <v>0.1089</v>
      </c>
      <c r="AE767" s="154">
        <f t="shared" si="224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8"/>
        <v>31017966.201968137</v>
      </c>
      <c r="AJ767" s="19">
        <f t="shared" si="219"/>
        <v>4704250.3347305888</v>
      </c>
      <c r="AK767" s="20">
        <f t="shared" si="225"/>
        <v>0.15166211427595458</v>
      </c>
      <c r="AL767" s="17"/>
      <c r="AM767" s="17"/>
      <c r="AN767" s="17"/>
      <c r="AO767" s="17"/>
      <c r="AP767" s="28" t="str">
        <f t="shared" si="226"/>
        <v>202211</v>
      </c>
      <c r="AQ767" s="28" t="str">
        <f t="shared" si="227"/>
        <v>202211RMB</v>
      </c>
      <c r="AR767" s="206" t="str">
        <f t="shared" si="228"/>
        <v>YAMAHA_Mounter</v>
      </c>
      <c r="AS767" s="22">
        <f t="shared" si="229"/>
        <v>0</v>
      </c>
      <c r="AT767" s="24" t="str">
        <f t="shared" si="230"/>
        <v>0-3 months</v>
      </c>
    </row>
    <row r="768" spans="1:46" s="12" customFormat="1">
      <c r="A768" s="33" t="str">
        <f t="shared" si="220"/>
        <v>FY 20/21</v>
      </c>
      <c r="B768" s="152">
        <v>2020</v>
      </c>
      <c r="C768" s="152">
        <v>7</v>
      </c>
      <c r="D768" s="33" t="str">
        <f t="shared" si="221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2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17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5"/>
        <v>790000</v>
      </c>
      <c r="AA768" s="13">
        <v>1.135</v>
      </c>
      <c r="AB768" s="21">
        <f t="shared" si="234"/>
        <v>793495.57522123901</v>
      </c>
      <c r="AC768" s="130">
        <f t="shared" si="223"/>
        <v>93473.778761061956</v>
      </c>
      <c r="AD768" s="169">
        <v>0.1178</v>
      </c>
      <c r="AE768" s="154">
        <f t="shared" si="224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8"/>
        <v>28011162.254106201</v>
      </c>
      <c r="AJ768" s="19">
        <f t="shared" si="219"/>
        <v>3401347.1124888416</v>
      </c>
      <c r="AK768" s="20">
        <f t="shared" si="225"/>
        <v>0.12142827497242578</v>
      </c>
      <c r="AL768" s="17"/>
      <c r="AM768" s="17"/>
      <c r="AN768" s="17"/>
      <c r="AO768" s="17"/>
      <c r="AP768" s="28" t="str">
        <f t="shared" si="226"/>
        <v>202010</v>
      </c>
      <c r="AQ768" s="28" t="str">
        <f t="shared" si="227"/>
        <v>202010RMB</v>
      </c>
      <c r="AR768" s="206" t="str">
        <f t="shared" si="228"/>
        <v>YAMAHA_Mounter</v>
      </c>
      <c r="AS768" s="22">
        <f t="shared" si="229"/>
        <v>3</v>
      </c>
      <c r="AT768" s="24" t="str">
        <f t="shared" si="230"/>
        <v>0-3 months</v>
      </c>
    </row>
    <row r="769" spans="1:46" s="12" customFormat="1">
      <c r="A769" s="33" t="str">
        <f t="shared" si="220"/>
        <v>FY 19/20</v>
      </c>
      <c r="B769" s="152">
        <v>2019</v>
      </c>
      <c r="C769" s="152">
        <v>7</v>
      </c>
      <c r="D769" s="33" t="str">
        <f t="shared" si="221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2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17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5"/>
        <v>11900000</v>
      </c>
      <c r="AA769" s="13">
        <v>7.3999999999999996E-2</v>
      </c>
      <c r="AB769" s="21">
        <f t="shared" si="234"/>
        <v>880600</v>
      </c>
      <c r="AC769" s="130">
        <f t="shared" si="223"/>
        <v>126013.86</v>
      </c>
      <c r="AD769" s="169">
        <v>0.1431</v>
      </c>
      <c r="AE769" s="154">
        <f t="shared" si="224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8"/>
        <v>34015877.71150443</v>
      </c>
      <c r="AJ769" s="19">
        <f t="shared" si="219"/>
        <v>4446292.375441948</v>
      </c>
      <c r="AK769" s="20">
        <f t="shared" si="225"/>
        <v>0.13071226364205143</v>
      </c>
      <c r="AL769" s="17"/>
      <c r="AM769" s="17"/>
      <c r="AN769" s="17"/>
      <c r="AO769" s="17"/>
      <c r="AP769" s="28" t="str">
        <f t="shared" si="226"/>
        <v>20197</v>
      </c>
      <c r="AQ769" s="28" t="str">
        <f t="shared" si="227"/>
        <v>20197JPY</v>
      </c>
      <c r="AR769" s="206" t="str">
        <f t="shared" si="228"/>
        <v>YAMAHA_Mounter</v>
      </c>
      <c r="AS769" s="22">
        <f t="shared" si="229"/>
        <v>0</v>
      </c>
      <c r="AT769" s="24" t="str">
        <f t="shared" si="230"/>
        <v>0-3 months</v>
      </c>
    </row>
    <row r="770" spans="1:46" s="12" customFormat="1">
      <c r="A770" s="33" t="str">
        <f t="shared" si="220"/>
        <v>FY 19/20</v>
      </c>
      <c r="B770" s="152">
        <v>2019</v>
      </c>
      <c r="C770" s="152">
        <v>7</v>
      </c>
      <c r="D770" s="33" t="str">
        <f t="shared" si="221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2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ref="P770:P833" si="236">IF(M770="","",IF(AND(N770&gt;0,L770&lt;&gt;""),"MAIN UNIT",IF(AND(O770&gt;0,L770&lt;&gt;""),"SERVICE/ PARTS","C66 SERVICE/OTHERS")))</f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5"/>
        <v>11900000</v>
      </c>
      <c r="AA770" s="13">
        <v>7.3999999999999996E-2</v>
      </c>
      <c r="AB770" s="21">
        <f t="shared" si="234"/>
        <v>880600</v>
      </c>
      <c r="AC770" s="130">
        <f t="shared" si="223"/>
        <v>126013.86</v>
      </c>
      <c r="AD770" s="169">
        <v>0.1431</v>
      </c>
      <c r="AE770" s="154">
        <f t="shared" si="224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7">IF(P770="C66 SERVICE","",SUMIFS(AB:AB,F:F,F770,G:G,G770,E:E,E770))</f>
        <v>34015877.71150443</v>
      </c>
      <c r="AJ770" s="19">
        <f t="shared" ref="AJ770:AJ833" si="238">IF(P770="C66 SERVICE","",SUMIFS(AC:AC,F:F,F770,G:G,G770,E:E,E770))</f>
        <v>4446292.375441948</v>
      </c>
      <c r="AK770" s="20">
        <f t="shared" si="225"/>
        <v>0.13071226364205143</v>
      </c>
      <c r="AL770" s="17"/>
      <c r="AM770" s="17"/>
      <c r="AN770" s="17"/>
      <c r="AO770" s="17"/>
      <c r="AP770" s="28" t="str">
        <f t="shared" si="226"/>
        <v>20197</v>
      </c>
      <c r="AQ770" s="28" t="str">
        <f t="shared" si="227"/>
        <v>20197JPY</v>
      </c>
      <c r="AR770" s="206" t="str">
        <f t="shared" si="228"/>
        <v>YAMAHA_Mounter</v>
      </c>
      <c r="AS770" s="22">
        <f t="shared" si="229"/>
        <v>0</v>
      </c>
      <c r="AT770" s="24" t="str">
        <f t="shared" si="230"/>
        <v>0-3 months</v>
      </c>
    </row>
    <row r="771" spans="1:46" s="12" customFormat="1">
      <c r="A771" s="33" t="str">
        <f t="shared" si="220"/>
        <v>FY 21/22</v>
      </c>
      <c r="B771" s="152">
        <v>2021</v>
      </c>
      <c r="C771" s="152">
        <v>10</v>
      </c>
      <c r="D771" s="33" t="str">
        <f t="shared" si="221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2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36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5"/>
        <v>8600000</v>
      </c>
      <c r="AA771" s="13">
        <v>6.25E-2</v>
      </c>
      <c r="AB771" s="21">
        <f t="shared" si="234"/>
        <v>537500</v>
      </c>
      <c r="AC771" s="130">
        <f t="shared" si="223"/>
        <v>125183.75</v>
      </c>
      <c r="AD771" s="169">
        <v>0.2329</v>
      </c>
      <c r="AE771" s="154">
        <f t="shared" si="224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7"/>
        <v>35682787.057522126</v>
      </c>
      <c r="AJ771" s="19">
        <f t="shared" si="238"/>
        <v>5833368.3789623892</v>
      </c>
      <c r="AK771" s="20">
        <f t="shared" si="225"/>
        <v>0.16347849649632912</v>
      </c>
      <c r="AL771" s="17"/>
      <c r="AM771" s="17"/>
      <c r="AN771" s="17"/>
      <c r="AO771" s="17"/>
      <c r="AP771" s="28" t="str">
        <f t="shared" si="226"/>
        <v>20226</v>
      </c>
      <c r="AQ771" s="28" t="str">
        <f t="shared" si="227"/>
        <v>20226JPY</v>
      </c>
      <c r="AR771" s="206" t="str">
        <f t="shared" si="228"/>
        <v>YAMAHA_Mounter</v>
      </c>
      <c r="AS771" s="22">
        <f t="shared" si="229"/>
        <v>8</v>
      </c>
      <c r="AT771" s="24" t="str">
        <f t="shared" si="230"/>
        <v>&gt; 6 months</v>
      </c>
    </row>
    <row r="772" spans="1:46" s="12" customFormat="1">
      <c r="A772" s="33" t="str">
        <f t="shared" si="220"/>
        <v>FY 23/24</v>
      </c>
      <c r="B772" s="152">
        <v>2023</v>
      </c>
      <c r="C772" s="152">
        <v>7</v>
      </c>
      <c r="D772" s="33" t="str">
        <f t="shared" si="221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2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36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5"/>
        <v>850000</v>
      </c>
      <c r="AA772" s="13">
        <v>1.0920000000000001</v>
      </c>
      <c r="AB772" s="21">
        <f t="shared" si="234"/>
        <v>821415.92920353997</v>
      </c>
      <c r="AC772" s="130">
        <f t="shared" si="223"/>
        <v>79759.486725663737</v>
      </c>
      <c r="AD772" s="169">
        <v>9.7100000000000006E-2</v>
      </c>
      <c r="AE772" s="154">
        <f t="shared" si="224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7"/>
        <v>22953677.784070797</v>
      </c>
      <c r="AJ772" s="19">
        <f t="shared" si="238"/>
        <v>4168706.6744155753</v>
      </c>
      <c r="AK772" s="20">
        <f t="shared" si="225"/>
        <v>0.18161388835511752</v>
      </c>
      <c r="AL772" s="17"/>
      <c r="AM772" s="17"/>
      <c r="AN772" s="17"/>
      <c r="AO772" s="17"/>
      <c r="AP772" s="28" t="str">
        <f t="shared" si="226"/>
        <v>20238</v>
      </c>
      <c r="AQ772" s="28" t="str">
        <f t="shared" si="227"/>
        <v>20238RMB</v>
      </c>
      <c r="AR772" s="206" t="str">
        <f t="shared" si="228"/>
        <v>YAMAHA_Mounter</v>
      </c>
      <c r="AS772" s="22">
        <f t="shared" si="229"/>
        <v>1</v>
      </c>
      <c r="AT772" s="24" t="str">
        <f t="shared" si="230"/>
        <v>0-3 months</v>
      </c>
    </row>
    <row r="773" spans="1:46" s="12" customFormat="1">
      <c r="A773" s="33" t="str">
        <f t="shared" si="220"/>
        <v>FY 23/24</v>
      </c>
      <c r="B773" s="152">
        <v>2023</v>
      </c>
      <c r="C773" s="152">
        <v>7</v>
      </c>
      <c r="D773" s="33" t="str">
        <f t="shared" si="221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2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36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5"/>
        <v>680000</v>
      </c>
      <c r="AA773" s="13">
        <v>1.0920000000000001</v>
      </c>
      <c r="AB773" s="21">
        <f t="shared" si="234"/>
        <v>657132.743362832</v>
      </c>
      <c r="AC773" s="130">
        <f t="shared" si="223"/>
        <v>63807.58938053099</v>
      </c>
      <c r="AD773" s="169">
        <v>9.7100000000000006E-2</v>
      </c>
      <c r="AE773" s="154">
        <f t="shared" si="224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7"/>
        <v>22953677.784070797</v>
      </c>
      <c r="AJ773" s="19">
        <f t="shared" si="238"/>
        <v>4168706.6744155753</v>
      </c>
      <c r="AK773" s="20">
        <f t="shared" si="225"/>
        <v>0.18161388835511752</v>
      </c>
      <c r="AL773" s="17"/>
      <c r="AM773" s="17"/>
      <c r="AN773" s="17"/>
      <c r="AO773" s="17"/>
      <c r="AP773" s="28" t="str">
        <f t="shared" si="226"/>
        <v>20238</v>
      </c>
      <c r="AQ773" s="28" t="str">
        <f t="shared" si="227"/>
        <v>20238RMB</v>
      </c>
      <c r="AR773" s="206" t="str">
        <f t="shared" si="228"/>
        <v>YAMAHA_Mounter</v>
      </c>
      <c r="AS773" s="22">
        <f t="shared" si="229"/>
        <v>1</v>
      </c>
      <c r="AT773" s="24" t="str">
        <f t="shared" si="230"/>
        <v>0-3 months</v>
      </c>
    </row>
    <row r="774" spans="1:46" s="12" customFormat="1">
      <c r="A774" s="33" t="str">
        <f t="shared" ref="A774:A837" si="239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40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41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si="236"/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5"/>
        <v>720000</v>
      </c>
      <c r="AA774" s="13">
        <v>1.135</v>
      </c>
      <c r="AB774" s="21">
        <f t="shared" si="234"/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7"/>
        <v>477651199.57437885</v>
      </c>
      <c r="AJ774" s="19">
        <f t="shared" si="238"/>
        <v>56918800.518691957</v>
      </c>
      <c r="AK774" s="20">
        <f t="shared" ref="AK774:AK837" si="244">IF(AJ774&gt;0,AJ774/AI774,"")</f>
        <v>0.11916394341605475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</row>
    <row r="775" spans="1:46" s="12" customFormat="1">
      <c r="A775" s="33" t="str">
        <f t="shared" si="239"/>
        <v>FY 18/19</v>
      </c>
      <c r="B775" s="152">
        <v>2018</v>
      </c>
      <c r="C775" s="152">
        <v>4</v>
      </c>
      <c r="D775" s="33" t="str">
        <f t="shared" si="240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41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36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5"/>
        <v>1560000</v>
      </c>
      <c r="AA775" s="13">
        <v>1.23</v>
      </c>
      <c r="AB775" s="21">
        <f t="shared" si="234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7"/>
        <v>24398045.86045352</v>
      </c>
      <c r="AJ775" s="19">
        <f t="shared" si="238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</row>
    <row r="776" spans="1:46" s="12" customFormat="1">
      <c r="A776" s="33" t="str">
        <f t="shared" si="239"/>
        <v>cancel</v>
      </c>
      <c r="B776" s="152"/>
      <c r="C776" s="152" t="s">
        <v>186</v>
      </c>
      <c r="D776" s="33" t="str">
        <f t="shared" si="240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41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36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5"/>
        <v>9900000</v>
      </c>
      <c r="AA776" s="13">
        <v>7.0199999999999999E-2</v>
      </c>
      <c r="AB776" s="21">
        <f t="shared" si="234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7"/>
        <v>477651199.57437885</v>
      </c>
      <c r="AJ776" s="19">
        <f t="shared" si="238"/>
        <v>56918800.518691957</v>
      </c>
      <c r="AK776" s="20">
        <f t="shared" si="244"/>
        <v>0.11916394341605475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</row>
    <row r="777" spans="1:46" s="12" customFormat="1">
      <c r="A777" s="33" t="str">
        <f t="shared" si="239"/>
        <v>cancel</v>
      </c>
      <c r="B777" s="152"/>
      <c r="C777" s="152" t="s">
        <v>186</v>
      </c>
      <c r="D777" s="33" t="str">
        <f t="shared" si="240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41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36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5"/>
        <v>30000000</v>
      </c>
      <c r="AA777" s="13">
        <v>7.0199999999999999E-2</v>
      </c>
      <c r="AB777" s="21">
        <f t="shared" si="234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7"/>
        <v>477651199.57437885</v>
      </c>
      <c r="AJ777" s="19">
        <f t="shared" si="238"/>
        <v>56918800.518691957</v>
      </c>
      <c r="AK777" s="20">
        <f t="shared" si="244"/>
        <v>0.11916394341605475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</row>
    <row r="778" spans="1:46" s="12" customFormat="1">
      <c r="A778" s="33" t="str">
        <f t="shared" si="239"/>
        <v>FY 21/22</v>
      </c>
      <c r="B778" s="152">
        <v>2021</v>
      </c>
      <c r="C778" s="152">
        <v>8</v>
      </c>
      <c r="D778" s="33" t="str">
        <f t="shared" si="240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41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36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5"/>
        <v>16500000</v>
      </c>
      <c r="AA778" s="13">
        <v>7.0000000000000007E-2</v>
      </c>
      <c r="AB778" s="21">
        <f t="shared" si="234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7"/>
        <v>29500529.005044252</v>
      </c>
      <c r="AJ778" s="19">
        <f t="shared" si="238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</row>
    <row r="779" spans="1:46" s="12" customFormat="1">
      <c r="A779" s="33" t="str">
        <f t="shared" si="239"/>
        <v>FY 21/22</v>
      </c>
      <c r="B779" s="152">
        <v>2021</v>
      </c>
      <c r="C779" s="152">
        <v>8</v>
      </c>
      <c r="D779" s="33" t="str">
        <f t="shared" si="240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41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36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5"/>
        <v>16500000</v>
      </c>
      <c r="AA779" s="13">
        <v>7.0000000000000007E-2</v>
      </c>
      <c r="AB779" s="21">
        <f t="shared" si="234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7"/>
        <v>29500529.005044252</v>
      </c>
      <c r="AJ779" s="19">
        <f t="shared" si="238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</row>
    <row r="780" spans="1:46" s="12" customFormat="1">
      <c r="A780" s="33" t="str">
        <f t="shared" si="239"/>
        <v>FY 21/22</v>
      </c>
      <c r="B780" s="152">
        <v>2021</v>
      </c>
      <c r="C780" s="152">
        <v>9</v>
      </c>
      <c r="D780" s="33" t="str">
        <f t="shared" si="240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41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36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5"/>
        <v>24300000</v>
      </c>
      <c r="AA780" s="13">
        <v>6.9199999999999998E-2</v>
      </c>
      <c r="AB780" s="21">
        <f t="shared" si="234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7"/>
        <v>31750699.113741599</v>
      </c>
      <c r="AJ780" s="19">
        <f t="shared" si="238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</row>
    <row r="781" spans="1:46" s="12" customFormat="1">
      <c r="A781" s="33" t="str">
        <f t="shared" si="239"/>
        <v>cancel</v>
      </c>
      <c r="B781" s="152"/>
      <c r="C781" s="152" t="s">
        <v>186</v>
      </c>
      <c r="D781" s="33" t="str">
        <f t="shared" si="240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41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36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5"/>
        <v>720000</v>
      </c>
      <c r="AA781" s="13">
        <v>1.135</v>
      </c>
      <c r="AB781" s="21">
        <f t="shared" si="234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7"/>
        <v>477651199.57437885</v>
      </c>
      <c r="AJ781" s="19">
        <f t="shared" si="238"/>
        <v>56918800.518691957</v>
      </c>
      <c r="AK781" s="20">
        <f t="shared" si="244"/>
        <v>0.11916394341605475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</row>
    <row r="782" spans="1:46" s="12" customFormat="1" ht="28">
      <c r="A782" s="33" t="str">
        <f t="shared" si="239"/>
        <v>FY 21/22</v>
      </c>
      <c r="B782" s="152">
        <v>2021</v>
      </c>
      <c r="C782" s="152">
        <v>9</v>
      </c>
      <c r="D782" s="33" t="str">
        <f t="shared" si="240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41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36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5"/>
        <v>45499.199999999997</v>
      </c>
      <c r="AA782" s="13">
        <v>1.2</v>
      </c>
      <c r="AB782" s="21">
        <f t="shared" si="234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7"/>
        <v>15533177.71460177</v>
      </c>
      <c r="AJ782" s="19">
        <f t="shared" si="238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</row>
    <row r="783" spans="1:46" s="12" customFormat="1">
      <c r="A783" s="33" t="str">
        <f t="shared" si="239"/>
        <v>FY 19/20</v>
      </c>
      <c r="B783" s="152">
        <v>2019</v>
      </c>
      <c r="C783" s="152">
        <v>12</v>
      </c>
      <c r="D783" s="33" t="str">
        <f t="shared" si="240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41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36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5"/>
        <v>732375</v>
      </c>
      <c r="AA783" s="13">
        <v>1.095</v>
      </c>
      <c r="AB783" s="21">
        <f t="shared" si="234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7"/>
        <v>23168285.927433632</v>
      </c>
      <c r="AJ783" s="19">
        <f t="shared" si="238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</row>
    <row r="784" spans="1:46" s="12" customFormat="1">
      <c r="A784" s="33" t="str">
        <f t="shared" si="239"/>
        <v>FY 19/20</v>
      </c>
      <c r="B784" s="152">
        <v>2019</v>
      </c>
      <c r="C784" s="152">
        <v>12</v>
      </c>
      <c r="D784" s="33" t="str">
        <f t="shared" si="240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41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36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5"/>
        <v>467625</v>
      </c>
      <c r="AA784" s="13">
        <v>1.095</v>
      </c>
      <c r="AB784" s="21">
        <f t="shared" si="234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7"/>
        <v>23168285.927433632</v>
      </c>
      <c r="AJ784" s="19">
        <f t="shared" si="238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</row>
    <row r="785" spans="1:46" s="12" customFormat="1">
      <c r="A785" s="33" t="str">
        <f t="shared" si="239"/>
        <v>FY 19/20</v>
      </c>
      <c r="B785" s="152">
        <v>2020</v>
      </c>
      <c r="C785" s="152">
        <v>1</v>
      </c>
      <c r="D785" s="33" t="str">
        <f t="shared" si="240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41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36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5"/>
        <v>10736800</v>
      </c>
      <c r="AA785" s="13">
        <v>7.2700000000000001E-2</v>
      </c>
      <c r="AB785" s="21">
        <f t="shared" si="234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7"/>
        <v>14005204.685000001</v>
      </c>
      <c r="AJ785" s="19">
        <f t="shared" si="238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</row>
    <row r="786" spans="1:46" s="12" customFormat="1">
      <c r="A786" s="33" t="str">
        <f t="shared" si="239"/>
        <v>FY 19/20</v>
      </c>
      <c r="B786" s="152">
        <v>2020</v>
      </c>
      <c r="C786" s="152">
        <v>1</v>
      </c>
      <c r="D786" s="33" t="str">
        <f t="shared" si="240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41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36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5"/>
        <v>7158000</v>
      </c>
      <c r="AA786" s="13">
        <v>7.2700000000000001E-2</v>
      </c>
      <c r="AB786" s="21">
        <f t="shared" si="234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7"/>
        <v>14005204.685000001</v>
      </c>
      <c r="AJ786" s="19">
        <f t="shared" si="238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</row>
    <row r="787" spans="1:46" s="12" customFormat="1">
      <c r="A787" s="33" t="str">
        <f t="shared" si="239"/>
        <v>FY 18/19</v>
      </c>
      <c r="B787" s="152">
        <v>2018</v>
      </c>
      <c r="C787" s="152">
        <v>11</v>
      </c>
      <c r="D787" s="33" t="str">
        <f t="shared" si="240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41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36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5"/>
        <v>1584000</v>
      </c>
      <c r="AA787" s="13">
        <v>1.125</v>
      </c>
      <c r="AB787" s="21">
        <f t="shared" si="234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7"/>
        <v>23237072.69172414</v>
      </c>
      <c r="AJ787" s="19">
        <f t="shared" si="238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</row>
    <row r="788" spans="1:46" s="12" customFormat="1">
      <c r="A788" s="33" t="str">
        <f t="shared" si="239"/>
        <v>FY 18/19</v>
      </c>
      <c r="B788" s="152">
        <v>2018</v>
      </c>
      <c r="C788" s="152">
        <v>11</v>
      </c>
      <c r="D788" s="33" t="str">
        <f t="shared" si="240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41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36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5"/>
        <v>1584000</v>
      </c>
      <c r="AA788" s="13">
        <v>1.125</v>
      </c>
      <c r="AB788" s="21">
        <f t="shared" si="234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7"/>
        <v>23237072.69172414</v>
      </c>
      <c r="AJ788" s="19">
        <f t="shared" si="238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</row>
    <row r="789" spans="1:46" s="12" customFormat="1">
      <c r="A789" s="33" t="str">
        <f t="shared" si="239"/>
        <v>FY 19/20</v>
      </c>
      <c r="B789" s="152">
        <v>2019</v>
      </c>
      <c r="C789" s="152">
        <v>12</v>
      </c>
      <c r="D789" s="33" t="str">
        <f t="shared" si="240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41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36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5"/>
        <v>1450000</v>
      </c>
      <c r="AA789" s="13">
        <v>1.1100000000000001</v>
      </c>
      <c r="AB789" s="21">
        <f t="shared" si="234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7"/>
        <v>23168285.927433632</v>
      </c>
      <c r="AJ789" s="19">
        <f t="shared" si="238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</row>
    <row r="790" spans="1:46" s="12" customFormat="1">
      <c r="A790" s="33" t="str">
        <f t="shared" si="239"/>
        <v>FY 19/20</v>
      </c>
      <c r="B790" s="152">
        <v>2019</v>
      </c>
      <c r="C790" s="152">
        <v>12</v>
      </c>
      <c r="D790" s="33" t="str">
        <f t="shared" si="240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41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36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5"/>
        <v>1450000</v>
      </c>
      <c r="AA790" s="13">
        <v>1.1100000000000001</v>
      </c>
      <c r="AB790" s="21">
        <f t="shared" si="234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7"/>
        <v>23168285.927433632</v>
      </c>
      <c r="AJ790" s="19">
        <f t="shared" si="238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</row>
    <row r="791" spans="1:46" s="12" customFormat="1">
      <c r="A791" s="33" t="str">
        <f t="shared" si="239"/>
        <v>FY 20/21</v>
      </c>
      <c r="B791" s="152">
        <v>2021</v>
      </c>
      <c r="C791" s="152">
        <v>1</v>
      </c>
      <c r="D791" s="33" t="str">
        <f t="shared" si="240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41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36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0">IF(W791="RMB","1.13", "1")</f>
        <v>1.13</v>
      </c>
      <c r="Z791" s="18">
        <f t="shared" si="235"/>
        <v>1430000</v>
      </c>
      <c r="AA791" s="13">
        <v>1.1950000000000001</v>
      </c>
      <c r="AB791" s="21">
        <f t="shared" si="234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7"/>
        <v>63006605.696460173</v>
      </c>
      <c r="AJ791" s="19">
        <f t="shared" si="238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</row>
    <row r="792" spans="1:46" s="12" customFormat="1">
      <c r="A792" s="33" t="str">
        <f t="shared" si="239"/>
        <v>FY 20/21</v>
      </c>
      <c r="B792" s="152">
        <v>2021</v>
      </c>
      <c r="C792" s="152">
        <v>1</v>
      </c>
      <c r="D792" s="33" t="str">
        <f t="shared" si="240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41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36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0"/>
        <v>1.13</v>
      </c>
      <c r="Z792" s="18">
        <f t="shared" si="235"/>
        <v>1430000</v>
      </c>
      <c r="AA792" s="13">
        <v>1.1950000000000001</v>
      </c>
      <c r="AB792" s="21">
        <f t="shared" si="234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7"/>
        <v>63006605.696460173</v>
      </c>
      <c r="AJ792" s="19">
        <f t="shared" si="238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</row>
    <row r="793" spans="1:46" s="12" customFormat="1">
      <c r="A793" s="33" t="str">
        <f t="shared" si="239"/>
        <v>FY 20/21</v>
      </c>
      <c r="B793" s="152">
        <v>2021</v>
      </c>
      <c r="C793" s="152">
        <v>1</v>
      </c>
      <c r="D793" s="33" t="str">
        <f t="shared" si="240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41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36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0"/>
        <v>1.13</v>
      </c>
      <c r="Z793" s="18">
        <f t="shared" si="235"/>
        <v>1430000</v>
      </c>
      <c r="AA793" s="13">
        <v>1.1950000000000001</v>
      </c>
      <c r="AB793" s="21">
        <f t="shared" si="234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7"/>
        <v>63006605.696460173</v>
      </c>
      <c r="AJ793" s="19">
        <f t="shared" si="238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</row>
    <row r="794" spans="1:46" s="12" customFormat="1">
      <c r="A794" s="33" t="str">
        <f t="shared" si="239"/>
        <v>FY 20/21</v>
      </c>
      <c r="B794" s="152">
        <v>2021</v>
      </c>
      <c r="C794" s="152">
        <v>1</v>
      </c>
      <c r="D794" s="33" t="str">
        <f t="shared" si="240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41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36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0"/>
        <v>1.13</v>
      </c>
      <c r="Z794" s="18">
        <f t="shared" si="235"/>
        <v>1430000</v>
      </c>
      <c r="AA794" s="13">
        <v>1.1950000000000001</v>
      </c>
      <c r="AB794" s="21">
        <f t="shared" si="234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7"/>
        <v>63006605.696460173</v>
      </c>
      <c r="AJ794" s="19">
        <f t="shared" si="238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</row>
    <row r="795" spans="1:46" s="12" customFormat="1">
      <c r="A795" s="33" t="str">
        <f t="shared" si="239"/>
        <v>FY 21/22</v>
      </c>
      <c r="B795" s="152">
        <v>2022</v>
      </c>
      <c r="C795" s="152">
        <v>1</v>
      </c>
      <c r="D795" s="33" t="str">
        <f t="shared" si="240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41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36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0"/>
        <v>1.13</v>
      </c>
      <c r="Z795" s="18">
        <f t="shared" si="235"/>
        <v>1300000</v>
      </c>
      <c r="AA795" s="13">
        <v>1.22</v>
      </c>
      <c r="AB795" s="21">
        <f t="shared" si="234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7"/>
        <v>31750699.113741599</v>
      </c>
      <c r="AJ795" s="19">
        <f t="shared" si="238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</row>
    <row r="796" spans="1:46" s="12" customFormat="1">
      <c r="A796" s="33" t="str">
        <f t="shared" si="239"/>
        <v>FY 21/22</v>
      </c>
      <c r="B796" s="152">
        <v>2022</v>
      </c>
      <c r="C796" s="152">
        <v>1</v>
      </c>
      <c r="D796" s="33" t="str">
        <f t="shared" si="240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41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36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0"/>
        <v>1.13</v>
      </c>
      <c r="Z796" s="18">
        <f t="shared" si="235"/>
        <v>1300000</v>
      </c>
      <c r="AA796" s="13">
        <v>1.22</v>
      </c>
      <c r="AB796" s="21">
        <f t="shared" si="234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7"/>
        <v>31750699.113741599</v>
      </c>
      <c r="AJ796" s="19">
        <f t="shared" si="238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</row>
    <row r="797" spans="1:46" s="12" customFormat="1">
      <c r="A797" s="33" t="str">
        <f t="shared" si="239"/>
        <v>FY 21/22</v>
      </c>
      <c r="B797" s="152">
        <v>2022</v>
      </c>
      <c r="C797" s="152">
        <v>1</v>
      </c>
      <c r="D797" s="33" t="str">
        <f t="shared" si="240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41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36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0"/>
        <v>1.13</v>
      </c>
      <c r="Z797" s="18">
        <f t="shared" si="235"/>
        <v>1300000</v>
      </c>
      <c r="AA797" s="13">
        <v>1.22</v>
      </c>
      <c r="AB797" s="21">
        <f t="shared" si="234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7"/>
        <v>31750699.113741599</v>
      </c>
      <c r="AJ797" s="19">
        <f t="shared" si="238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</row>
    <row r="798" spans="1:46" s="12" customFormat="1">
      <c r="A798" s="33" t="str">
        <f t="shared" si="239"/>
        <v>FY 21/22</v>
      </c>
      <c r="B798" s="152">
        <v>2022</v>
      </c>
      <c r="C798" s="152">
        <v>1</v>
      </c>
      <c r="D798" s="33" t="str">
        <f t="shared" si="240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41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36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0"/>
        <v>1.13</v>
      </c>
      <c r="Z798" s="18">
        <f t="shared" si="235"/>
        <v>1300000</v>
      </c>
      <c r="AA798" s="13">
        <v>1.22</v>
      </c>
      <c r="AB798" s="21">
        <f t="shared" si="234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7"/>
        <v>31750699.113741599</v>
      </c>
      <c r="AJ798" s="19">
        <f t="shared" si="238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</row>
    <row r="799" spans="1:46" s="12" customFormat="1">
      <c r="A799" s="33" t="str">
        <f t="shared" si="239"/>
        <v>FY 21/22</v>
      </c>
      <c r="B799" s="152">
        <v>2022</v>
      </c>
      <c r="C799" s="152">
        <v>1</v>
      </c>
      <c r="D799" s="33" t="str">
        <f t="shared" si="240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41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36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0"/>
        <v>1.13</v>
      </c>
      <c r="Z799" s="18">
        <f t="shared" si="235"/>
        <v>1300000</v>
      </c>
      <c r="AA799" s="13">
        <v>1.22</v>
      </c>
      <c r="AB799" s="21">
        <f t="shared" si="234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7"/>
        <v>31750699.113741599</v>
      </c>
      <c r="AJ799" s="19">
        <f t="shared" si="238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</row>
    <row r="800" spans="1:46" s="12" customFormat="1">
      <c r="A800" s="33" t="str">
        <f t="shared" si="239"/>
        <v>FY 22/23</v>
      </c>
      <c r="B800" s="152">
        <v>2022</v>
      </c>
      <c r="C800" s="152">
        <v>12</v>
      </c>
      <c r="D800" s="33" t="str">
        <f t="shared" si="240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41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36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0"/>
        <v>1.13</v>
      </c>
      <c r="Z800" s="18">
        <f t="shared" si="235"/>
        <v>1140000</v>
      </c>
      <c r="AA800" s="13">
        <v>1.0900000000000001</v>
      </c>
      <c r="AB800" s="21">
        <f t="shared" si="234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7"/>
        <v>17329060.066371687</v>
      </c>
      <c r="AJ800" s="19">
        <f t="shared" si="238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</row>
    <row r="801" spans="1:46" s="12" customFormat="1">
      <c r="A801" s="33" t="str">
        <f t="shared" si="239"/>
        <v>FY 22/23</v>
      </c>
      <c r="B801" s="152">
        <v>2022</v>
      </c>
      <c r="C801" s="152">
        <v>12</v>
      </c>
      <c r="D801" s="33" t="str">
        <f t="shared" si="240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41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36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0"/>
        <v>1.13</v>
      </c>
      <c r="Z801" s="18">
        <f t="shared" si="235"/>
        <v>1140000</v>
      </c>
      <c r="AA801" s="13">
        <v>1.0900000000000001</v>
      </c>
      <c r="AB801" s="21">
        <f t="shared" si="234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7"/>
        <v>17329060.066371687</v>
      </c>
      <c r="AJ801" s="19">
        <f t="shared" si="238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</row>
    <row r="802" spans="1:46" s="12" customFormat="1">
      <c r="A802" s="33" t="str">
        <f t="shared" si="239"/>
        <v>FY 22/23</v>
      </c>
      <c r="B802" s="152">
        <v>2022</v>
      </c>
      <c r="C802" s="152">
        <v>12</v>
      </c>
      <c r="D802" s="33" t="str">
        <f t="shared" si="240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41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36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0"/>
        <v>1.13</v>
      </c>
      <c r="Z802" s="18">
        <f t="shared" si="235"/>
        <v>1140000</v>
      </c>
      <c r="AA802" s="13">
        <v>1.0900000000000001</v>
      </c>
      <c r="AB802" s="21">
        <f t="shared" si="234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7"/>
        <v>17329060.066371687</v>
      </c>
      <c r="AJ802" s="19">
        <f t="shared" si="238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</row>
    <row r="803" spans="1:46" s="12" customFormat="1">
      <c r="A803" s="33" t="str">
        <f t="shared" si="239"/>
        <v>FY 22/23</v>
      </c>
      <c r="B803" s="152">
        <v>2023</v>
      </c>
      <c r="C803" s="152">
        <v>2</v>
      </c>
      <c r="D803" s="33" t="str">
        <f t="shared" si="240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41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36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0"/>
        <v>1.13</v>
      </c>
      <c r="Z803" s="18">
        <f t="shared" si="235"/>
        <v>1210000</v>
      </c>
      <c r="AA803" s="13">
        <v>1.1399999999999999</v>
      </c>
      <c r="AB803" s="21">
        <f t="shared" si="234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7"/>
        <v>30573205.452778768</v>
      </c>
      <c r="AJ803" s="19">
        <f t="shared" si="238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</row>
    <row r="804" spans="1:46" s="12" customFormat="1">
      <c r="A804" s="33" t="str">
        <f t="shared" si="239"/>
        <v>FY 22/23</v>
      </c>
      <c r="B804" s="152">
        <v>2023</v>
      </c>
      <c r="C804" s="152">
        <v>2</v>
      </c>
      <c r="D804" s="33" t="str">
        <f t="shared" si="240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41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36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0"/>
        <v>1.13</v>
      </c>
      <c r="Z804" s="18">
        <f t="shared" si="235"/>
        <v>1210000</v>
      </c>
      <c r="AA804" s="13">
        <v>1.1399999999999999</v>
      </c>
      <c r="AB804" s="21">
        <f t="shared" si="234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7"/>
        <v>30573205.452778768</v>
      </c>
      <c r="AJ804" s="19">
        <f t="shared" si="238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</row>
    <row r="805" spans="1:46" s="12" customFormat="1">
      <c r="A805" s="33" t="str">
        <f t="shared" si="239"/>
        <v>FY 22/23</v>
      </c>
      <c r="B805" s="152">
        <v>2023</v>
      </c>
      <c r="C805" s="152">
        <v>2</v>
      </c>
      <c r="D805" s="33" t="str">
        <f t="shared" si="240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41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36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0"/>
        <v>1.13</v>
      </c>
      <c r="Z805" s="18">
        <f t="shared" si="235"/>
        <v>1210000</v>
      </c>
      <c r="AA805" s="13">
        <v>1.1399999999999999</v>
      </c>
      <c r="AB805" s="21">
        <f t="shared" si="234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7"/>
        <v>30573205.452778768</v>
      </c>
      <c r="AJ805" s="19">
        <f t="shared" si="238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</row>
    <row r="806" spans="1:46" s="12" customFormat="1">
      <c r="A806" s="33" t="str">
        <f t="shared" si="239"/>
        <v>FY 22/23</v>
      </c>
      <c r="B806" s="152">
        <v>2023</v>
      </c>
      <c r="C806" s="152">
        <v>2</v>
      </c>
      <c r="D806" s="33" t="str">
        <f t="shared" si="240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41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36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0"/>
        <v>1.13</v>
      </c>
      <c r="Z806" s="18">
        <f t="shared" si="235"/>
        <v>1210000</v>
      </c>
      <c r="AA806" s="13">
        <v>1.1399999999999999</v>
      </c>
      <c r="AB806" s="21">
        <f t="shared" si="234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7"/>
        <v>30573205.452778768</v>
      </c>
      <c r="AJ806" s="19">
        <f t="shared" si="238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</row>
    <row r="807" spans="1:46" s="12" customFormat="1">
      <c r="A807" s="33" t="str">
        <f t="shared" si="239"/>
        <v>FY 22/23</v>
      </c>
      <c r="B807" s="152">
        <v>2023</v>
      </c>
      <c r="C807" s="152">
        <v>3</v>
      </c>
      <c r="D807" s="33" t="str">
        <f t="shared" si="240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41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36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0"/>
        <v>1.13</v>
      </c>
      <c r="Z807" s="18">
        <f t="shared" si="235"/>
        <v>1170000</v>
      </c>
      <c r="AA807" s="13">
        <v>1.135</v>
      </c>
      <c r="AB807" s="21">
        <f t="shared" si="234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7"/>
        <v>28177779.013274338</v>
      </c>
      <c r="AJ807" s="19">
        <f t="shared" si="238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</row>
    <row r="808" spans="1:46" s="12" customFormat="1">
      <c r="A808" s="33" t="str">
        <f t="shared" si="239"/>
        <v>FY 22/23</v>
      </c>
      <c r="B808" s="152">
        <v>2023</v>
      </c>
      <c r="C808" s="152">
        <v>3</v>
      </c>
      <c r="D808" s="33" t="str">
        <f t="shared" si="240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41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36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0"/>
        <v>1.13</v>
      </c>
      <c r="Z808" s="18">
        <f t="shared" si="235"/>
        <v>1170000</v>
      </c>
      <c r="AA808" s="13">
        <v>1.135</v>
      </c>
      <c r="AB808" s="21">
        <f t="shared" si="234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7"/>
        <v>28177779.013274338</v>
      </c>
      <c r="AJ808" s="19">
        <f t="shared" si="238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</row>
    <row r="809" spans="1:46" s="12" customFormat="1">
      <c r="A809" s="33" t="str">
        <f t="shared" si="239"/>
        <v>FY 18/19</v>
      </c>
      <c r="B809" s="152">
        <v>2018</v>
      </c>
      <c r="C809" s="152">
        <v>11</v>
      </c>
      <c r="D809" s="33" t="str">
        <f t="shared" si="240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41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36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5"/>
        <v>310000</v>
      </c>
      <c r="AA809" s="13">
        <v>1.125</v>
      </c>
      <c r="AB809" s="21">
        <f t="shared" si="234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7"/>
        <v>29840797.698275864</v>
      </c>
      <c r="AJ809" s="19">
        <f t="shared" si="238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</row>
    <row r="810" spans="1:46" s="12" customFormat="1">
      <c r="A810" s="33" t="str">
        <f t="shared" si="239"/>
        <v>FY 21/22</v>
      </c>
      <c r="B810" s="152">
        <v>2021</v>
      </c>
      <c r="C810" s="152">
        <v>5</v>
      </c>
      <c r="D810" s="33" t="str">
        <f t="shared" si="240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41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36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5"/>
        <v>14135177</v>
      </c>
      <c r="AA810" s="13">
        <v>7.0000000000000007E-2</v>
      </c>
      <c r="AB810" s="21">
        <f t="shared" si="234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7"/>
        <v>29500529.005044252</v>
      </c>
      <c r="AJ810" s="19">
        <f t="shared" si="238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</row>
    <row r="811" spans="1:46" s="12" customFormat="1">
      <c r="A811" s="33" t="str">
        <f t="shared" si="239"/>
        <v>FY 19/20</v>
      </c>
      <c r="B811" s="152">
        <v>2020</v>
      </c>
      <c r="C811" s="152">
        <v>3</v>
      </c>
      <c r="D811" s="33" t="str">
        <f t="shared" si="240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41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36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5"/>
        <v>790000</v>
      </c>
      <c r="AA811" s="13">
        <v>1.095</v>
      </c>
      <c r="AB811" s="21">
        <f t="shared" si="234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7"/>
        <v>33477255.428389374</v>
      </c>
      <c r="AJ811" s="19">
        <f t="shared" si="238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</row>
    <row r="812" spans="1:46" s="12" customFormat="1">
      <c r="A812" s="33" t="str">
        <f t="shared" si="239"/>
        <v>FY 20/21</v>
      </c>
      <c r="B812" s="152">
        <v>2020</v>
      </c>
      <c r="C812" s="152">
        <v>11</v>
      </c>
      <c r="D812" s="33" t="str">
        <f t="shared" si="240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41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36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1">IF(W812="RMB","1.13", "1")</f>
        <v>1</v>
      </c>
      <c r="Z812" s="18">
        <f t="shared" si="235"/>
        <v>10425000</v>
      </c>
      <c r="AA812" s="13">
        <v>7.6799999999999993E-2</v>
      </c>
      <c r="AB812" s="21">
        <f t="shared" si="234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7"/>
        <v>45803245.025628321</v>
      </c>
      <c r="AJ812" s="19">
        <f t="shared" si="238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</row>
    <row r="813" spans="1:46" s="12" customFormat="1">
      <c r="A813" s="33" t="str">
        <f t="shared" si="239"/>
        <v>FY 20/21</v>
      </c>
      <c r="B813" s="152">
        <v>2020</v>
      </c>
      <c r="C813" s="152">
        <v>11</v>
      </c>
      <c r="D813" s="33" t="str">
        <f t="shared" si="240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41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36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1"/>
        <v>1</v>
      </c>
      <c r="Z813" s="18">
        <f t="shared" si="235"/>
        <v>13000000</v>
      </c>
      <c r="AA813" s="13">
        <v>7.6799999999999993E-2</v>
      </c>
      <c r="AB813" s="21">
        <f t="shared" si="234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7"/>
        <v>45803245.025628321</v>
      </c>
      <c r="AJ813" s="19">
        <f t="shared" si="238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</row>
    <row r="814" spans="1:46" s="12" customFormat="1">
      <c r="A814" s="33" t="str">
        <f t="shared" si="239"/>
        <v>FY 20/21</v>
      </c>
      <c r="B814" s="152">
        <v>2020</v>
      </c>
      <c r="C814" s="152">
        <v>11</v>
      </c>
      <c r="D814" s="33" t="str">
        <f t="shared" si="240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41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36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1"/>
        <v>1</v>
      </c>
      <c r="Z814" s="18">
        <f t="shared" si="235"/>
        <v>10425000</v>
      </c>
      <c r="AA814" s="13">
        <v>7.2400000000000006E-2</v>
      </c>
      <c r="AB814" s="21">
        <f t="shared" ref="AB814:AB877" si="252">IF(AND(R814&lt;&gt;"C66",R814&lt;&gt;""),Z814/Y814*AA814,"")</f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7"/>
        <v>47458373.787610628</v>
      </c>
      <c r="AJ814" s="19">
        <f t="shared" si="238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</row>
    <row r="815" spans="1:46" s="12" customFormat="1">
      <c r="A815" s="33" t="str">
        <f t="shared" si="239"/>
        <v>FY 20/21</v>
      </c>
      <c r="B815" s="152">
        <v>2020</v>
      </c>
      <c r="C815" s="152">
        <v>11</v>
      </c>
      <c r="D815" s="33" t="str">
        <f t="shared" si="240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41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36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1"/>
        <v>1</v>
      </c>
      <c r="Z815" s="18">
        <f t="shared" si="235"/>
        <v>13000000</v>
      </c>
      <c r="AA815" s="13">
        <v>7.2400000000000006E-2</v>
      </c>
      <c r="AB815" s="21">
        <f t="shared" si="252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7"/>
        <v>47458373.787610628</v>
      </c>
      <c r="AJ815" s="19">
        <f t="shared" si="238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</row>
    <row r="816" spans="1:46" s="12" customFormat="1">
      <c r="A816" s="33" t="str">
        <f t="shared" si="239"/>
        <v>FY 23/24</v>
      </c>
      <c r="B816" s="152">
        <v>2023</v>
      </c>
      <c r="C816" s="152">
        <v>9</v>
      </c>
      <c r="D816" s="33" t="str">
        <f t="shared" si="240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41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36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1"/>
        <v>1</v>
      </c>
      <c r="Z816" s="18">
        <f t="shared" ref="Z816:Z879" si="253">IF(X816="","",X816*MAX(O816,N816))</f>
        <v>17000000</v>
      </c>
      <c r="AA816" s="13">
        <v>5.4199999999999998E-2</v>
      </c>
      <c r="AB816" s="21">
        <f t="shared" si="252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7"/>
        <v>477651199.57437885</v>
      </c>
      <c r="AJ816" s="19">
        <f t="shared" si="238"/>
        <v>56918800.518691957</v>
      </c>
      <c r="AK816" s="20">
        <f t="shared" si="244"/>
        <v>0.11916394341605475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</row>
    <row r="817" spans="1:46" s="12" customFormat="1">
      <c r="A817" s="33" t="str">
        <f t="shared" si="239"/>
        <v>FY 23/24</v>
      </c>
      <c r="B817" s="152">
        <v>2023</v>
      </c>
      <c r="C817" s="152">
        <v>9</v>
      </c>
      <c r="D817" s="33" t="str">
        <f t="shared" si="240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41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36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1"/>
        <v>1</v>
      </c>
      <c r="Z817" s="18">
        <f t="shared" si="253"/>
        <v>8993000</v>
      </c>
      <c r="AA817" s="13">
        <v>5.4199999999999998E-2</v>
      </c>
      <c r="AB817" s="21">
        <f t="shared" si="252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7"/>
        <v>477651199.57437885</v>
      </c>
      <c r="AJ817" s="19">
        <f t="shared" si="238"/>
        <v>56918800.518691957</v>
      </c>
      <c r="AK817" s="20">
        <f t="shared" si="244"/>
        <v>0.11916394341605475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</row>
    <row r="818" spans="1:46" s="12" customFormat="1">
      <c r="A818" s="33" t="str">
        <f t="shared" si="239"/>
        <v>FY 20/21</v>
      </c>
      <c r="B818" s="152">
        <v>2021</v>
      </c>
      <c r="C818" s="152">
        <v>3</v>
      </c>
      <c r="D818" s="33" t="str">
        <f t="shared" si="240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41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36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1"/>
        <v>1</v>
      </c>
      <c r="Z818" s="18">
        <f t="shared" si="253"/>
        <v>14400000</v>
      </c>
      <c r="AA818" s="13">
        <v>7.17E-2</v>
      </c>
      <c r="AB818" s="21">
        <f t="shared" si="252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7"/>
        <v>41443303.53761062</v>
      </c>
      <c r="AJ818" s="19">
        <f t="shared" si="238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</row>
    <row r="819" spans="1:46" s="12" customFormat="1">
      <c r="A819" s="33" t="str">
        <f t="shared" si="239"/>
        <v>FY 20/21</v>
      </c>
      <c r="B819" s="152">
        <v>2021</v>
      </c>
      <c r="C819" s="152">
        <v>3</v>
      </c>
      <c r="D819" s="33" t="str">
        <f t="shared" si="240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41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36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1"/>
        <v>1</v>
      </c>
      <c r="Z819" s="18">
        <f t="shared" si="253"/>
        <v>14400000</v>
      </c>
      <c r="AA819" s="13">
        <v>7.2300000000000003E-2</v>
      </c>
      <c r="AB819" s="21">
        <f t="shared" si="252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7"/>
        <v>10844605.840707963</v>
      </c>
      <c r="AJ819" s="19">
        <f t="shared" si="238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</row>
    <row r="820" spans="1:46" s="12" customFormat="1">
      <c r="A820" s="33" t="str">
        <f t="shared" si="239"/>
        <v>FY 20/21</v>
      </c>
      <c r="B820" s="152">
        <v>2021</v>
      </c>
      <c r="C820" s="152">
        <v>1</v>
      </c>
      <c r="D820" s="33" t="str">
        <f t="shared" si="240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41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36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1"/>
        <v>1</v>
      </c>
      <c r="Z820" s="18">
        <f t="shared" si="253"/>
        <v>13300000</v>
      </c>
      <c r="AA820" s="13">
        <v>6.25E-2</v>
      </c>
      <c r="AB820" s="21">
        <f t="shared" si="252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7"/>
        <v>477651199.57437885</v>
      </c>
      <c r="AJ820" s="19">
        <f t="shared" si="238"/>
        <v>56918800.518691957</v>
      </c>
      <c r="AK820" s="20">
        <f t="shared" si="244"/>
        <v>0.11916394341605475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</row>
    <row r="821" spans="1:46" s="12" customFormat="1">
      <c r="A821" s="33" t="str">
        <f t="shared" si="239"/>
        <v>FY 20/21</v>
      </c>
      <c r="B821" s="152">
        <v>2020</v>
      </c>
      <c r="C821" s="152">
        <v>7</v>
      </c>
      <c r="D821" s="33" t="str">
        <f t="shared" si="240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41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36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3"/>
        <v>7620000</v>
      </c>
      <c r="AA821" s="13">
        <v>7.6100000000000001E-2</v>
      </c>
      <c r="AB821" s="21">
        <f t="shared" si="252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7"/>
        <v>48763143.537654862</v>
      </c>
      <c r="AJ821" s="19">
        <f t="shared" si="238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</row>
    <row r="822" spans="1:46" s="12" customFormat="1">
      <c r="A822" s="33" t="str">
        <f t="shared" si="239"/>
        <v>FY 20/21</v>
      </c>
      <c r="B822" s="152">
        <v>2020</v>
      </c>
      <c r="C822" s="152">
        <v>7</v>
      </c>
      <c r="D822" s="33" t="str">
        <f t="shared" si="240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41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36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3"/>
        <v>7620000</v>
      </c>
      <c r="AA822" s="13">
        <v>7.6100000000000001E-2</v>
      </c>
      <c r="AB822" s="21">
        <f t="shared" si="252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7"/>
        <v>48763143.537654862</v>
      </c>
      <c r="AJ822" s="19">
        <f t="shared" si="238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</row>
    <row r="823" spans="1:46" s="12" customFormat="1">
      <c r="A823" s="33" t="str">
        <f t="shared" si="239"/>
        <v>FY 20/21</v>
      </c>
      <c r="B823" s="152">
        <v>2020</v>
      </c>
      <c r="C823" s="152">
        <v>7</v>
      </c>
      <c r="D823" s="33" t="str">
        <f t="shared" si="240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41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36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3"/>
        <v>7620000</v>
      </c>
      <c r="AA823" s="13">
        <v>7.17E-2</v>
      </c>
      <c r="AB823" s="21">
        <f t="shared" si="252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7"/>
        <v>477651199.57437885</v>
      </c>
      <c r="AJ823" s="19">
        <f t="shared" si="238"/>
        <v>56918800.518691957</v>
      </c>
      <c r="AK823" s="20">
        <f t="shared" si="244"/>
        <v>0.11916394341605475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</row>
    <row r="824" spans="1:46" s="12" customFormat="1">
      <c r="A824" s="33" t="str">
        <f t="shared" si="239"/>
        <v>FY 20/21</v>
      </c>
      <c r="B824" s="152">
        <v>2020</v>
      </c>
      <c r="C824" s="152">
        <v>7</v>
      </c>
      <c r="D824" s="33" t="str">
        <f t="shared" si="240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41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36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3"/>
        <v>7620000</v>
      </c>
      <c r="AA824" s="13">
        <v>7.17E-2</v>
      </c>
      <c r="AB824" s="21">
        <f t="shared" si="252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7"/>
        <v>477651199.57437885</v>
      </c>
      <c r="AJ824" s="19">
        <f t="shared" si="238"/>
        <v>56918800.518691957</v>
      </c>
      <c r="AK824" s="20">
        <f t="shared" si="244"/>
        <v>0.11916394341605475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</row>
    <row r="825" spans="1:46" s="12" customFormat="1">
      <c r="A825" s="33" t="str">
        <f t="shared" si="239"/>
        <v>FY 20/21</v>
      </c>
      <c r="B825" s="152">
        <v>2020</v>
      </c>
      <c r="C825" s="152">
        <v>7</v>
      </c>
      <c r="D825" s="33" t="str">
        <f t="shared" si="240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41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36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3"/>
        <v>7620000</v>
      </c>
      <c r="AA825" s="13">
        <v>7.17E-2</v>
      </c>
      <c r="AB825" s="21">
        <f t="shared" si="252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7"/>
        <v>477651199.57437885</v>
      </c>
      <c r="AJ825" s="19">
        <f t="shared" si="238"/>
        <v>56918800.518691957</v>
      </c>
      <c r="AK825" s="20">
        <f t="shared" si="244"/>
        <v>0.11916394341605475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</row>
    <row r="826" spans="1:46" s="12" customFormat="1">
      <c r="A826" s="33" t="str">
        <f t="shared" si="239"/>
        <v>FY 23/24</v>
      </c>
      <c r="B826" s="23">
        <v>2024</v>
      </c>
      <c r="C826" s="152">
        <v>3</v>
      </c>
      <c r="D826" s="33" t="str">
        <f t="shared" si="240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41"/>
        <v>Q1</v>
      </c>
      <c r="J826" s="188" t="s">
        <v>3316</v>
      </c>
      <c r="K826" s="29" t="s">
        <v>3317</v>
      </c>
      <c r="L826" s="17" t="s">
        <v>93</v>
      </c>
      <c r="M826" s="13" t="s">
        <v>61</v>
      </c>
      <c r="N826" s="22">
        <v>1</v>
      </c>
      <c r="O826" s="22"/>
      <c r="P826" s="33" t="str">
        <f t="shared" si="236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3096</v>
      </c>
      <c r="W826" s="22" t="s">
        <v>65</v>
      </c>
      <c r="X826" s="30">
        <v>750800</v>
      </c>
      <c r="Y826" s="31" t="str">
        <f>IF(W826="","",IF(W826="RMB","1.13", "1"))</f>
        <v>1.13</v>
      </c>
      <c r="Z826" s="18">
        <f t="shared" si="253"/>
        <v>750800</v>
      </c>
      <c r="AA826" s="22">
        <v>1.083</v>
      </c>
      <c r="AB826" s="21">
        <f t="shared" si="252"/>
        <v>719572.03539823007</v>
      </c>
      <c r="AC826" s="25">
        <f t="shared" si="242"/>
        <v>42238.878477876104</v>
      </c>
      <c r="AD826" s="169">
        <v>5.8700000000000002E-2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7"/>
        <v>20319282.700884953</v>
      </c>
      <c r="AJ826" s="27">
        <f t="shared" si="238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20244RMB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</row>
    <row r="827" spans="1:46" s="12" customFormat="1">
      <c r="A827" s="33" t="str">
        <f t="shared" si="239"/>
        <v>FY 23/24</v>
      </c>
      <c r="B827" s="23">
        <v>2024</v>
      </c>
      <c r="C827" s="152">
        <v>3</v>
      </c>
      <c r="D827" s="33" t="str">
        <f t="shared" si="240"/>
        <v>Q4</v>
      </c>
      <c r="E827" s="33" t="str">
        <f>IF(G827="Cancel","Cancel",IF(G827="TBA","TBA",IFERROR(IF(I827="Q4","FY "&amp;RIGHT(F827,2)-1&amp;"/"&amp;RIGHT(F827,2),"FY "&amp;RIGHT(F827,2)&amp;"/"&amp;RIGHT(F827,2)+1),"")))</f>
        <v>FY 24/25</v>
      </c>
      <c r="F827" s="23">
        <v>2024</v>
      </c>
      <c r="G827" s="23">
        <v>4</v>
      </c>
      <c r="H827" s="29"/>
      <c r="I827" s="33" t="str">
        <f t="shared" si="241"/>
        <v>Q1</v>
      </c>
      <c r="J827" s="188" t="s">
        <v>3316</v>
      </c>
      <c r="K827" s="29" t="s">
        <v>3317</v>
      </c>
      <c r="L827" s="17" t="s">
        <v>93</v>
      </c>
      <c r="M827" s="13" t="s">
        <v>61</v>
      </c>
      <c r="N827" s="22">
        <v>1</v>
      </c>
      <c r="O827" s="22"/>
      <c r="P827" s="33" t="str">
        <f t="shared" si="236"/>
        <v>MAIN UNIT</v>
      </c>
      <c r="Q827" s="13" t="s">
        <v>69</v>
      </c>
      <c r="R827" s="22" t="s">
        <v>63</v>
      </c>
      <c r="S827" s="22" t="s">
        <v>50</v>
      </c>
      <c r="T827" s="22" t="s">
        <v>79</v>
      </c>
      <c r="U827" s="22" t="s">
        <v>79</v>
      </c>
      <c r="V827" s="22" t="s">
        <v>3096</v>
      </c>
      <c r="W827" s="22" t="s">
        <v>65</v>
      </c>
      <c r="X827" s="30">
        <v>750800</v>
      </c>
      <c r="Y827" s="31" t="str">
        <f>IF(W827="","",IF(W827="RMB","1.13", "1"))</f>
        <v>1.13</v>
      </c>
      <c r="Z827" s="18">
        <f t="shared" si="253"/>
        <v>750800</v>
      </c>
      <c r="AA827" s="22">
        <v>1.083</v>
      </c>
      <c r="AB827" s="21">
        <f t="shared" si="252"/>
        <v>719572.03539823007</v>
      </c>
      <c r="AC827" s="25">
        <f t="shared" si="242"/>
        <v>42238.878477876104</v>
      </c>
      <c r="AD827" s="169">
        <v>5.8700000000000002E-2</v>
      </c>
      <c r="AE827" s="26">
        <f t="shared" si="243"/>
        <v>1</v>
      </c>
      <c r="AF827" s="26" t="str">
        <f>IF(AND(COUNTIFS($J$18:J827,J827)=1,AE827=1),1,"")</f>
        <v/>
      </c>
      <c r="AG827" s="26" t="str">
        <f>IF(C827="","",IF(AND(COUNTIFS($J$18:J827,J827)=1,C827&lt;&gt;""),1,""))</f>
        <v/>
      </c>
      <c r="AH827" s="26" t="str">
        <f>IF(G827="","",IF(AND(COUNTIFS($J$18:J827,J827)=1,G827&lt;&gt;""),1,""))</f>
        <v/>
      </c>
      <c r="AI827" s="27">
        <f t="shared" si="237"/>
        <v>20319282.700884953</v>
      </c>
      <c r="AJ827" s="27">
        <f t="shared" si="238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20244RMB</v>
      </c>
      <c r="AR827" s="206" t="str">
        <f t="shared" si="247"/>
        <v>YAMAHA_Mounter</v>
      </c>
      <c r="AS827" s="22">
        <f t="shared" si="248"/>
        <v>1</v>
      </c>
      <c r="AT827" s="24" t="str">
        <f t="shared" si="249"/>
        <v>0-3 months</v>
      </c>
    </row>
    <row r="828" spans="1:46" s="12" customFormat="1">
      <c r="A828" s="33" t="str">
        <f t="shared" si="239"/>
        <v>FY 23/24</v>
      </c>
      <c r="B828" s="23">
        <v>2024</v>
      </c>
      <c r="C828" s="152">
        <v>3</v>
      </c>
      <c r="D828" s="33" t="str">
        <f t="shared" si="240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41"/>
        <v>Q1</v>
      </c>
      <c r="J828" s="188" t="s">
        <v>3316</v>
      </c>
      <c r="K828" s="29" t="s">
        <v>3317</v>
      </c>
      <c r="L828" s="17" t="s">
        <v>93</v>
      </c>
      <c r="M828" s="13" t="s">
        <v>61</v>
      </c>
      <c r="N828" s="22">
        <v>1</v>
      </c>
      <c r="O828" s="22"/>
      <c r="P828" s="33" t="str">
        <f t="shared" si="236"/>
        <v>MAIN UNIT</v>
      </c>
      <c r="Q828" s="13" t="s">
        <v>69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3096</v>
      </c>
      <c r="W828" s="22" t="s">
        <v>65</v>
      </c>
      <c r="X828" s="30">
        <v>750800</v>
      </c>
      <c r="Y828" s="31" t="str">
        <f>IF(W828="","",IF(W828="RMB","1.13", "1"))</f>
        <v>1.13</v>
      </c>
      <c r="Z828" s="18">
        <f t="shared" si="253"/>
        <v>750800</v>
      </c>
      <c r="AA828" s="22">
        <v>1.083</v>
      </c>
      <c r="AB828" s="21">
        <f t="shared" si="252"/>
        <v>719572.03539823007</v>
      </c>
      <c r="AC828" s="25">
        <f t="shared" si="242"/>
        <v>42238.878477876104</v>
      </c>
      <c r="AD828" s="169">
        <v>5.8700000000000002E-2</v>
      </c>
      <c r="AE828" s="26">
        <f t="shared" si="243"/>
        <v>1</v>
      </c>
      <c r="AF828" s="26" t="str">
        <f>IF(AND(COUNTIFS($J$18:J828,J828)=1,AE828=1),1,"")</f>
        <v/>
      </c>
      <c r="AG828" s="26" t="str">
        <f>IF(C828="","",IF(AND(COUNTIFS($J$18:J828,J828)=1,C828&lt;&gt;""),1,""))</f>
        <v/>
      </c>
      <c r="AH828" s="26" t="str">
        <f>IF(G828="","",IF(AND(COUNTIFS($J$18:J828,J828)=1,G828&lt;&gt;""),1,""))</f>
        <v/>
      </c>
      <c r="AI828" s="27">
        <f t="shared" si="237"/>
        <v>20319282.700884953</v>
      </c>
      <c r="AJ828" s="27">
        <f t="shared" si="238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20244RMB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</row>
    <row r="829" spans="1:46" s="12" customFormat="1">
      <c r="A829" s="33" t="str">
        <f t="shared" si="239"/>
        <v>FY 20/21</v>
      </c>
      <c r="B829" s="152">
        <v>2020</v>
      </c>
      <c r="C829" s="152">
        <v>9</v>
      </c>
      <c r="D829" s="33" t="str">
        <f t="shared" si="240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41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36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3"/>
        <v>11000000</v>
      </c>
      <c r="AA829" s="13">
        <v>7.6100000000000001E-2</v>
      </c>
      <c r="AB829" s="21">
        <f t="shared" si="252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7"/>
        <v>44078731.611185849</v>
      </c>
      <c r="AJ829" s="19">
        <f t="shared" si="238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</row>
    <row r="830" spans="1:46" s="12" customFormat="1">
      <c r="A830" s="33" t="str">
        <f t="shared" si="239"/>
        <v>FY 19/20</v>
      </c>
      <c r="B830" s="152">
        <v>2019</v>
      </c>
      <c r="C830" s="152">
        <v>8</v>
      </c>
      <c r="D830" s="33" t="str">
        <f t="shared" si="240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41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36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3"/>
        <v>17025000</v>
      </c>
      <c r="AA830" s="13">
        <v>7.4099999999999999E-2</v>
      </c>
      <c r="AB830" s="21">
        <f t="shared" si="252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7"/>
        <v>28647263.974455759</v>
      </c>
      <c r="AJ830" s="19">
        <f t="shared" si="238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</row>
    <row r="831" spans="1:46" s="12" customFormat="1">
      <c r="A831" s="33" t="str">
        <f t="shared" si="239"/>
        <v>FY 19/20</v>
      </c>
      <c r="B831" s="152">
        <v>2019</v>
      </c>
      <c r="C831" s="152">
        <v>8</v>
      </c>
      <c r="D831" s="33" t="str">
        <f t="shared" si="240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41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36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3"/>
        <v>17025000</v>
      </c>
      <c r="AA831" s="13">
        <v>7.4099999999999999E-2</v>
      </c>
      <c r="AB831" s="21">
        <f t="shared" si="252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7"/>
        <v>28647263.974455759</v>
      </c>
      <c r="AJ831" s="19">
        <f t="shared" si="238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</row>
    <row r="832" spans="1:46" s="12" customFormat="1">
      <c r="A832" s="33" t="str">
        <f t="shared" si="239"/>
        <v>FY 19/20</v>
      </c>
      <c r="B832" s="152">
        <v>2019</v>
      </c>
      <c r="C832" s="152">
        <v>6</v>
      </c>
      <c r="D832" s="33" t="str">
        <f t="shared" si="240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41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36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3"/>
        <v>18449000</v>
      </c>
      <c r="AA832" s="13">
        <v>7.3499999999999996E-2</v>
      </c>
      <c r="AB832" s="21">
        <f t="shared" si="252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7"/>
        <v>21386017.707964607</v>
      </c>
      <c r="AJ832" s="19">
        <f t="shared" si="238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</row>
    <row r="833" spans="1:46" s="12" customFormat="1">
      <c r="A833" s="33" t="str">
        <f t="shared" si="239"/>
        <v>FY 19/20</v>
      </c>
      <c r="B833" s="152">
        <v>2019</v>
      </c>
      <c r="C833" s="152">
        <v>6</v>
      </c>
      <c r="D833" s="33" t="str">
        <f t="shared" si="240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41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36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3"/>
        <v>18449000</v>
      </c>
      <c r="AA833" s="13">
        <v>7.3499999999999996E-2</v>
      </c>
      <c r="AB833" s="21">
        <f t="shared" si="252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7"/>
        <v>21386017.707964607</v>
      </c>
      <c r="AJ833" s="19">
        <f t="shared" si="238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</row>
    <row r="834" spans="1:46" s="12" customFormat="1">
      <c r="A834" s="33" t="str">
        <f t="shared" si="239"/>
        <v>FY 20/21</v>
      </c>
      <c r="B834" s="152">
        <v>2020</v>
      </c>
      <c r="C834" s="152">
        <v>4</v>
      </c>
      <c r="D834" s="33" t="str">
        <f t="shared" si="240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41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ref="P834:P897" si="254">IF(M834="","",IF(AND(N834&gt;0,L834&lt;&gt;""),"MAIN UNIT",IF(AND(O834&gt;0,L834&lt;&gt;""),"SERVICE/ PARTS","C66 SERVICE/OTHERS")))</f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3"/>
        <v>15800000</v>
      </c>
      <c r="AA834" s="13">
        <v>7.3400000000000007E-2</v>
      </c>
      <c r="AB834" s="21">
        <f t="shared" si="252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5">IF(P834="C66 SERVICE","",SUMIFS(AB:AB,F:F,F834,G:G,G834,E:E,E834))</f>
        <v>29183109.05575221</v>
      </c>
      <c r="AJ834" s="19">
        <f t="shared" ref="AJ834:AJ897" si="256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</row>
    <row r="835" spans="1:46" s="12" customFormat="1">
      <c r="A835" s="33" t="str">
        <f t="shared" si="239"/>
        <v>FY 20/21</v>
      </c>
      <c r="B835" s="152">
        <v>2021</v>
      </c>
      <c r="C835" s="152">
        <v>2</v>
      </c>
      <c r="D835" s="33" t="str">
        <f t="shared" si="240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41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54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3"/>
        <v>15800000</v>
      </c>
      <c r="AA835" s="13">
        <v>7.2099999999999997E-2</v>
      </c>
      <c r="AB835" s="21">
        <f t="shared" si="252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5"/>
        <v>54700260.692079648</v>
      </c>
      <c r="AJ835" s="19">
        <f t="shared" si="256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</row>
    <row r="836" spans="1:46" s="12" customFormat="1">
      <c r="A836" s="33" t="str">
        <f t="shared" si="239"/>
        <v>FY 21/22</v>
      </c>
      <c r="B836" s="152">
        <v>2021</v>
      </c>
      <c r="C836" s="152">
        <v>6</v>
      </c>
      <c r="D836" s="33" t="str">
        <f t="shared" si="240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41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54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3"/>
        <v>12950000</v>
      </c>
      <c r="AA836" s="13">
        <v>7.17E-2</v>
      </c>
      <c r="AB836" s="21">
        <f t="shared" si="252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5"/>
        <v>41443303.53761062</v>
      </c>
      <c r="AJ836" s="19">
        <f t="shared" si="256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</row>
    <row r="837" spans="1:46" s="12" customFormat="1">
      <c r="A837" s="33" t="str">
        <f t="shared" si="239"/>
        <v>FY 21/22</v>
      </c>
      <c r="B837" s="152">
        <v>2021</v>
      </c>
      <c r="C837" s="152">
        <v>6</v>
      </c>
      <c r="D837" s="33" t="str">
        <f t="shared" si="240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41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54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3"/>
        <v>12950000</v>
      </c>
      <c r="AA837" s="13">
        <v>7.17E-2</v>
      </c>
      <c r="AB837" s="21">
        <f t="shared" si="252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5"/>
        <v>41443303.53761062</v>
      </c>
      <c r="AJ837" s="19">
        <f t="shared" si="256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</row>
    <row r="838" spans="1:46" s="12" customFormat="1">
      <c r="A838" s="33" t="str">
        <f t="shared" ref="A838:A901" si="257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8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9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si="254"/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3"/>
        <v>12770000</v>
      </c>
      <c r="AA838" s="13">
        <v>7.22E-2</v>
      </c>
      <c r="AB838" s="21">
        <f t="shared" si="252"/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5"/>
        <v>47416008.333399981</v>
      </c>
      <c r="AJ838" s="19">
        <f t="shared" si="256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7"/>
        <v>FY 18/19</v>
      </c>
      <c r="B839" s="152">
        <v>2019</v>
      </c>
      <c r="C839" s="152">
        <v>1</v>
      </c>
      <c r="D839" s="33" t="str">
        <f t="shared" si="258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9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4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3"/>
        <v>12770000</v>
      </c>
      <c r="AA839" s="13">
        <v>7.22E-2</v>
      </c>
      <c r="AB839" s="21">
        <f t="shared" si="252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5"/>
        <v>47416008.333399981</v>
      </c>
      <c r="AJ839" s="19">
        <f t="shared" si="256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</row>
    <row r="840" spans="1:46" s="12" customFormat="1">
      <c r="A840" s="33" t="str">
        <f t="shared" si="257"/>
        <v>FY 18/19</v>
      </c>
      <c r="B840" s="152">
        <v>2019</v>
      </c>
      <c r="C840" s="152">
        <v>1</v>
      </c>
      <c r="D840" s="33" t="str">
        <f t="shared" si="258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9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4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3"/>
        <v>12770000</v>
      </c>
      <c r="AA840" s="13">
        <v>7.22E-2</v>
      </c>
      <c r="AB840" s="21">
        <f t="shared" si="252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5"/>
        <v>47416008.333399981</v>
      </c>
      <c r="AJ840" s="19">
        <f t="shared" si="256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</row>
    <row r="841" spans="1:46" s="12" customFormat="1">
      <c r="A841" s="33" t="str">
        <f t="shared" si="257"/>
        <v>FY 20/21</v>
      </c>
      <c r="B841" s="152">
        <v>2020</v>
      </c>
      <c r="C841" s="152">
        <v>5</v>
      </c>
      <c r="D841" s="33" t="str">
        <f t="shared" si="258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9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4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3"/>
        <v>10300000</v>
      </c>
      <c r="AA841" s="13">
        <v>7.3400000000000007E-2</v>
      </c>
      <c r="AB841" s="21">
        <f t="shared" si="252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5"/>
        <v>29183109.05575221</v>
      </c>
      <c r="AJ841" s="19">
        <f t="shared" si="256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</row>
    <row r="842" spans="1:46" s="12" customFormat="1">
      <c r="A842" s="33" t="str">
        <f t="shared" si="257"/>
        <v>FY 20/21</v>
      </c>
      <c r="B842" s="152">
        <v>2020</v>
      </c>
      <c r="C842" s="152">
        <v>5</v>
      </c>
      <c r="D842" s="33" t="str">
        <f t="shared" si="258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9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4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3"/>
        <v>10300000</v>
      </c>
      <c r="AA842" s="13">
        <v>7.3400000000000007E-2</v>
      </c>
      <c r="AB842" s="21">
        <f t="shared" si="252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5"/>
        <v>29183109.05575221</v>
      </c>
      <c r="AJ842" s="19">
        <f t="shared" si="256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</row>
    <row r="843" spans="1:46" s="12" customFormat="1">
      <c r="A843" s="33" t="str">
        <f t="shared" si="257"/>
        <v>FY 20/21</v>
      </c>
      <c r="B843" s="152">
        <v>2020</v>
      </c>
      <c r="C843" s="152">
        <v>5</v>
      </c>
      <c r="D843" s="33" t="str">
        <f t="shared" si="258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9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4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3"/>
        <v>10300000</v>
      </c>
      <c r="AA843" s="13">
        <v>7.3400000000000007E-2</v>
      </c>
      <c r="AB843" s="21">
        <f t="shared" si="252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5"/>
        <v>29183109.05575221</v>
      </c>
      <c r="AJ843" s="19">
        <f t="shared" si="256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</row>
    <row r="844" spans="1:46" s="12" customFormat="1">
      <c r="A844" s="33" t="str">
        <f t="shared" si="257"/>
        <v>FY 20/21</v>
      </c>
      <c r="B844" s="152">
        <v>2020</v>
      </c>
      <c r="C844" s="152">
        <v>9</v>
      </c>
      <c r="D844" s="33" t="str">
        <f t="shared" si="258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9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4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68">IF(W844="RMB","1.13", "1")</f>
        <v>1</v>
      </c>
      <c r="Z844" s="18">
        <f t="shared" si="253"/>
        <v>7672500</v>
      </c>
      <c r="AA844" s="13">
        <v>7.6100000000000001E-2</v>
      </c>
      <c r="AB844" s="21">
        <f t="shared" si="252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5"/>
        <v>48763143.537654862</v>
      </c>
      <c r="AJ844" s="19">
        <f t="shared" si="256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</row>
    <row r="845" spans="1:46" s="12" customFormat="1">
      <c r="A845" s="33" t="str">
        <f t="shared" si="257"/>
        <v>FY 20/21</v>
      </c>
      <c r="B845" s="152">
        <v>2020</v>
      </c>
      <c r="C845" s="152">
        <v>9</v>
      </c>
      <c r="D845" s="33" t="str">
        <f t="shared" si="258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9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4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68"/>
        <v>1</v>
      </c>
      <c r="Z845" s="18">
        <f t="shared" si="253"/>
        <v>7672500</v>
      </c>
      <c r="AA845" s="13">
        <v>7.6100000000000001E-2</v>
      </c>
      <c r="AB845" s="21">
        <f t="shared" si="252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5"/>
        <v>48763143.537654862</v>
      </c>
      <c r="AJ845" s="19">
        <f t="shared" si="256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</row>
    <row r="846" spans="1:46" s="12" customFormat="1">
      <c r="A846" s="33" t="str">
        <f t="shared" si="257"/>
        <v>FY 20/21</v>
      </c>
      <c r="B846" s="152">
        <v>2020</v>
      </c>
      <c r="C846" s="152">
        <v>9</v>
      </c>
      <c r="D846" s="33" t="str">
        <f t="shared" si="258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9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4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68"/>
        <v>1</v>
      </c>
      <c r="Z846" s="18">
        <f t="shared" si="253"/>
        <v>7672500</v>
      </c>
      <c r="AA846" s="13">
        <v>7.6100000000000001E-2</v>
      </c>
      <c r="AB846" s="21">
        <f t="shared" si="252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5"/>
        <v>48763143.537654862</v>
      </c>
      <c r="AJ846" s="19">
        <f t="shared" si="256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</row>
    <row r="847" spans="1:46" s="12" customFormat="1">
      <c r="A847" s="33" t="str">
        <f t="shared" si="257"/>
        <v>FY 20/21</v>
      </c>
      <c r="B847" s="152">
        <v>2020</v>
      </c>
      <c r="C847" s="152">
        <v>9</v>
      </c>
      <c r="D847" s="33" t="str">
        <f t="shared" si="258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9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4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68"/>
        <v>1</v>
      </c>
      <c r="Z847" s="18">
        <f t="shared" si="253"/>
        <v>7672500</v>
      </c>
      <c r="AA847" s="13">
        <v>7.6100000000000001E-2</v>
      </c>
      <c r="AB847" s="21">
        <f t="shared" si="252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5"/>
        <v>48763143.537654862</v>
      </c>
      <c r="AJ847" s="19">
        <f t="shared" si="256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</row>
    <row r="848" spans="1:46" s="12" customFormat="1">
      <c r="A848" s="33" t="str">
        <f t="shared" si="257"/>
        <v>FY 21/22</v>
      </c>
      <c r="B848" s="152">
        <v>2021</v>
      </c>
      <c r="C848" s="152">
        <v>4</v>
      </c>
      <c r="D848" s="33" t="str">
        <f t="shared" si="258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9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4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68"/>
        <v>1</v>
      </c>
      <c r="Z848" s="18">
        <f t="shared" si="253"/>
        <v>7000000</v>
      </c>
      <c r="AA848" s="13">
        <v>7.2800000000000004E-2</v>
      </c>
      <c r="AB848" s="21">
        <f t="shared" si="252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5"/>
        <v>63006605.696460173</v>
      </c>
      <c r="AJ848" s="19">
        <f t="shared" si="256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</row>
    <row r="849" spans="1:46" s="12" customFormat="1">
      <c r="A849" s="33" t="str">
        <f t="shared" si="257"/>
        <v>FY 21/22</v>
      </c>
      <c r="B849" s="152">
        <v>2021</v>
      </c>
      <c r="C849" s="152">
        <v>4</v>
      </c>
      <c r="D849" s="33" t="str">
        <f t="shared" si="258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9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4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68"/>
        <v>1</v>
      </c>
      <c r="Z849" s="18">
        <f t="shared" si="253"/>
        <v>7000000</v>
      </c>
      <c r="AA849" s="13">
        <v>7.2800000000000004E-2</v>
      </c>
      <c r="AB849" s="21">
        <f t="shared" si="252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5"/>
        <v>63006605.696460173</v>
      </c>
      <c r="AJ849" s="19">
        <f t="shared" si="256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</row>
    <row r="850" spans="1:46" s="12" customFormat="1">
      <c r="A850" s="33" t="str">
        <f t="shared" si="257"/>
        <v>FY 22/23</v>
      </c>
      <c r="B850" s="152">
        <v>2023</v>
      </c>
      <c r="C850" s="152">
        <v>2</v>
      </c>
      <c r="D850" s="33" t="str">
        <f t="shared" si="258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9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4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68"/>
        <v>1.13</v>
      </c>
      <c r="Z850" s="18">
        <f t="shared" si="253"/>
        <v>720000</v>
      </c>
      <c r="AA850" s="13">
        <v>1.1299999999999999</v>
      </c>
      <c r="AB850" s="21">
        <f t="shared" si="252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5"/>
        <v>33543315.897345133</v>
      </c>
      <c r="AJ850" s="19">
        <f t="shared" si="256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</row>
    <row r="851" spans="1:46" s="12" customFormat="1">
      <c r="A851" s="33" t="str">
        <f t="shared" si="257"/>
        <v>FY 22/23</v>
      </c>
      <c r="B851" s="152">
        <v>2023</v>
      </c>
      <c r="C851" s="152">
        <v>2</v>
      </c>
      <c r="D851" s="33" t="str">
        <f t="shared" si="258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9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4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68"/>
        <v>1.13</v>
      </c>
      <c r="Z851" s="18">
        <f t="shared" si="253"/>
        <v>430000</v>
      </c>
      <c r="AA851" s="13">
        <v>1.1299999999999999</v>
      </c>
      <c r="AB851" s="21">
        <f t="shared" si="252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5"/>
        <v>33543315.897345133</v>
      </c>
      <c r="AJ851" s="19">
        <f t="shared" si="256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</row>
    <row r="852" spans="1:46" s="12" customFormat="1">
      <c r="A852" s="33" t="str">
        <f t="shared" si="257"/>
        <v>cancel</v>
      </c>
      <c r="B852" s="152"/>
      <c r="C852" s="152" t="s">
        <v>186</v>
      </c>
      <c r="D852" s="33" t="str">
        <f t="shared" si="258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9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4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3"/>
        <v>12770000</v>
      </c>
      <c r="AA852" s="13">
        <v>7.2300000000000003E-2</v>
      </c>
      <c r="AB852" s="21">
        <f t="shared" si="252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5"/>
        <v>477651199.57437885</v>
      </c>
      <c r="AJ852" s="19">
        <f t="shared" si="256"/>
        <v>56918800.518691957</v>
      </c>
      <c r="AK852" s="20">
        <f t="shared" si="262"/>
        <v>0.11916394341605475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</row>
    <row r="853" spans="1:46" s="12" customFormat="1">
      <c r="A853" s="33" t="str">
        <f t="shared" si="257"/>
        <v>cancel</v>
      </c>
      <c r="B853" s="152"/>
      <c r="C853" s="152" t="s">
        <v>186</v>
      </c>
      <c r="D853" s="33" t="str">
        <f t="shared" si="258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9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4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3"/>
        <v>12770000</v>
      </c>
      <c r="AA853" s="13">
        <v>7.2300000000000003E-2</v>
      </c>
      <c r="AB853" s="21">
        <f t="shared" si="252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5"/>
        <v>477651199.57437885</v>
      </c>
      <c r="AJ853" s="19">
        <f t="shared" si="256"/>
        <v>56918800.518691957</v>
      </c>
      <c r="AK853" s="20">
        <f t="shared" si="262"/>
        <v>0.11916394341605475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</row>
    <row r="854" spans="1:46" s="12" customFormat="1">
      <c r="A854" s="33" t="str">
        <f t="shared" si="257"/>
        <v>cancel</v>
      </c>
      <c r="B854" s="152"/>
      <c r="C854" s="152" t="s">
        <v>186</v>
      </c>
      <c r="D854" s="33" t="str">
        <f t="shared" si="258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9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4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3"/>
        <v>12770000</v>
      </c>
      <c r="AA854" s="13">
        <v>7.2300000000000003E-2</v>
      </c>
      <c r="AB854" s="21">
        <f t="shared" si="252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5"/>
        <v>477651199.57437885</v>
      </c>
      <c r="AJ854" s="19">
        <f t="shared" si="256"/>
        <v>56918800.518691957</v>
      </c>
      <c r="AK854" s="20">
        <f t="shared" si="262"/>
        <v>0.11916394341605475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</row>
    <row r="855" spans="1:46" s="12" customFormat="1">
      <c r="A855" s="33" t="str">
        <f t="shared" si="257"/>
        <v>FY 23/24</v>
      </c>
      <c r="B855" s="23">
        <v>2024</v>
      </c>
      <c r="C855" s="152">
        <v>3</v>
      </c>
      <c r="D855" s="33" t="str">
        <f t="shared" si="258"/>
        <v>Q4</v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9"/>
        <v>Q1</v>
      </c>
      <c r="J855" s="188" t="s">
        <v>3328</v>
      </c>
      <c r="K855" s="29" t="s">
        <v>3329</v>
      </c>
      <c r="L855" s="17" t="s">
        <v>93</v>
      </c>
      <c r="M855" s="22" t="s">
        <v>61</v>
      </c>
      <c r="N855" s="22">
        <v>1</v>
      </c>
      <c r="O855" s="22"/>
      <c r="P855" s="33" t="str">
        <f t="shared" si="254"/>
        <v>MAIN UNIT</v>
      </c>
      <c r="Q855" s="13" t="s">
        <v>69</v>
      </c>
      <c r="R855" s="22" t="s">
        <v>63</v>
      </c>
      <c r="S855" s="22" t="s">
        <v>50</v>
      </c>
      <c r="T855" s="22" t="s">
        <v>79</v>
      </c>
      <c r="U855" s="22" t="s">
        <v>3331</v>
      </c>
      <c r="V855" s="22" t="s">
        <v>122</v>
      </c>
      <c r="W855" s="22" t="s">
        <v>110</v>
      </c>
      <c r="X855" s="30">
        <v>13700000</v>
      </c>
      <c r="Y855" s="31" t="str">
        <f>IF(W855="","",IF(W855="RMB","1.13", "1"))</f>
        <v>1</v>
      </c>
      <c r="Z855" s="18">
        <f t="shared" si="253"/>
        <v>13700000</v>
      </c>
      <c r="AA855" s="13">
        <v>5.2699999999999997E-2</v>
      </c>
      <c r="AB855" s="21">
        <f t="shared" si="252"/>
        <v>721990</v>
      </c>
      <c r="AC855" s="25">
        <f t="shared" si="260"/>
        <v>55882.025999999998</v>
      </c>
      <c r="AD855" s="169">
        <v>7.7399999999999997E-2</v>
      </c>
      <c r="AE855" s="26">
        <f t="shared" si="261"/>
        <v>1</v>
      </c>
      <c r="AF855" s="26">
        <f>IF(AND(COUNTIFS($J$18:J855,J855)=1,AE855=1),1,"")</f>
        <v>1</v>
      </c>
      <c r="AG855" s="26">
        <f>IF(C855="","",IF(AND(COUNTIFS($J$18:J855,J855)=1,C855&lt;&gt;""),1,""))</f>
        <v>1</v>
      </c>
      <c r="AH855" s="26">
        <f>IF(G855="","",IF(AND(COUNTIFS($J$18:J855,J855)=1,G855&lt;&gt;""),1,""))</f>
        <v>1</v>
      </c>
      <c r="AI855" s="27">
        <f t="shared" si="255"/>
        <v>20319282.700884953</v>
      </c>
      <c r="AJ855" s="27">
        <f t="shared" si="256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>20244JPY</v>
      </c>
      <c r="AR855" s="206" t="str">
        <f t="shared" si="265"/>
        <v>YAMAHA_Mounter</v>
      </c>
      <c r="AS855" s="22">
        <f t="shared" si="266"/>
        <v>1</v>
      </c>
      <c r="AT855" s="24" t="str">
        <f t="shared" si="267"/>
        <v>0-3 months</v>
      </c>
    </row>
    <row r="856" spans="1:46" s="12" customFormat="1">
      <c r="A856" s="33" t="str">
        <f t="shared" si="257"/>
        <v>FY 23/24</v>
      </c>
      <c r="B856" s="23">
        <v>2024</v>
      </c>
      <c r="C856" s="152">
        <v>3</v>
      </c>
      <c r="D856" s="33" t="str">
        <f t="shared" si="258"/>
        <v>Q4</v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9"/>
        <v>Q1</v>
      </c>
      <c r="J856" s="188" t="s">
        <v>3328</v>
      </c>
      <c r="K856" s="29" t="s">
        <v>3329</v>
      </c>
      <c r="L856" s="17" t="s">
        <v>68</v>
      </c>
      <c r="M856" s="22" t="s">
        <v>61</v>
      </c>
      <c r="N856" s="22">
        <v>1</v>
      </c>
      <c r="O856" s="22"/>
      <c r="P856" s="33" t="str">
        <f t="shared" si="254"/>
        <v>MAIN UNIT</v>
      </c>
      <c r="Q856" s="13" t="s">
        <v>69</v>
      </c>
      <c r="R856" s="22" t="s">
        <v>63</v>
      </c>
      <c r="S856" s="22" t="s">
        <v>50</v>
      </c>
      <c r="T856" s="22" t="s">
        <v>79</v>
      </c>
      <c r="U856" s="22" t="s">
        <v>3331</v>
      </c>
      <c r="V856" s="22" t="s">
        <v>122</v>
      </c>
      <c r="W856" s="22" t="s">
        <v>110</v>
      </c>
      <c r="X856" s="30">
        <v>10000000</v>
      </c>
      <c r="Y856" s="31" t="str">
        <f>IF(W856="","",IF(W856="RMB","1.13", "1"))</f>
        <v>1</v>
      </c>
      <c r="Z856" s="18">
        <f t="shared" si="253"/>
        <v>10000000</v>
      </c>
      <c r="AA856" s="13">
        <v>5.2699999999999997E-2</v>
      </c>
      <c r="AB856" s="21">
        <f t="shared" si="252"/>
        <v>527000</v>
      </c>
      <c r="AC856" s="25">
        <f t="shared" si="260"/>
        <v>40789.799999999996</v>
      </c>
      <c r="AD856" s="169">
        <v>7.7399999999999997E-2</v>
      </c>
      <c r="AE856" s="26">
        <f t="shared" si="261"/>
        <v>1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5"/>
        <v>20319282.700884953</v>
      </c>
      <c r="AJ856" s="27">
        <f t="shared" si="256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>20244JPY</v>
      </c>
      <c r="AR856" s="206" t="str">
        <f t="shared" si="265"/>
        <v>YAMAHA_Mounter</v>
      </c>
      <c r="AS856" s="22">
        <f t="shared" si="266"/>
        <v>1</v>
      </c>
      <c r="AT856" s="24" t="str">
        <f t="shared" si="267"/>
        <v>0-3 months</v>
      </c>
    </row>
    <row r="857" spans="1:46" s="12" customFormat="1">
      <c r="A857" s="33" t="str">
        <f t="shared" si="257"/>
        <v>FY 23/24</v>
      </c>
      <c r="B857" s="23">
        <v>2024</v>
      </c>
      <c r="C857" s="152">
        <v>3</v>
      </c>
      <c r="D857" s="33" t="str">
        <f t="shared" si="258"/>
        <v>Q4</v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9"/>
        <v>Q1</v>
      </c>
      <c r="J857" s="188" t="s">
        <v>3330</v>
      </c>
      <c r="K857" s="29" t="s">
        <v>3329</v>
      </c>
      <c r="L857" s="17" t="s">
        <v>93</v>
      </c>
      <c r="M857" s="22" t="s">
        <v>61</v>
      </c>
      <c r="N857" s="22">
        <v>1</v>
      </c>
      <c r="O857" s="22"/>
      <c r="P857" s="33" t="str">
        <f t="shared" si="254"/>
        <v>MAIN UNIT</v>
      </c>
      <c r="Q857" s="13" t="s">
        <v>69</v>
      </c>
      <c r="R857" s="22" t="s">
        <v>63</v>
      </c>
      <c r="S857" s="22" t="s">
        <v>50</v>
      </c>
      <c r="T857" s="22" t="s">
        <v>79</v>
      </c>
      <c r="U857" s="22" t="s">
        <v>3331</v>
      </c>
      <c r="V857" s="22" t="s">
        <v>122</v>
      </c>
      <c r="W857" s="22" t="s">
        <v>110</v>
      </c>
      <c r="X857" s="30">
        <v>11600000</v>
      </c>
      <c r="Y857" s="31" t="str">
        <f>IF(W857="","",IF(W857="RMB","1.13", "1"))</f>
        <v>1</v>
      </c>
      <c r="Z857" s="18">
        <f t="shared" si="253"/>
        <v>11600000</v>
      </c>
      <c r="AA857" s="13">
        <v>5.2699999999999997E-2</v>
      </c>
      <c r="AB857" s="21">
        <f t="shared" si="252"/>
        <v>611320</v>
      </c>
      <c r="AC857" s="25">
        <f t="shared" si="260"/>
        <v>51656.54</v>
      </c>
      <c r="AD857" s="169">
        <v>8.4500000000000006E-2</v>
      </c>
      <c r="AE857" s="26">
        <f t="shared" si="261"/>
        <v>1</v>
      </c>
      <c r="AF857" s="26">
        <f>IF(AND(COUNTIFS($J$18:J857,J857)=1,AE857=1),1,"")</f>
        <v>1</v>
      </c>
      <c r="AG857" s="26">
        <f>IF(C857="","",IF(AND(COUNTIFS($J$18:J857,J857)=1,C857&lt;&gt;""),1,""))</f>
        <v>1</v>
      </c>
      <c r="AH857" s="26">
        <f>IF(G857="","",IF(AND(COUNTIFS($J$18:J857,J857)=1,G857&lt;&gt;""),1,""))</f>
        <v>1</v>
      </c>
      <c r="AI857" s="27">
        <f t="shared" si="255"/>
        <v>20319282.700884953</v>
      </c>
      <c r="AJ857" s="27">
        <f t="shared" si="256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>20244JPY</v>
      </c>
      <c r="AR857" s="206" t="str">
        <f t="shared" si="265"/>
        <v>YAMAHA_Mounter</v>
      </c>
      <c r="AS857" s="22">
        <f t="shared" si="266"/>
        <v>1</v>
      </c>
      <c r="AT857" s="24" t="str">
        <f t="shared" si="267"/>
        <v>0-3 months</v>
      </c>
    </row>
    <row r="858" spans="1:46" s="12" customFormat="1">
      <c r="A858" s="33" t="str">
        <f t="shared" si="257"/>
        <v>FY 23/24</v>
      </c>
      <c r="B858" s="23">
        <v>2024</v>
      </c>
      <c r="C858" s="152">
        <v>3</v>
      </c>
      <c r="D858" s="33" t="str">
        <f t="shared" si="258"/>
        <v>Q4</v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9"/>
        <v>Q1</v>
      </c>
      <c r="J858" s="188" t="s">
        <v>3330</v>
      </c>
      <c r="K858" s="29" t="s">
        <v>3329</v>
      </c>
      <c r="L858" s="17" t="s">
        <v>68</v>
      </c>
      <c r="M858" s="22" t="s">
        <v>61</v>
      </c>
      <c r="N858" s="22">
        <v>1</v>
      </c>
      <c r="O858" s="22"/>
      <c r="P858" s="33" t="str">
        <f t="shared" si="254"/>
        <v>MAIN UNIT</v>
      </c>
      <c r="Q858" s="13" t="s">
        <v>69</v>
      </c>
      <c r="R858" s="22" t="s">
        <v>63</v>
      </c>
      <c r="S858" s="22" t="s">
        <v>50</v>
      </c>
      <c r="T858" s="22" t="s">
        <v>79</v>
      </c>
      <c r="U858" s="22" t="s">
        <v>3331</v>
      </c>
      <c r="V858" s="22" t="s">
        <v>122</v>
      </c>
      <c r="W858" s="22" t="s">
        <v>110</v>
      </c>
      <c r="X858" s="30">
        <v>7100000</v>
      </c>
      <c r="Y858" s="31" t="str">
        <f>IF(W858="","",IF(W858="RMB","1.13", "1"))</f>
        <v>1</v>
      </c>
      <c r="Z858" s="18">
        <f t="shared" si="253"/>
        <v>7100000</v>
      </c>
      <c r="AA858" s="13">
        <v>5.2699999999999997E-2</v>
      </c>
      <c r="AB858" s="21">
        <f t="shared" si="252"/>
        <v>374170</v>
      </c>
      <c r="AC858" s="25">
        <f t="shared" si="260"/>
        <v>31617.365000000002</v>
      </c>
      <c r="AD858" s="169">
        <v>8.4500000000000006E-2</v>
      </c>
      <c r="AE858" s="26">
        <f t="shared" si="261"/>
        <v>1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5"/>
        <v>20319282.700884953</v>
      </c>
      <c r="AJ858" s="27">
        <f t="shared" si="256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>20244JPY</v>
      </c>
      <c r="AR858" s="206" t="str">
        <f t="shared" si="265"/>
        <v>YAMAHA_Mounter</v>
      </c>
      <c r="AS858" s="22">
        <f t="shared" si="266"/>
        <v>1</v>
      </c>
      <c r="AT858" s="24" t="str">
        <f t="shared" si="267"/>
        <v>0-3 months</v>
      </c>
    </row>
    <row r="859" spans="1:46" s="12" customFormat="1">
      <c r="A859" s="33" t="str">
        <f t="shared" si="257"/>
        <v>FY 19/20</v>
      </c>
      <c r="B859" s="152">
        <v>2019</v>
      </c>
      <c r="C859" s="152">
        <v>12</v>
      </c>
      <c r="D859" s="33" t="str">
        <f t="shared" si="258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9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4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3"/>
        <v>7150000</v>
      </c>
      <c r="AA859" s="13">
        <v>7.2700000000000001E-2</v>
      </c>
      <c r="AB859" s="21">
        <f t="shared" si="252"/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5"/>
        <v>14005204.685000001</v>
      </c>
      <c r="AJ859" s="19">
        <f t="shared" si="256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</row>
    <row r="860" spans="1:46" s="12" customFormat="1">
      <c r="A860" s="33" t="str">
        <f t="shared" si="257"/>
        <v>FY 20/21</v>
      </c>
      <c r="B860" s="152">
        <v>2020</v>
      </c>
      <c r="C860" s="152">
        <v>7</v>
      </c>
      <c r="D860" s="33" t="str">
        <f t="shared" si="258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9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4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3"/>
        <v>7771400</v>
      </c>
      <c r="AA860" s="13">
        <v>7.6100000000000001E-2</v>
      </c>
      <c r="AB860" s="21">
        <f t="shared" si="252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5"/>
        <v>44078731.611185849</v>
      </c>
      <c r="AJ860" s="19">
        <f t="shared" si="256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</row>
    <row r="861" spans="1:46" s="12" customFormat="1">
      <c r="A861" s="33" t="str">
        <f t="shared" si="257"/>
        <v>FY 20/21</v>
      </c>
      <c r="B861" s="152">
        <v>2021</v>
      </c>
      <c r="C861" s="152">
        <v>1</v>
      </c>
      <c r="D861" s="33" t="str">
        <f t="shared" si="258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9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4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3"/>
        <v>7771400</v>
      </c>
      <c r="AA861" s="13">
        <v>7.6799999999999993E-2</v>
      </c>
      <c r="AB861" s="21">
        <f t="shared" si="252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5"/>
        <v>45803245.025628321</v>
      </c>
      <c r="AJ861" s="19">
        <f t="shared" si="256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</row>
    <row r="862" spans="1:46" s="12" customFormat="1">
      <c r="A862" s="33" t="str">
        <f t="shared" si="257"/>
        <v>FY 20/21</v>
      </c>
      <c r="B862" s="152">
        <v>2021</v>
      </c>
      <c r="C862" s="152">
        <v>1</v>
      </c>
      <c r="D862" s="33" t="str">
        <f t="shared" si="258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9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4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3"/>
        <v>7771400</v>
      </c>
      <c r="AA862" s="13">
        <v>7.6799999999999993E-2</v>
      </c>
      <c r="AB862" s="21">
        <f t="shared" si="252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5"/>
        <v>45803245.025628321</v>
      </c>
      <c r="AJ862" s="19">
        <f t="shared" si="256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</row>
    <row r="863" spans="1:46" s="12" customFormat="1">
      <c r="A863" s="33" t="str">
        <f t="shared" si="257"/>
        <v>FY 22/23</v>
      </c>
      <c r="B863" s="152">
        <v>2022</v>
      </c>
      <c r="C863" s="152">
        <v>8</v>
      </c>
      <c r="D863" s="33" t="str">
        <f t="shared" si="258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9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4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3"/>
        <v>471400</v>
      </c>
      <c r="AA863" s="13">
        <v>1.135</v>
      </c>
      <c r="AB863" s="21">
        <f t="shared" si="252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5"/>
        <v>15948576.102654871</v>
      </c>
      <c r="AJ863" s="19">
        <f t="shared" si="256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</row>
    <row r="864" spans="1:46" s="12" customFormat="1">
      <c r="A864" s="33" t="str">
        <f t="shared" si="257"/>
        <v>FY 18/19</v>
      </c>
      <c r="B864" s="152">
        <v>2019</v>
      </c>
      <c r="C864" s="152">
        <v>3</v>
      </c>
      <c r="D864" s="33" t="str">
        <f t="shared" si="258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9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4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3"/>
        <v>14300000</v>
      </c>
      <c r="AA864" s="13">
        <v>7.22E-2</v>
      </c>
      <c r="AB864" s="21">
        <f t="shared" si="252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5"/>
        <v>47416008.333399981</v>
      </c>
      <c r="AJ864" s="19">
        <f t="shared" si="256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</row>
    <row r="865" spans="1:46" s="12" customFormat="1">
      <c r="A865" s="33" t="str">
        <f t="shared" si="257"/>
        <v>FY 20/21</v>
      </c>
      <c r="B865" s="152">
        <v>2020</v>
      </c>
      <c r="C865" s="152">
        <v>7</v>
      </c>
      <c r="D865" s="33" t="str">
        <f t="shared" si="258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9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4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3"/>
        <v>840000</v>
      </c>
      <c r="AA865" s="13">
        <v>1.105</v>
      </c>
      <c r="AB865" s="21">
        <f t="shared" si="252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5"/>
        <v>37969334.083628319</v>
      </c>
      <c r="AJ865" s="19">
        <f t="shared" si="256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</row>
    <row r="866" spans="1:46" s="12" customFormat="1">
      <c r="A866" s="33" t="str">
        <f t="shared" si="257"/>
        <v>FY 18/19</v>
      </c>
      <c r="B866" s="152">
        <v>2018</v>
      </c>
      <c r="C866" s="152">
        <v>8</v>
      </c>
      <c r="D866" s="33" t="str">
        <f t="shared" si="258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9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4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3"/>
        <v>13730000</v>
      </c>
      <c r="AA866" s="13">
        <v>7.0699999999999999E-2</v>
      </c>
      <c r="AB866" s="21">
        <f t="shared" si="252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5"/>
        <v>10785027.603448275</v>
      </c>
      <c r="AJ866" s="19">
        <f t="shared" si="256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</row>
    <row r="867" spans="1:46" s="12" customFormat="1">
      <c r="A867" s="33" t="str">
        <f t="shared" si="257"/>
        <v>FY 18/19</v>
      </c>
      <c r="B867" s="152">
        <v>2018</v>
      </c>
      <c r="C867" s="152">
        <v>8</v>
      </c>
      <c r="D867" s="33" t="str">
        <f t="shared" si="258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9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4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3"/>
        <v>13730000</v>
      </c>
      <c r="AA867" s="13">
        <v>7.0699999999999999E-2</v>
      </c>
      <c r="AB867" s="21">
        <f t="shared" si="252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5"/>
        <v>10785027.603448275</v>
      </c>
      <c r="AJ867" s="19">
        <f t="shared" si="256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</row>
    <row r="868" spans="1:46" s="12" customFormat="1">
      <c r="A868" s="33" t="str">
        <f t="shared" si="257"/>
        <v>FY 20/21</v>
      </c>
      <c r="B868" s="152">
        <v>2020</v>
      </c>
      <c r="C868" s="152">
        <v>9</v>
      </c>
      <c r="D868" s="33" t="str">
        <f t="shared" si="258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9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4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69">IF(W868="RMB","1.13", "1")</f>
        <v>1</v>
      </c>
      <c r="Z868" s="18">
        <f t="shared" si="253"/>
        <v>15000000</v>
      </c>
      <c r="AA868" s="13">
        <v>7.17E-2</v>
      </c>
      <c r="AB868" s="21">
        <f t="shared" si="252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5"/>
        <v>41443303.53761062</v>
      </c>
      <c r="AJ868" s="19">
        <f t="shared" si="256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</row>
    <row r="869" spans="1:46" s="12" customFormat="1">
      <c r="A869" s="33" t="str">
        <f t="shared" si="257"/>
        <v>FY 20/21</v>
      </c>
      <c r="B869" s="152">
        <v>2020</v>
      </c>
      <c r="C869" s="152">
        <v>9</v>
      </c>
      <c r="D869" s="33" t="str">
        <f t="shared" si="258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9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4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69"/>
        <v>1</v>
      </c>
      <c r="Z869" s="18">
        <f t="shared" si="253"/>
        <v>15000000</v>
      </c>
      <c r="AA869" s="13">
        <v>7.17E-2</v>
      </c>
      <c r="AB869" s="21">
        <f t="shared" si="252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5"/>
        <v>41443303.53761062</v>
      </c>
      <c r="AJ869" s="19">
        <f t="shared" si="256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</row>
    <row r="870" spans="1:46" s="12" customFormat="1">
      <c r="A870" s="33" t="str">
        <f t="shared" si="257"/>
        <v>FY 20/21</v>
      </c>
      <c r="B870" s="152">
        <v>2020</v>
      </c>
      <c r="C870" s="152">
        <v>9</v>
      </c>
      <c r="D870" s="33" t="str">
        <f t="shared" si="258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9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4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69"/>
        <v>1</v>
      </c>
      <c r="Z870" s="18">
        <f t="shared" si="253"/>
        <v>6800000</v>
      </c>
      <c r="AA870" s="13">
        <v>7.17E-2</v>
      </c>
      <c r="AB870" s="21">
        <f t="shared" si="252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5"/>
        <v>41443303.53761062</v>
      </c>
      <c r="AJ870" s="19">
        <f t="shared" si="256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</row>
    <row r="871" spans="1:46" s="12" customFormat="1">
      <c r="A871" s="33" t="str">
        <f t="shared" si="257"/>
        <v>FY 21/22</v>
      </c>
      <c r="B871" s="152">
        <v>2021</v>
      </c>
      <c r="C871" s="152">
        <v>4</v>
      </c>
      <c r="D871" s="33" t="str">
        <f t="shared" si="258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9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4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69"/>
        <v>1</v>
      </c>
      <c r="Z871" s="18">
        <f t="shared" si="253"/>
        <v>12600000</v>
      </c>
      <c r="AA871" s="13">
        <v>7.2400000000000006E-2</v>
      </c>
      <c r="AB871" s="21">
        <f t="shared" si="252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5"/>
        <v>477651199.57437885</v>
      </c>
      <c r="AJ871" s="19">
        <f t="shared" si="256"/>
        <v>56918800.518691957</v>
      </c>
      <c r="AK871" s="20">
        <f t="shared" si="262"/>
        <v>0.11916394341605475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</row>
    <row r="872" spans="1:46" s="12" customFormat="1">
      <c r="A872" s="33" t="str">
        <f t="shared" si="257"/>
        <v>FY 21/22</v>
      </c>
      <c r="B872" s="152">
        <v>2021</v>
      </c>
      <c r="C872" s="152">
        <v>4</v>
      </c>
      <c r="D872" s="33" t="str">
        <f t="shared" si="258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9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4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69"/>
        <v>1</v>
      </c>
      <c r="Z872" s="18">
        <f t="shared" si="253"/>
        <v>12600000</v>
      </c>
      <c r="AA872" s="13">
        <v>7.2400000000000006E-2</v>
      </c>
      <c r="AB872" s="21">
        <f t="shared" si="252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5"/>
        <v>477651199.57437885</v>
      </c>
      <c r="AJ872" s="19">
        <f t="shared" si="256"/>
        <v>56918800.518691957</v>
      </c>
      <c r="AK872" s="20">
        <f t="shared" si="262"/>
        <v>0.11916394341605475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</row>
    <row r="873" spans="1:46" s="12" customFormat="1">
      <c r="A873" s="33" t="str">
        <f t="shared" si="257"/>
        <v>FY 21/22</v>
      </c>
      <c r="B873" s="152">
        <v>2021</v>
      </c>
      <c r="C873" s="152">
        <v>4</v>
      </c>
      <c r="D873" s="33" t="str">
        <f t="shared" si="258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9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4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69"/>
        <v>1</v>
      </c>
      <c r="Z873" s="18">
        <f t="shared" si="253"/>
        <v>11498600</v>
      </c>
      <c r="AA873" s="13">
        <v>7.2400000000000006E-2</v>
      </c>
      <c r="AB873" s="21">
        <f t="shared" si="252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5"/>
        <v>477651199.57437885</v>
      </c>
      <c r="AJ873" s="19">
        <f t="shared" si="256"/>
        <v>56918800.518691957</v>
      </c>
      <c r="AK873" s="20">
        <f t="shared" si="262"/>
        <v>0.11916394341605475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</row>
    <row r="874" spans="1:46" s="12" customFormat="1">
      <c r="A874" s="33" t="str">
        <f t="shared" si="257"/>
        <v>FY 21/22</v>
      </c>
      <c r="B874" s="152">
        <v>2021</v>
      </c>
      <c r="C874" s="152">
        <v>4</v>
      </c>
      <c r="D874" s="33" t="str">
        <f t="shared" si="258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9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4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69"/>
        <v>1</v>
      </c>
      <c r="Z874" s="18">
        <f t="shared" si="253"/>
        <v>11498600</v>
      </c>
      <c r="AA874" s="13">
        <v>7.2400000000000006E-2</v>
      </c>
      <c r="AB874" s="21">
        <f t="shared" si="252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5"/>
        <v>477651199.57437885</v>
      </c>
      <c r="AJ874" s="19">
        <f t="shared" si="256"/>
        <v>56918800.518691957</v>
      </c>
      <c r="AK874" s="20">
        <f t="shared" si="262"/>
        <v>0.11916394341605475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</row>
    <row r="875" spans="1:46" s="12" customFormat="1">
      <c r="A875" s="33" t="str">
        <f t="shared" si="257"/>
        <v>FY 23/24</v>
      </c>
      <c r="B875" s="152">
        <v>2023</v>
      </c>
      <c r="C875" s="152">
        <v>11</v>
      </c>
      <c r="D875" s="33" t="str">
        <f t="shared" si="258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9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4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0">IF(W875="","",IF(W875="RMB","1.13", "1"))</f>
        <v>1</v>
      </c>
      <c r="Z875" s="18">
        <f t="shared" si="253"/>
        <v>13000000</v>
      </c>
      <c r="AA875" s="13">
        <v>5.6300000000000003E-2</v>
      </c>
      <c r="AB875" s="21">
        <f t="shared" si="252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5"/>
        <v>21575119.674336284</v>
      </c>
      <c r="AJ875" s="19">
        <f t="shared" si="256"/>
        <v>2556656.3801490259</v>
      </c>
      <c r="AK875" s="20">
        <f t="shared" si="262"/>
        <v>0.1185002177851269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</row>
    <row r="876" spans="1:46" s="12" customFormat="1">
      <c r="A876" s="33" t="str">
        <f t="shared" si="257"/>
        <v>FY 23/24</v>
      </c>
      <c r="B876" s="152">
        <v>2023</v>
      </c>
      <c r="C876" s="152">
        <v>11</v>
      </c>
      <c r="D876" s="33" t="str">
        <f t="shared" si="258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9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4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0"/>
        <v>1</v>
      </c>
      <c r="Z876" s="18">
        <f t="shared" si="253"/>
        <v>13000000</v>
      </c>
      <c r="AA876" s="13">
        <v>5.6300000000000003E-2</v>
      </c>
      <c r="AB876" s="21">
        <f t="shared" si="252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5"/>
        <v>21575119.674336284</v>
      </c>
      <c r="AJ876" s="19">
        <f t="shared" si="256"/>
        <v>2556656.3801490259</v>
      </c>
      <c r="AK876" s="20">
        <f t="shared" si="262"/>
        <v>0.1185002177851269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</row>
    <row r="877" spans="1:46" s="12" customFormat="1">
      <c r="A877" s="33" t="str">
        <f t="shared" si="257"/>
        <v>FY 23/24</v>
      </c>
      <c r="B877" s="152">
        <v>2023</v>
      </c>
      <c r="C877" s="152">
        <v>11</v>
      </c>
      <c r="D877" s="33" t="str">
        <f t="shared" si="258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9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4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0"/>
        <v>1</v>
      </c>
      <c r="Z877" s="18">
        <f t="shared" si="253"/>
        <v>13000000</v>
      </c>
      <c r="AA877" s="13">
        <v>5.6300000000000003E-2</v>
      </c>
      <c r="AB877" s="21">
        <f t="shared" si="252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5"/>
        <v>21575119.674336284</v>
      </c>
      <c r="AJ877" s="19">
        <f t="shared" si="256"/>
        <v>2556656.3801490259</v>
      </c>
      <c r="AK877" s="20">
        <f t="shared" si="262"/>
        <v>0.1185002177851269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</row>
    <row r="878" spans="1:46" s="12" customFormat="1">
      <c r="A878" s="33" t="str">
        <f t="shared" si="257"/>
        <v>FY 23/24</v>
      </c>
      <c r="B878" s="152">
        <v>2023</v>
      </c>
      <c r="C878" s="152">
        <v>11</v>
      </c>
      <c r="D878" s="33" t="str">
        <f t="shared" si="258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9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4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0"/>
        <v>1</v>
      </c>
      <c r="Z878" s="18">
        <f t="shared" si="253"/>
        <v>13000000</v>
      </c>
      <c r="AA878" s="13">
        <v>5.6300000000000003E-2</v>
      </c>
      <c r="AB878" s="21">
        <f t="shared" ref="AB878:AB941" si="271">IF(AND(R878&lt;&gt;"C66",R878&lt;&gt;""),Z878/Y878*AA878,"")</f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5"/>
        <v>21575119.674336284</v>
      </c>
      <c r="AJ878" s="19">
        <f t="shared" si="256"/>
        <v>2556656.3801490259</v>
      </c>
      <c r="AK878" s="20">
        <f t="shared" si="262"/>
        <v>0.1185002177851269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</row>
    <row r="879" spans="1:46" s="12" customFormat="1">
      <c r="A879" s="33" t="str">
        <f t="shared" si="257"/>
        <v>FY 23/24</v>
      </c>
      <c r="B879" s="152">
        <v>2023</v>
      </c>
      <c r="C879" s="152">
        <v>11</v>
      </c>
      <c r="D879" s="33" t="str">
        <f t="shared" si="258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9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4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0"/>
        <v>1</v>
      </c>
      <c r="Z879" s="18">
        <f t="shared" si="253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5"/>
        <v>21575119.674336284</v>
      </c>
      <c r="AJ879" s="19">
        <f t="shared" si="256"/>
        <v>2556656.3801490259</v>
      </c>
      <c r="AK879" s="20">
        <f t="shared" si="262"/>
        <v>0.1185002177851269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</row>
    <row r="880" spans="1:46" s="12" customFormat="1">
      <c r="A880" s="33" t="str">
        <f t="shared" si="257"/>
        <v>FY 23/24</v>
      </c>
      <c r="B880" s="152">
        <v>2023</v>
      </c>
      <c r="C880" s="152">
        <v>11</v>
      </c>
      <c r="D880" s="33" t="str">
        <f t="shared" si="258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9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4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0"/>
        <v>1</v>
      </c>
      <c r="Z880" s="18">
        <f t="shared" ref="Z880:Z943" si="272">IF(X880="","",X880*MAX(O880,N880))</f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5"/>
        <v>21575119.674336284</v>
      </c>
      <c r="AJ880" s="19">
        <f t="shared" si="256"/>
        <v>2556656.3801490259</v>
      </c>
      <c r="AK880" s="20">
        <f t="shared" si="262"/>
        <v>0.1185002177851269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</row>
    <row r="881" spans="1:46" s="12" customFormat="1">
      <c r="A881" s="33" t="str">
        <f t="shared" si="257"/>
        <v>FY 23/24</v>
      </c>
      <c r="B881" s="152">
        <v>2023</v>
      </c>
      <c r="C881" s="152">
        <v>11</v>
      </c>
      <c r="D881" s="33" t="str">
        <f t="shared" si="258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9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4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0"/>
        <v>1</v>
      </c>
      <c r="Z881" s="18">
        <f t="shared" si="272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5"/>
        <v>21575119.674336284</v>
      </c>
      <c r="AJ881" s="19">
        <f t="shared" si="256"/>
        <v>2556656.3801490259</v>
      </c>
      <c r="AK881" s="20">
        <f t="shared" si="262"/>
        <v>0.1185002177851269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</row>
    <row r="882" spans="1:46" s="12" customFormat="1">
      <c r="A882" s="33" t="str">
        <f t="shared" si="257"/>
        <v>FY 23/24</v>
      </c>
      <c r="B882" s="152">
        <v>2023</v>
      </c>
      <c r="C882" s="152">
        <v>11</v>
      </c>
      <c r="D882" s="33" t="str">
        <f t="shared" si="258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9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4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0"/>
        <v>1</v>
      </c>
      <c r="Z882" s="18">
        <f t="shared" si="272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5"/>
        <v>21575119.674336284</v>
      </c>
      <c r="AJ882" s="19">
        <f t="shared" si="256"/>
        <v>2556656.3801490259</v>
      </c>
      <c r="AK882" s="20">
        <f t="shared" si="262"/>
        <v>0.1185002177851269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</row>
    <row r="883" spans="1:46" s="12" customFormat="1">
      <c r="A883" s="33" t="str">
        <f t="shared" si="257"/>
        <v>FY 23/24</v>
      </c>
      <c r="B883" s="152">
        <v>2023</v>
      </c>
      <c r="C883" s="152">
        <v>11</v>
      </c>
      <c r="D883" s="33" t="str">
        <f t="shared" si="258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9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4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0"/>
        <v>1</v>
      </c>
      <c r="Z883" s="18">
        <f t="shared" si="272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5"/>
        <v>21575119.674336284</v>
      </c>
      <c r="AJ883" s="19">
        <f t="shared" si="256"/>
        <v>2556656.3801490259</v>
      </c>
      <c r="AK883" s="20">
        <f t="shared" si="262"/>
        <v>0.1185002177851269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</row>
    <row r="884" spans="1:46" s="12" customFormat="1">
      <c r="A884" s="33" t="str">
        <f t="shared" si="257"/>
        <v>FY 23/24</v>
      </c>
      <c r="B884" s="152">
        <v>2023</v>
      </c>
      <c r="C884" s="152">
        <v>11</v>
      </c>
      <c r="D884" s="33" t="str">
        <f t="shared" si="258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9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4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0"/>
        <v>1</v>
      </c>
      <c r="Z884" s="18">
        <f t="shared" si="272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5"/>
        <v>21575119.674336284</v>
      </c>
      <c r="AJ884" s="19">
        <f t="shared" si="256"/>
        <v>2556656.3801490259</v>
      </c>
      <c r="AK884" s="20">
        <f t="shared" si="262"/>
        <v>0.1185002177851269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</row>
    <row r="885" spans="1:46" s="12" customFormat="1">
      <c r="A885" s="33" t="str">
        <f t="shared" si="257"/>
        <v>FY 23/24</v>
      </c>
      <c r="B885" s="152">
        <v>2023</v>
      </c>
      <c r="C885" s="152">
        <v>11</v>
      </c>
      <c r="D885" s="33" t="str">
        <f t="shared" si="258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9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4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0"/>
        <v>1</v>
      </c>
      <c r="Z885" s="18">
        <f t="shared" si="272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5"/>
        <v>21575119.674336284</v>
      </c>
      <c r="AJ885" s="19">
        <f t="shared" si="256"/>
        <v>2556656.3801490259</v>
      </c>
      <c r="AK885" s="20">
        <f t="shared" si="262"/>
        <v>0.1185002177851269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</row>
    <row r="886" spans="1:46" s="12" customFormat="1">
      <c r="A886" s="33" t="str">
        <f t="shared" si="257"/>
        <v>FY 23/24</v>
      </c>
      <c r="B886" s="152">
        <v>2023</v>
      </c>
      <c r="C886" s="152">
        <v>11</v>
      </c>
      <c r="D886" s="33" t="str">
        <f t="shared" si="258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9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4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0"/>
        <v>1</v>
      </c>
      <c r="Z886" s="18">
        <f t="shared" si="272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5"/>
        <v>21575119.674336284</v>
      </c>
      <c r="AJ886" s="19">
        <f t="shared" si="256"/>
        <v>2556656.3801490259</v>
      </c>
      <c r="AK886" s="20">
        <f t="shared" si="262"/>
        <v>0.1185002177851269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</row>
    <row r="887" spans="1:46" s="12" customFormat="1">
      <c r="A887" s="33" t="str">
        <f t="shared" si="257"/>
        <v>FY 23/24</v>
      </c>
      <c r="B887" s="152">
        <v>2023</v>
      </c>
      <c r="C887" s="152">
        <v>7</v>
      </c>
      <c r="D887" s="33" t="str">
        <f t="shared" si="258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9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4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5"/>
        <v>22953677.784070797</v>
      </c>
      <c r="AJ887" s="19">
        <f t="shared" si="256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</row>
    <row r="888" spans="1:46" s="12" customFormat="1">
      <c r="A888" s="33" t="str">
        <f t="shared" si="257"/>
        <v>FY 23/24</v>
      </c>
      <c r="B888" s="23">
        <v>2024</v>
      </c>
      <c r="C888" s="152">
        <v>3</v>
      </c>
      <c r="D888" s="33" t="str">
        <f t="shared" si="258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9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4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5"/>
        <v>21194662.454867262</v>
      </c>
      <c r="AJ888" s="27">
        <f t="shared" si="256"/>
        <v>2981431.5970757701</v>
      </c>
      <c r="AK888" s="28">
        <f t="shared" si="262"/>
        <v>0.14066898226968919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</row>
    <row r="889" spans="1:46" s="12" customFormat="1">
      <c r="A889" s="33" t="str">
        <f t="shared" si="257"/>
        <v>FY 19/20</v>
      </c>
      <c r="B889" s="152">
        <v>2019</v>
      </c>
      <c r="C889" s="152">
        <v>11</v>
      </c>
      <c r="D889" s="33" t="str">
        <f t="shared" si="258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9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4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5"/>
        <v>11620538.477876106</v>
      </c>
      <c r="AJ889" s="19">
        <f t="shared" si="256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</row>
    <row r="890" spans="1:46" s="12" customFormat="1">
      <c r="A890" s="33" t="str">
        <f t="shared" si="257"/>
        <v>FY 19/20</v>
      </c>
      <c r="B890" s="152">
        <v>2019</v>
      </c>
      <c r="C890" s="152">
        <v>7</v>
      </c>
      <c r="D890" s="33" t="str">
        <f t="shared" si="258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9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4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5"/>
        <v>37599388.802345134</v>
      </c>
      <c r="AJ890" s="19">
        <f t="shared" si="256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</row>
    <row r="891" spans="1:46" s="12" customFormat="1">
      <c r="A891" s="33" t="str">
        <f t="shared" si="257"/>
        <v>FY 19/20</v>
      </c>
      <c r="B891" s="152">
        <v>2019</v>
      </c>
      <c r="C891" s="152">
        <v>7</v>
      </c>
      <c r="D891" s="33" t="str">
        <f t="shared" si="258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9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4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5"/>
        <v>37599388.802345134</v>
      </c>
      <c r="AJ891" s="19">
        <f t="shared" si="256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</row>
    <row r="892" spans="1:46" s="12" customFormat="1">
      <c r="A892" s="33" t="str">
        <f t="shared" si="257"/>
        <v>FY 19/20</v>
      </c>
      <c r="B892" s="152">
        <v>2019</v>
      </c>
      <c r="C892" s="152">
        <v>7</v>
      </c>
      <c r="D892" s="33" t="str">
        <f t="shared" si="258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9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4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5"/>
        <v>37599388.802345134</v>
      </c>
      <c r="AJ892" s="19">
        <f t="shared" si="256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</row>
    <row r="893" spans="1:46" s="12" customFormat="1">
      <c r="A893" s="33" t="str">
        <f t="shared" si="257"/>
        <v>FY 19/20</v>
      </c>
      <c r="B893" s="152">
        <v>2019</v>
      </c>
      <c r="C893" s="152">
        <v>7</v>
      </c>
      <c r="D893" s="33" t="str">
        <f t="shared" si="258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9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4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5"/>
        <v>37599388.802345134</v>
      </c>
      <c r="AJ893" s="19">
        <f t="shared" si="256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</row>
    <row r="894" spans="1:46" s="12" customFormat="1">
      <c r="A894" s="33" t="str">
        <f t="shared" si="257"/>
        <v>FY 19/20</v>
      </c>
      <c r="B894" s="152">
        <v>2020</v>
      </c>
      <c r="C894" s="152">
        <v>3</v>
      </c>
      <c r="D894" s="33" t="str">
        <f t="shared" si="258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9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4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5"/>
        <v>28065694.408805311</v>
      </c>
      <c r="AJ894" s="19">
        <f t="shared" si="256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</row>
    <row r="895" spans="1:46" s="12" customFormat="1">
      <c r="A895" s="33" t="str">
        <f t="shared" si="257"/>
        <v>FY 19/20</v>
      </c>
      <c r="B895" s="152">
        <v>2020</v>
      </c>
      <c r="C895" s="152">
        <v>3</v>
      </c>
      <c r="D895" s="33" t="str">
        <f t="shared" si="258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9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4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5"/>
        <v>28065694.408805311</v>
      </c>
      <c r="AJ895" s="19">
        <f t="shared" si="256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</row>
    <row r="896" spans="1:46" s="12" customFormat="1">
      <c r="A896" s="33" t="str">
        <f t="shared" si="257"/>
        <v>FY 19/20</v>
      </c>
      <c r="B896" s="152">
        <v>2020</v>
      </c>
      <c r="C896" s="152">
        <v>3</v>
      </c>
      <c r="D896" s="33" t="str">
        <f t="shared" si="258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9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4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5"/>
        <v>28065694.408805311</v>
      </c>
      <c r="AJ896" s="19">
        <f t="shared" si="256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</row>
    <row r="897" spans="1:46" s="12" customFormat="1">
      <c r="A897" s="33" t="str">
        <f t="shared" si="257"/>
        <v>FY 19/20</v>
      </c>
      <c r="B897" s="152">
        <v>2020</v>
      </c>
      <c r="C897" s="152">
        <v>3</v>
      </c>
      <c r="D897" s="33" t="str">
        <f t="shared" si="258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9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4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5"/>
        <v>28065694.408805311</v>
      </c>
      <c r="AJ897" s="19">
        <f t="shared" si="256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</row>
    <row r="898" spans="1:46" s="12" customFormat="1">
      <c r="A898" s="33" t="str">
        <f t="shared" si="257"/>
        <v>FY 20/21</v>
      </c>
      <c r="B898" s="152">
        <v>2020</v>
      </c>
      <c r="C898" s="152">
        <v>5</v>
      </c>
      <c r="D898" s="33" t="str">
        <f t="shared" si="258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9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ref="P898:P961" si="273">IF(M898="","",IF(AND(N898&gt;0,L898&lt;&gt;""),"MAIN UNIT",IF(AND(O898&gt;0,L898&lt;&gt;""),"SERVICE/ PARTS","C66 SERVICE/OTHERS")))</f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4">IF(P898="C66 SERVICE","",SUMIFS(AB:AB,F:F,F898,G:G,G898,E:E,E898))</f>
        <v>28065694.408805311</v>
      </c>
      <c r="AJ898" s="19">
        <f t="shared" ref="AJ898:AJ961" si="275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</row>
    <row r="899" spans="1:46" s="12" customFormat="1">
      <c r="A899" s="33" t="str">
        <f t="shared" si="257"/>
        <v>FY 20/21</v>
      </c>
      <c r="B899" s="152">
        <v>2020</v>
      </c>
      <c r="C899" s="152">
        <v>5</v>
      </c>
      <c r="D899" s="33" t="str">
        <f t="shared" si="258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9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73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4"/>
        <v>28065694.408805311</v>
      </c>
      <c r="AJ899" s="19">
        <f t="shared" si="275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</row>
    <row r="900" spans="1:46" s="12" customFormat="1">
      <c r="A900" s="33" t="str">
        <f t="shared" si="257"/>
        <v>FY 20/21</v>
      </c>
      <c r="B900" s="152">
        <v>2021</v>
      </c>
      <c r="C900" s="152">
        <v>3</v>
      </c>
      <c r="D900" s="33" t="str">
        <f t="shared" si="258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9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73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6">IF(W900="RMB","1.13", "1")</f>
        <v>1</v>
      </c>
      <c r="Z900" s="18">
        <f t="shared" si="272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4"/>
        <v>43684091.636631854</v>
      </c>
      <c r="AJ900" s="19">
        <f t="shared" si="275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</row>
    <row r="901" spans="1:46" s="12" customFormat="1">
      <c r="A901" s="33" t="str">
        <f t="shared" si="257"/>
        <v>FY 20/21</v>
      </c>
      <c r="B901" s="152">
        <v>2021</v>
      </c>
      <c r="C901" s="152">
        <v>3</v>
      </c>
      <c r="D901" s="33" t="str">
        <f t="shared" si="258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9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73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6"/>
        <v>1</v>
      </c>
      <c r="Z901" s="18">
        <f t="shared" si="272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4"/>
        <v>43684091.636631854</v>
      </c>
      <c r="AJ901" s="19">
        <f t="shared" si="275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</row>
    <row r="902" spans="1:46" s="12" customFormat="1">
      <c r="A902" s="33" t="str">
        <f t="shared" ref="A902:A965" si="277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8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9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si="273"/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6"/>
        <v>1</v>
      </c>
      <c r="Z902" s="18">
        <f t="shared" si="272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4"/>
        <v>477651199.57437885</v>
      </c>
      <c r="AJ902" s="19">
        <f t="shared" si="275"/>
        <v>56918800.518691957</v>
      </c>
      <c r="AK902" s="20">
        <f t="shared" ref="AK902:AK965" si="282">IF(AJ902&gt;0,AJ902/AI902,"")</f>
        <v>0.11916394341605475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</row>
    <row r="903" spans="1:46" s="12" customFormat="1">
      <c r="A903" s="33" t="str">
        <f t="shared" si="277"/>
        <v>FY 20/21</v>
      </c>
      <c r="B903" s="152">
        <v>2021</v>
      </c>
      <c r="C903" s="152">
        <v>3</v>
      </c>
      <c r="D903" s="33" t="str">
        <f t="shared" si="278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9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3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6"/>
        <v>1</v>
      </c>
      <c r="Z903" s="18">
        <f t="shared" si="272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4"/>
        <v>477651199.57437885</v>
      </c>
      <c r="AJ903" s="19">
        <f t="shared" si="275"/>
        <v>56918800.518691957</v>
      </c>
      <c r="AK903" s="20">
        <f t="shared" si="282"/>
        <v>0.11916394341605475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</row>
    <row r="904" spans="1:46" s="12" customFormat="1">
      <c r="A904" s="33" t="str">
        <f t="shared" si="277"/>
        <v>FY 20/21</v>
      </c>
      <c r="B904" s="152">
        <v>2021</v>
      </c>
      <c r="C904" s="152">
        <v>3</v>
      </c>
      <c r="D904" s="33" t="str">
        <f t="shared" si="278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9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3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6"/>
        <v>1</v>
      </c>
      <c r="Z904" s="18">
        <f t="shared" si="272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4"/>
        <v>477651199.57437885</v>
      </c>
      <c r="AJ904" s="19">
        <f t="shared" si="275"/>
        <v>56918800.518691957</v>
      </c>
      <c r="AK904" s="20">
        <f t="shared" si="282"/>
        <v>0.11916394341605475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</row>
    <row r="905" spans="1:46" s="12" customFormat="1">
      <c r="A905" s="33" t="str">
        <f t="shared" si="277"/>
        <v>FY 20/21</v>
      </c>
      <c r="B905" s="152">
        <v>2021</v>
      </c>
      <c r="C905" s="152">
        <v>3</v>
      </c>
      <c r="D905" s="33" t="str">
        <f t="shared" si="278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9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3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6"/>
        <v>1</v>
      </c>
      <c r="Z905" s="18">
        <f t="shared" si="272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4"/>
        <v>477651199.57437885</v>
      </c>
      <c r="AJ905" s="19">
        <f t="shared" si="275"/>
        <v>56918800.518691957</v>
      </c>
      <c r="AK905" s="20">
        <f t="shared" si="282"/>
        <v>0.11916394341605475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</row>
    <row r="906" spans="1:46" s="12" customFormat="1">
      <c r="A906" s="33" t="str">
        <f t="shared" si="277"/>
        <v>FY 20/21</v>
      </c>
      <c r="B906" s="152">
        <v>2021</v>
      </c>
      <c r="C906" s="152">
        <v>3</v>
      </c>
      <c r="D906" s="33" t="str">
        <f t="shared" si="278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9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3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6"/>
        <v>1</v>
      </c>
      <c r="Z906" s="18">
        <f t="shared" si="272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4"/>
        <v>477651199.57437885</v>
      </c>
      <c r="AJ906" s="19">
        <f t="shared" si="275"/>
        <v>56918800.518691957</v>
      </c>
      <c r="AK906" s="20">
        <f t="shared" si="282"/>
        <v>0.11916394341605475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</row>
    <row r="907" spans="1:46" s="12" customFormat="1">
      <c r="A907" s="33" t="str">
        <f t="shared" si="277"/>
        <v>FY 20/21</v>
      </c>
      <c r="B907" s="152">
        <v>2021</v>
      </c>
      <c r="C907" s="152">
        <v>3</v>
      </c>
      <c r="D907" s="33" t="str">
        <f t="shared" si="278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9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3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6"/>
        <v>1</v>
      </c>
      <c r="Z907" s="18">
        <f t="shared" si="272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4"/>
        <v>477651199.57437885</v>
      </c>
      <c r="AJ907" s="19">
        <f t="shared" si="275"/>
        <v>56918800.518691957</v>
      </c>
      <c r="AK907" s="20">
        <f t="shared" si="282"/>
        <v>0.11916394341605475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</row>
    <row r="908" spans="1:46" s="12" customFormat="1">
      <c r="A908" s="33" t="str">
        <f t="shared" si="277"/>
        <v>FY 22/23</v>
      </c>
      <c r="B908" s="152">
        <v>2022</v>
      </c>
      <c r="C908" s="152">
        <v>9</v>
      </c>
      <c r="D908" s="33" t="str">
        <f t="shared" si="278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9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3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6"/>
        <v>1</v>
      </c>
      <c r="Z908" s="18">
        <f t="shared" si="272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4"/>
        <v>17329060.066371687</v>
      </c>
      <c r="AJ908" s="19">
        <f t="shared" si="275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</row>
    <row r="909" spans="1:46" s="12" customFormat="1">
      <c r="A909" s="33" t="str">
        <f t="shared" si="277"/>
        <v>FY 22/23</v>
      </c>
      <c r="B909" s="152">
        <v>2022</v>
      </c>
      <c r="C909" s="152">
        <v>9</v>
      </c>
      <c r="D909" s="33" t="str">
        <f t="shared" si="278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9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3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6"/>
        <v>1</v>
      </c>
      <c r="Z909" s="18">
        <f t="shared" si="272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4"/>
        <v>17329060.066371687</v>
      </c>
      <c r="AJ909" s="19">
        <f t="shared" si="275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</row>
    <row r="910" spans="1:46" s="12" customFormat="1">
      <c r="A910" s="33" t="str">
        <f t="shared" si="277"/>
        <v>FY 21/22</v>
      </c>
      <c r="B910" s="152">
        <v>2022</v>
      </c>
      <c r="C910" s="152">
        <v>3</v>
      </c>
      <c r="D910" s="33" t="str">
        <f t="shared" si="278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9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3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6"/>
        <v>1.13</v>
      </c>
      <c r="Z910" s="18">
        <f t="shared" si="272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4"/>
        <v>44014086.982070789</v>
      </c>
      <c r="AJ910" s="19">
        <f t="shared" si="275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</row>
    <row r="911" spans="1:46" s="12" customFormat="1">
      <c r="A911" s="33" t="str">
        <f t="shared" si="277"/>
        <v>FY 21/22</v>
      </c>
      <c r="B911" s="152">
        <v>2022</v>
      </c>
      <c r="C911" s="152">
        <v>3</v>
      </c>
      <c r="D911" s="33" t="str">
        <f t="shared" si="278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9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3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6"/>
        <v>1.13</v>
      </c>
      <c r="Z911" s="18">
        <f t="shared" si="272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4"/>
        <v>44014086.982070789</v>
      </c>
      <c r="AJ911" s="19">
        <f t="shared" si="275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</row>
    <row r="912" spans="1:46" s="12" customFormat="1">
      <c r="A912" s="33" t="str">
        <f t="shared" si="277"/>
        <v>FY 23/24</v>
      </c>
      <c r="B912" s="23">
        <v>2024</v>
      </c>
      <c r="C912" s="152">
        <v>1</v>
      </c>
      <c r="D912" s="33" t="str">
        <f t="shared" si="278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9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3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4"/>
        <v>21194662.454867262</v>
      </c>
      <c r="AJ912" s="27">
        <f t="shared" si="275"/>
        <v>2981431.5970757701</v>
      </c>
      <c r="AK912" s="28">
        <f t="shared" si="282"/>
        <v>0.14066898226968919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</row>
    <row r="913" spans="1:46" s="12" customFormat="1">
      <c r="A913" s="33" t="str">
        <f t="shared" si="277"/>
        <v>FY 20/21</v>
      </c>
      <c r="B913" s="152">
        <v>2020</v>
      </c>
      <c r="C913" s="152">
        <v>7</v>
      </c>
      <c r="D913" s="33" t="str">
        <f t="shared" si="278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9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3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4"/>
        <v>47907808.356810622</v>
      </c>
      <c r="AJ913" s="19">
        <f t="shared" si="275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</row>
    <row r="914" spans="1:46" s="12" customFormat="1">
      <c r="A914" s="33" t="str">
        <f t="shared" si="277"/>
        <v>FY 18/19</v>
      </c>
      <c r="B914" s="152">
        <v>2018</v>
      </c>
      <c r="C914" s="152">
        <v>7</v>
      </c>
      <c r="D914" s="33" t="str">
        <f t="shared" si="278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9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3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4"/>
        <v>477651199.57437885</v>
      </c>
      <c r="AJ914" s="19">
        <f t="shared" si="275"/>
        <v>56918800.518691957</v>
      </c>
      <c r="AK914" s="20">
        <f t="shared" si="282"/>
        <v>0.11916394341605475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</row>
    <row r="915" spans="1:46" s="12" customFormat="1">
      <c r="A915" s="33" t="str">
        <f t="shared" si="277"/>
        <v>FY 19/20</v>
      </c>
      <c r="B915" s="152">
        <v>2020</v>
      </c>
      <c r="C915" s="152">
        <v>3</v>
      </c>
      <c r="D915" s="33" t="str">
        <f t="shared" si="278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9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3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4"/>
        <v>23168285.927433632</v>
      </c>
      <c r="AJ915" s="19">
        <f t="shared" si="275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</row>
    <row r="916" spans="1:46" s="12" customFormat="1">
      <c r="A916" s="33" t="str">
        <f t="shared" si="277"/>
        <v>FY 20/21</v>
      </c>
      <c r="B916" s="152">
        <v>2021</v>
      </c>
      <c r="C916" s="152">
        <v>1</v>
      </c>
      <c r="D916" s="33" t="str">
        <f t="shared" si="278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9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3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4"/>
        <v>63006605.696460173</v>
      </c>
      <c r="AJ916" s="19">
        <f t="shared" si="275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</row>
    <row r="917" spans="1:46" s="12" customFormat="1">
      <c r="A917" s="33" t="str">
        <f t="shared" si="277"/>
        <v>FY 21/22</v>
      </c>
      <c r="B917" s="152">
        <v>2021</v>
      </c>
      <c r="C917" s="152">
        <v>4</v>
      </c>
      <c r="D917" s="33" t="str">
        <f t="shared" si="278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9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3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4"/>
        <v>63006605.696460173</v>
      </c>
      <c r="AJ917" s="19">
        <f t="shared" si="275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</row>
    <row r="918" spans="1:46" s="12" customFormat="1">
      <c r="A918" s="33" t="str">
        <f t="shared" si="277"/>
        <v>cancel</v>
      </c>
      <c r="B918" s="152"/>
      <c r="C918" s="152" t="s">
        <v>186</v>
      </c>
      <c r="D918" s="33" t="str">
        <f t="shared" si="278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9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3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4"/>
        <v>477651199.57437885</v>
      </c>
      <c r="AJ918" s="19">
        <f t="shared" si="275"/>
        <v>56918800.518691957</v>
      </c>
      <c r="AK918" s="20">
        <f t="shared" si="282"/>
        <v>0.11916394341605475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</row>
    <row r="919" spans="1:46" s="12" customFormat="1">
      <c r="A919" s="33" t="str">
        <f t="shared" si="277"/>
        <v>cancel</v>
      </c>
      <c r="B919" s="152"/>
      <c r="C919" s="152" t="s">
        <v>186</v>
      </c>
      <c r="D919" s="33" t="str">
        <f t="shared" si="278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9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3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4"/>
        <v>477651199.57437885</v>
      </c>
      <c r="AJ919" s="19">
        <f t="shared" si="275"/>
        <v>56918800.518691957</v>
      </c>
      <c r="AK919" s="20">
        <f t="shared" si="282"/>
        <v>0.11916394341605475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</row>
    <row r="920" spans="1:46" s="12" customFormat="1">
      <c r="A920" s="33" t="str">
        <f t="shared" si="277"/>
        <v>FY 17/18</v>
      </c>
      <c r="B920" s="152">
        <v>2018</v>
      </c>
      <c r="C920" s="152">
        <v>3</v>
      </c>
      <c r="D920" s="33" t="str">
        <f t="shared" si="278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9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3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4"/>
        <v>24398045.86045352</v>
      </c>
      <c r="AJ920" s="19">
        <f t="shared" si="275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</row>
    <row r="921" spans="1:46" s="12" customFormat="1">
      <c r="A921" s="33" t="str">
        <f t="shared" si="277"/>
        <v>FY 22/23</v>
      </c>
      <c r="B921" s="152">
        <v>2022</v>
      </c>
      <c r="C921" s="152">
        <v>8</v>
      </c>
      <c r="D921" s="33" t="str">
        <f t="shared" si="278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9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3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4"/>
        <v>28177779.013274338</v>
      </c>
      <c r="AJ921" s="19">
        <f t="shared" si="275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</row>
    <row r="922" spans="1:46" s="12" customFormat="1">
      <c r="A922" s="33" t="str">
        <f t="shared" si="277"/>
        <v>FY 20/21</v>
      </c>
      <c r="B922" s="152">
        <v>2020</v>
      </c>
      <c r="C922" s="152">
        <v>12</v>
      </c>
      <c r="D922" s="33" t="str">
        <f t="shared" si="278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9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3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4"/>
        <v>31097187.02948761</v>
      </c>
      <c r="AJ922" s="19">
        <f t="shared" si="275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</row>
    <row r="923" spans="1:46" s="12" customFormat="1">
      <c r="A923" s="33" t="str">
        <f t="shared" si="277"/>
        <v>FY 20/21</v>
      </c>
      <c r="B923" s="152">
        <v>2020</v>
      </c>
      <c r="C923" s="152">
        <v>10</v>
      </c>
      <c r="D923" s="33" t="str">
        <f t="shared" si="278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9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3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si="271"/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4"/>
        <v>44078731.611185849</v>
      </c>
      <c r="AJ923" s="19">
        <f t="shared" si="275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</row>
    <row r="924" spans="1:46" s="12" customFormat="1">
      <c r="A924" s="33" t="str">
        <f t="shared" si="277"/>
        <v>FY 21/22</v>
      </c>
      <c r="B924" s="152">
        <v>2022</v>
      </c>
      <c r="C924" s="152">
        <v>3</v>
      </c>
      <c r="D924" s="33" t="str">
        <f t="shared" si="278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9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3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71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4"/>
        <v>44014086.982070789</v>
      </c>
      <c r="AJ924" s="19">
        <f t="shared" si="275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</row>
    <row r="925" spans="1:46" s="12" customFormat="1">
      <c r="A925" s="33" t="str">
        <f t="shared" si="277"/>
        <v>cancel</v>
      </c>
      <c r="B925" s="152"/>
      <c r="C925" s="152" t="s">
        <v>1617</v>
      </c>
      <c r="D925" s="33" t="str">
        <f t="shared" si="278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9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3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71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4"/>
        <v>477651199.57437885</v>
      </c>
      <c r="AJ925" s="19">
        <f t="shared" si="275"/>
        <v>56918800.518691957</v>
      </c>
      <c r="AK925" s="20">
        <f t="shared" si="282"/>
        <v>0.11916394341605475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</row>
    <row r="926" spans="1:46" s="12" customFormat="1">
      <c r="A926" s="33" t="str">
        <f t="shared" si="277"/>
        <v>cancel</v>
      </c>
      <c r="B926" s="152"/>
      <c r="C926" s="152" t="s">
        <v>186</v>
      </c>
      <c r="D926" s="33" t="str">
        <f t="shared" si="278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9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3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71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4"/>
        <v>477651199.57437885</v>
      </c>
      <c r="AJ926" s="19">
        <f t="shared" si="275"/>
        <v>56918800.518691957</v>
      </c>
      <c r="AK926" s="20">
        <f t="shared" si="282"/>
        <v>0.11916394341605475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</row>
    <row r="927" spans="1:46" s="12" customFormat="1">
      <c r="A927" s="33" t="str">
        <f t="shared" si="277"/>
        <v>FY 23/24</v>
      </c>
      <c r="B927" s="152">
        <v>2023</v>
      </c>
      <c r="C927" s="152">
        <v>9</v>
      </c>
      <c r="D927" s="33" t="str">
        <f t="shared" si="278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9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3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71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4"/>
        <v>5219988.5752212387</v>
      </c>
      <c r="AJ927" s="19">
        <f t="shared" si="275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</row>
    <row r="928" spans="1:46" s="12" customFormat="1">
      <c r="A928" s="33" t="str">
        <f t="shared" si="277"/>
        <v>FY 20/21</v>
      </c>
      <c r="B928" s="152">
        <v>2020</v>
      </c>
      <c r="C928" s="152">
        <v>5</v>
      </c>
      <c r="D928" s="33" t="str">
        <f t="shared" si="278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9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3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88">IF(W928="RMB","1.13", "1")</f>
        <v>1.13</v>
      </c>
      <c r="Z928" s="18">
        <f t="shared" si="272"/>
        <v>1404000</v>
      </c>
      <c r="AA928" s="13">
        <v>1.175</v>
      </c>
      <c r="AB928" s="21">
        <f t="shared" si="271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4"/>
        <v>48763143.537654862</v>
      </c>
      <c r="AJ928" s="19">
        <f t="shared" si="275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</row>
    <row r="929" spans="1:46" s="12" customFormat="1">
      <c r="A929" s="33" t="str">
        <f t="shared" si="277"/>
        <v>FY 21/22</v>
      </c>
      <c r="B929" s="152">
        <v>2021</v>
      </c>
      <c r="C929" s="152">
        <v>7</v>
      </c>
      <c r="D929" s="33" t="str">
        <f t="shared" si="278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9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3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88"/>
        <v>1.13</v>
      </c>
      <c r="Z929" s="18">
        <f t="shared" si="272"/>
        <v>468000</v>
      </c>
      <c r="AA929" s="13">
        <v>1.2</v>
      </c>
      <c r="AB929" s="21">
        <f t="shared" si="271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4"/>
        <v>10844605.840707963</v>
      </c>
      <c r="AJ929" s="19">
        <f t="shared" si="275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</row>
    <row r="930" spans="1:46" s="12" customFormat="1">
      <c r="A930" s="33" t="str">
        <f t="shared" si="277"/>
        <v>FY 21/22</v>
      </c>
      <c r="B930" s="152">
        <v>2021</v>
      </c>
      <c r="C930" s="152">
        <v>7</v>
      </c>
      <c r="D930" s="33" t="str">
        <f t="shared" si="278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9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3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88"/>
        <v>1.13</v>
      </c>
      <c r="Z930" s="18">
        <f t="shared" si="272"/>
        <v>468000</v>
      </c>
      <c r="AA930" s="13">
        <v>1.2</v>
      </c>
      <c r="AB930" s="21">
        <f t="shared" si="271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4"/>
        <v>10844605.840707963</v>
      </c>
      <c r="AJ930" s="19">
        <f t="shared" si="275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</row>
    <row r="931" spans="1:46" s="12" customFormat="1">
      <c r="A931" s="33" t="str">
        <f t="shared" si="277"/>
        <v>FY 20/21</v>
      </c>
      <c r="B931" s="152">
        <v>2020</v>
      </c>
      <c r="C931" s="152">
        <v>10</v>
      </c>
      <c r="D931" s="33" t="str">
        <f t="shared" si="278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9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3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88"/>
        <v>1</v>
      </c>
      <c r="Z931" s="18">
        <f t="shared" si="272"/>
        <v>9526667</v>
      </c>
      <c r="AA931" s="13">
        <v>7.5700000000000003E-2</v>
      </c>
      <c r="AB931" s="21">
        <f t="shared" si="271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4"/>
        <v>31097187.02948761</v>
      </c>
      <c r="AJ931" s="19">
        <f t="shared" si="275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</row>
    <row r="932" spans="1:46" s="12" customFormat="1">
      <c r="A932" s="33" t="str">
        <f t="shared" si="277"/>
        <v>FY 20/21</v>
      </c>
      <c r="B932" s="152">
        <v>2020</v>
      </c>
      <c r="C932" s="152">
        <v>10</v>
      </c>
      <c r="D932" s="33" t="str">
        <f t="shared" si="278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9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3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88"/>
        <v>1</v>
      </c>
      <c r="Z932" s="18">
        <f t="shared" si="272"/>
        <v>9526667</v>
      </c>
      <c r="AA932" s="13">
        <v>7.5700000000000003E-2</v>
      </c>
      <c r="AB932" s="21">
        <f t="shared" si="271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4"/>
        <v>31097187.02948761</v>
      </c>
      <c r="AJ932" s="19">
        <f t="shared" si="275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</row>
    <row r="933" spans="1:46" s="12" customFormat="1">
      <c r="A933" s="33" t="str">
        <f t="shared" si="277"/>
        <v>FY 20/21</v>
      </c>
      <c r="B933" s="152">
        <v>2020</v>
      </c>
      <c r="C933" s="152">
        <v>10</v>
      </c>
      <c r="D933" s="33" t="str">
        <f t="shared" si="278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9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3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88"/>
        <v>1</v>
      </c>
      <c r="Z933" s="18">
        <f t="shared" si="272"/>
        <v>9526667</v>
      </c>
      <c r="AA933" s="13">
        <v>7.5700000000000003E-2</v>
      </c>
      <c r="AB933" s="21">
        <f t="shared" si="271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4"/>
        <v>31097187.02948761</v>
      </c>
      <c r="AJ933" s="19">
        <f t="shared" si="275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</row>
    <row r="934" spans="1:46" s="12" customFormat="1">
      <c r="A934" s="33" t="str">
        <f t="shared" si="277"/>
        <v>FY 18/19</v>
      </c>
      <c r="B934" s="152">
        <v>2019</v>
      </c>
      <c r="C934" s="152">
        <v>1</v>
      </c>
      <c r="D934" s="33" t="str">
        <f t="shared" si="278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9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3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71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4"/>
        <v>23237072.69172414</v>
      </c>
      <c r="AJ934" s="19">
        <f t="shared" si="275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</row>
    <row r="935" spans="1:46" s="12" customFormat="1">
      <c r="A935" s="33" t="str">
        <f t="shared" si="277"/>
        <v>FY 20/21</v>
      </c>
      <c r="B935" s="152">
        <v>2021</v>
      </c>
      <c r="C935" s="152">
        <v>1</v>
      </c>
      <c r="D935" s="33" t="str">
        <f t="shared" si="278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9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3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71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4"/>
        <v>63006605.696460173</v>
      </c>
      <c r="AJ935" s="19">
        <f t="shared" si="275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</row>
    <row r="936" spans="1:46" s="12" customFormat="1">
      <c r="A936" s="33" t="str">
        <f t="shared" si="277"/>
        <v>FY 20/21</v>
      </c>
      <c r="B936" s="152">
        <v>2021</v>
      </c>
      <c r="C936" s="152">
        <v>3</v>
      </c>
      <c r="D936" s="33" t="str">
        <f t="shared" si="278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9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3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71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4"/>
        <v>25380121.402654871</v>
      </c>
      <c r="AJ936" s="19">
        <f t="shared" si="275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</row>
    <row r="937" spans="1:46" s="12" customFormat="1">
      <c r="A937" s="33" t="str">
        <f t="shared" si="277"/>
        <v>FY 20/21</v>
      </c>
      <c r="B937" s="152">
        <v>2021</v>
      </c>
      <c r="C937" s="152">
        <v>3</v>
      </c>
      <c r="D937" s="33" t="str">
        <f t="shared" si="278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9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3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71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4"/>
        <v>25380121.402654871</v>
      </c>
      <c r="AJ937" s="19">
        <f t="shared" si="275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</row>
    <row r="938" spans="1:46" s="12" customFormat="1">
      <c r="A938" s="33" t="str">
        <f t="shared" si="277"/>
        <v>FY 20/21</v>
      </c>
      <c r="B938" s="152">
        <v>2020</v>
      </c>
      <c r="C938" s="152">
        <v>11</v>
      </c>
      <c r="D938" s="33" t="str">
        <f t="shared" si="278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9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3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71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4"/>
        <v>31097187.02948761</v>
      </c>
      <c r="AJ938" s="19">
        <f t="shared" si="275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</row>
    <row r="939" spans="1:46" s="12" customFormat="1">
      <c r="A939" s="33" t="str">
        <f t="shared" si="277"/>
        <v>FY 20/21</v>
      </c>
      <c r="B939" s="152">
        <v>2020</v>
      </c>
      <c r="C939" s="152">
        <v>11</v>
      </c>
      <c r="D939" s="33" t="str">
        <f t="shared" si="278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9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3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71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4"/>
        <v>31097187.02948761</v>
      </c>
      <c r="AJ939" s="19">
        <f t="shared" si="275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</row>
    <row r="940" spans="1:46" s="12" customFormat="1">
      <c r="A940" s="33" t="str">
        <f t="shared" si="277"/>
        <v>FY 18/19</v>
      </c>
      <c r="B940" s="152">
        <v>2019</v>
      </c>
      <c r="C940" s="152">
        <v>1</v>
      </c>
      <c r="D940" s="33" t="str">
        <f t="shared" si="278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9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3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71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4"/>
        <v>32843736.557277881</v>
      </c>
      <c r="AJ940" s="19">
        <f t="shared" si="275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</row>
    <row r="941" spans="1:46" s="12" customFormat="1">
      <c r="A941" s="33" t="str">
        <f t="shared" si="277"/>
        <v>FY 18/19</v>
      </c>
      <c r="B941" s="152">
        <v>2019</v>
      </c>
      <c r="C941" s="152">
        <v>1</v>
      </c>
      <c r="D941" s="33" t="str">
        <f t="shared" si="278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9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3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71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4"/>
        <v>32843736.557277881</v>
      </c>
      <c r="AJ941" s="19">
        <f t="shared" si="275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</row>
    <row r="942" spans="1:46" s="12" customFormat="1">
      <c r="A942" s="33" t="str">
        <f t="shared" si="277"/>
        <v>FY 18/19</v>
      </c>
      <c r="B942" s="152">
        <v>2019</v>
      </c>
      <c r="C942" s="152">
        <v>1</v>
      </c>
      <c r="D942" s="33" t="str">
        <f t="shared" si="278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9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3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si="272"/>
        <v>552000</v>
      </c>
      <c r="AA942" s="13">
        <v>1.1599999999999999</v>
      </c>
      <c r="AB942" s="21">
        <f t="shared" ref="AB942:AB1005" si="289">IF(AND(R942&lt;&gt;"C66",R942&lt;&gt;""),Z942/Y942*AA942,"")</f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4"/>
        <v>32843736.557277881</v>
      </c>
      <c r="AJ942" s="19">
        <f t="shared" si="275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</row>
    <row r="943" spans="1:46" s="12" customFormat="1">
      <c r="A943" s="33" t="str">
        <f t="shared" si="277"/>
        <v>FY 19/20</v>
      </c>
      <c r="B943" s="152">
        <v>2019</v>
      </c>
      <c r="C943" s="152">
        <v>5</v>
      </c>
      <c r="D943" s="33" t="str">
        <f t="shared" si="278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9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3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72"/>
        <v>15210000</v>
      </c>
      <c r="AA943" s="13">
        <v>7.3999999999999996E-2</v>
      </c>
      <c r="AB943" s="21">
        <f t="shared" si="289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4"/>
        <v>34015877.71150443</v>
      </c>
      <c r="AJ943" s="19">
        <f t="shared" si="275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</row>
    <row r="944" spans="1:46" s="12" customFormat="1">
      <c r="A944" s="33" t="str">
        <f t="shared" si="277"/>
        <v>FY 19/20</v>
      </c>
      <c r="B944" s="152">
        <v>2019</v>
      </c>
      <c r="C944" s="152">
        <v>5</v>
      </c>
      <c r="D944" s="33" t="str">
        <f t="shared" si="278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9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3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ref="Z944:Z1007" si="290">IF(X944="","",X944*MAX(O944,N944))</f>
        <v>15210000</v>
      </c>
      <c r="AA944" s="13">
        <v>7.3999999999999996E-2</v>
      </c>
      <c r="AB944" s="21">
        <f t="shared" si="289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4"/>
        <v>34015877.71150443</v>
      </c>
      <c r="AJ944" s="19">
        <f t="shared" si="275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</row>
    <row r="945" spans="1:46" s="12" customFormat="1">
      <c r="A945" s="33" t="str">
        <f t="shared" si="277"/>
        <v>FY 19/20</v>
      </c>
      <c r="B945" s="152">
        <v>2019</v>
      </c>
      <c r="C945" s="152">
        <v>5</v>
      </c>
      <c r="D945" s="33" t="str">
        <f t="shared" si="278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9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3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9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4"/>
        <v>34015877.71150443</v>
      </c>
      <c r="AJ945" s="19">
        <f t="shared" si="275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</row>
    <row r="946" spans="1:46" s="12" customFormat="1">
      <c r="A946" s="33" t="str">
        <f t="shared" si="277"/>
        <v>FY 19/20</v>
      </c>
      <c r="B946" s="152">
        <v>2019</v>
      </c>
      <c r="C946" s="152">
        <v>5</v>
      </c>
      <c r="D946" s="33" t="str">
        <f t="shared" si="278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9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3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9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4"/>
        <v>34015877.71150443</v>
      </c>
      <c r="AJ946" s="19">
        <f t="shared" si="275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</row>
    <row r="947" spans="1:46" s="12" customFormat="1">
      <c r="A947" s="33" t="str">
        <f t="shared" si="277"/>
        <v>FY 19/20</v>
      </c>
      <c r="B947" s="152">
        <v>2019</v>
      </c>
      <c r="C947" s="152">
        <v>5</v>
      </c>
      <c r="D947" s="33" t="str">
        <f t="shared" si="278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9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3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9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4"/>
        <v>34015877.71150443</v>
      </c>
      <c r="AJ947" s="19">
        <f t="shared" si="275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</row>
    <row r="948" spans="1:46" s="12" customFormat="1">
      <c r="A948" s="33" t="str">
        <f t="shared" si="277"/>
        <v>FY 19/20</v>
      </c>
      <c r="B948" s="152">
        <v>2019</v>
      </c>
      <c r="C948" s="152">
        <v>5</v>
      </c>
      <c r="D948" s="33" t="str">
        <f t="shared" si="278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9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3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9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4"/>
        <v>34015877.71150443</v>
      </c>
      <c r="AJ948" s="19">
        <f t="shared" si="275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</row>
    <row r="949" spans="1:46" s="12" customFormat="1">
      <c r="A949" s="33" t="str">
        <f t="shared" si="277"/>
        <v>FY 21/22</v>
      </c>
      <c r="B949" s="152">
        <v>2021</v>
      </c>
      <c r="C949" s="152">
        <v>4</v>
      </c>
      <c r="D949" s="33" t="str">
        <f t="shared" si="278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9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3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9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4"/>
        <v>63006605.696460173</v>
      </c>
      <c r="AJ949" s="19">
        <f t="shared" si="275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</row>
    <row r="950" spans="1:46" s="12" customFormat="1">
      <c r="A950" s="33" t="str">
        <f t="shared" si="277"/>
        <v>FY 17/18</v>
      </c>
      <c r="B950" s="152">
        <v>2017</v>
      </c>
      <c r="C950" s="152">
        <v>11</v>
      </c>
      <c r="D950" s="33" t="str">
        <f t="shared" si="278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9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3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9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4"/>
        <v>13250187.062905986</v>
      </c>
      <c r="AJ950" s="19">
        <f t="shared" si="275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</row>
    <row r="951" spans="1:46" s="12" customFormat="1">
      <c r="A951" s="33" t="str">
        <f t="shared" si="277"/>
        <v>FY 19/20</v>
      </c>
      <c r="B951" s="152">
        <v>2019</v>
      </c>
      <c r="C951" s="152">
        <v>11</v>
      </c>
      <c r="D951" s="33" t="str">
        <f t="shared" si="278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9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3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9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4"/>
        <v>27318180.088495575</v>
      </c>
      <c r="AJ951" s="19">
        <f t="shared" si="275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</row>
    <row r="952" spans="1:46" s="12" customFormat="1">
      <c r="A952" s="33" t="str">
        <f t="shared" si="277"/>
        <v>FY 18/19</v>
      </c>
      <c r="B952" s="152">
        <v>2019</v>
      </c>
      <c r="C952" s="152">
        <v>2</v>
      </c>
      <c r="D952" s="33" t="str">
        <f t="shared" si="278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9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3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9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4"/>
        <v>31296887.037898075</v>
      </c>
      <c r="AJ952" s="19">
        <f t="shared" si="275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</row>
    <row r="953" spans="1:46" s="12" customFormat="1">
      <c r="A953" s="33" t="str">
        <f t="shared" si="277"/>
        <v>FY 20/21</v>
      </c>
      <c r="B953" s="152">
        <v>2021</v>
      </c>
      <c r="C953" s="152">
        <v>2</v>
      </c>
      <c r="D953" s="33" t="str">
        <f t="shared" si="278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9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3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9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4"/>
        <v>43684091.636631854</v>
      </c>
      <c r="AJ953" s="19">
        <f t="shared" si="275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</row>
    <row r="954" spans="1:46" s="12" customFormat="1">
      <c r="A954" s="33" t="str">
        <f t="shared" si="277"/>
        <v>FY 20/21</v>
      </c>
      <c r="B954" s="152">
        <v>2021</v>
      </c>
      <c r="C954" s="152">
        <v>2</v>
      </c>
      <c r="D954" s="33" t="str">
        <f t="shared" si="278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9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3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9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4"/>
        <v>43684091.636631854</v>
      </c>
      <c r="AJ954" s="19">
        <f t="shared" si="275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</row>
    <row r="955" spans="1:46" s="12" customFormat="1">
      <c r="A955" s="33" t="str">
        <f t="shared" si="277"/>
        <v>FY 19/20</v>
      </c>
      <c r="B955" s="152">
        <v>2019</v>
      </c>
      <c r="C955" s="152">
        <v>4</v>
      </c>
      <c r="D955" s="33" t="str">
        <f t="shared" si="278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9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3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9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4"/>
        <v>32843736.557277881</v>
      </c>
      <c r="AJ955" s="19">
        <f t="shared" si="275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</row>
    <row r="956" spans="1:46" s="12" customFormat="1">
      <c r="A956" s="33" t="str">
        <f t="shared" si="277"/>
        <v>FY 20/21</v>
      </c>
      <c r="B956" s="152">
        <v>2020</v>
      </c>
      <c r="C956" s="152">
        <v>11</v>
      </c>
      <c r="D956" s="33" t="str">
        <f t="shared" si="278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9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3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9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4"/>
        <v>48763143.537654862</v>
      </c>
      <c r="AJ956" s="19">
        <f t="shared" si="275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</row>
    <row r="957" spans="1:46" s="12" customFormat="1">
      <c r="A957" s="33" t="str">
        <f t="shared" si="277"/>
        <v>FY 21/22</v>
      </c>
      <c r="B957" s="152">
        <v>2021</v>
      </c>
      <c r="C957" s="152">
        <v>9</v>
      </c>
      <c r="D957" s="33" t="str">
        <f t="shared" si="278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9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3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9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4"/>
        <v>28177779.013274338</v>
      </c>
      <c r="AJ957" s="19">
        <f t="shared" si="275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</row>
    <row r="958" spans="1:46" s="12" customFormat="1">
      <c r="A958" s="33" t="str">
        <f t="shared" si="277"/>
        <v>FY 21/22</v>
      </c>
      <c r="B958" s="152">
        <v>2021</v>
      </c>
      <c r="C958" s="152">
        <v>9</v>
      </c>
      <c r="D958" s="33" t="str">
        <f t="shared" si="278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9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3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9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4"/>
        <v>28177779.013274338</v>
      </c>
      <c r="AJ958" s="19">
        <f t="shared" si="275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</row>
    <row r="959" spans="1:46" s="12" customFormat="1">
      <c r="A959" s="33" t="str">
        <f t="shared" si="277"/>
        <v>FY 18/19</v>
      </c>
      <c r="B959" s="152">
        <v>2018</v>
      </c>
      <c r="C959" s="152">
        <v>4</v>
      </c>
      <c r="D959" s="33" t="str">
        <f t="shared" si="278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9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3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9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4"/>
        <v>34109166.105589926</v>
      </c>
      <c r="AJ959" s="19">
        <f t="shared" si="275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</row>
    <row r="960" spans="1:46" s="12" customFormat="1">
      <c r="A960" s="33" t="str">
        <f t="shared" si="277"/>
        <v>FY 19/20</v>
      </c>
      <c r="B960" s="152">
        <v>2019</v>
      </c>
      <c r="C960" s="152">
        <v>11</v>
      </c>
      <c r="D960" s="33" t="str">
        <f t="shared" si="278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9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3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9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4"/>
        <v>27318180.088495575</v>
      </c>
      <c r="AJ960" s="19">
        <f t="shared" si="275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</row>
    <row r="961" spans="1:46" s="12" customFormat="1">
      <c r="A961" s="33" t="str">
        <f t="shared" si="277"/>
        <v>FY 19/20</v>
      </c>
      <c r="B961" s="152">
        <v>2020</v>
      </c>
      <c r="C961" s="152">
        <v>3</v>
      </c>
      <c r="D961" s="33" t="str">
        <f t="shared" si="278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9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3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9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4"/>
        <v>28065694.408805311</v>
      </c>
      <c r="AJ961" s="19">
        <f t="shared" si="275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</row>
    <row r="962" spans="1:46" s="12" customFormat="1">
      <c r="A962" s="33" t="str">
        <f t="shared" si="277"/>
        <v>FY 22/23</v>
      </c>
      <c r="B962" s="152">
        <v>2022</v>
      </c>
      <c r="C962" s="152">
        <v>8</v>
      </c>
      <c r="D962" s="33" t="str">
        <f t="shared" si="278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9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ref="P962:P1025" si="291">IF(M962="","",IF(AND(N962&gt;0,L962&lt;&gt;""),"MAIN UNIT",IF(AND(O962&gt;0,L962&lt;&gt;""),"SERVICE/ PARTS","C66 SERVICE/OTHERS")))</f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9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2">IF(P962="C66 SERVICE","",SUMIFS(AB:AB,F:F,F962,G:G,G962,E:E,E962))</f>
        <v>35073581.838938057</v>
      </c>
      <c r="AJ962" s="19">
        <f t="shared" ref="AJ962:AJ1025" si="293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</row>
    <row r="963" spans="1:46" s="12" customFormat="1">
      <c r="A963" s="33" t="str">
        <f t="shared" si="277"/>
        <v>FY 22/23</v>
      </c>
      <c r="B963" s="152">
        <v>2023</v>
      </c>
      <c r="C963" s="152">
        <v>3</v>
      </c>
      <c r="D963" s="33" t="str">
        <f t="shared" si="278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9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91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9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2"/>
        <v>33543315.897345133</v>
      </c>
      <c r="AJ963" s="19">
        <f t="shared" si="293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</row>
    <row r="964" spans="1:46" s="12" customFormat="1">
      <c r="A964" s="33" t="str">
        <f t="shared" si="277"/>
        <v>FY 22/23</v>
      </c>
      <c r="B964" s="152">
        <v>2022</v>
      </c>
      <c r="C964" s="152">
        <v>8</v>
      </c>
      <c r="D964" s="33" t="str">
        <f t="shared" si="278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9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91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9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2"/>
        <v>22717528.991150443</v>
      </c>
      <c r="AJ964" s="19">
        <f t="shared" si="293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</row>
    <row r="965" spans="1:46" s="12" customFormat="1">
      <c r="A965" s="33" t="str">
        <f t="shared" si="277"/>
        <v>FY 18/19</v>
      </c>
      <c r="B965" s="152">
        <v>2019</v>
      </c>
      <c r="C965" s="152">
        <v>1</v>
      </c>
      <c r="D965" s="33" t="str">
        <f t="shared" si="278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9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91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9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2"/>
        <v>16455710.386637932</v>
      </c>
      <c r="AJ965" s="19">
        <f t="shared" si="293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</row>
    <row r="966" spans="1:46" s="12" customFormat="1">
      <c r="A966" s="33" t="str">
        <f t="shared" ref="A966:A1029" si="294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5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6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si="291"/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9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2"/>
        <v>16455710.386637932</v>
      </c>
      <c r="AJ966" s="19">
        <f t="shared" si="293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4"/>
        <v>FY 18/19</v>
      </c>
      <c r="B967" s="152">
        <v>2018</v>
      </c>
      <c r="C967" s="152">
        <v>4</v>
      </c>
      <c r="D967" s="33" t="str">
        <f t="shared" si="295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6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1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9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2"/>
        <v>34109166.105589926</v>
      </c>
      <c r="AJ967" s="19">
        <f t="shared" si="293"/>
        <v>4642032.7199573703</v>
      </c>
      <c r="AK967" s="20">
        <f t="shared" si="299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</row>
    <row r="968" spans="1:46" s="12" customFormat="1">
      <c r="A968" s="33" t="str">
        <f t="shared" si="294"/>
        <v>FY 18/19</v>
      </c>
      <c r="B968" s="152">
        <v>2018</v>
      </c>
      <c r="C968" s="152">
        <v>5</v>
      </c>
      <c r="D968" s="33" t="str">
        <f t="shared" si="295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6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1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9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2"/>
        <v>24398045.86045352</v>
      </c>
      <c r="AJ968" s="19">
        <f t="shared" si="293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483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</row>
    <row r="969" spans="1:46" s="12" customFormat="1">
      <c r="A969" s="33" t="str">
        <f t="shared" si="294"/>
        <v>FY 22/23</v>
      </c>
      <c r="B969" s="152">
        <v>2022</v>
      </c>
      <c r="C969" s="152">
        <v>10</v>
      </c>
      <c r="D969" s="33" t="str">
        <f t="shared" si="295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6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1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9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2"/>
        <v>31017966.201968137</v>
      </c>
      <c r="AJ969" s="19">
        <f t="shared" si="293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</row>
    <row r="970" spans="1:46" s="12" customFormat="1">
      <c r="A970" s="33" t="str">
        <f t="shared" si="294"/>
        <v>FY 19/20</v>
      </c>
      <c r="B970" s="152">
        <v>2019</v>
      </c>
      <c r="C970" s="152">
        <v>10</v>
      </c>
      <c r="D970" s="33" t="str">
        <f t="shared" si="295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6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1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9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2"/>
        <v>28647263.974455759</v>
      </c>
      <c r="AJ970" s="19">
        <f t="shared" si="293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</row>
    <row r="971" spans="1:46" s="12" customFormat="1">
      <c r="A971" s="33" t="str">
        <f t="shared" si="294"/>
        <v>FY 19/20</v>
      </c>
      <c r="B971" s="152">
        <v>2019</v>
      </c>
      <c r="C971" s="152">
        <v>10</v>
      </c>
      <c r="D971" s="33" t="str">
        <f t="shared" si="295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6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1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9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2"/>
        <v>28647263.974455759</v>
      </c>
      <c r="AJ971" s="19">
        <f t="shared" si="293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</row>
    <row r="972" spans="1:46" s="12" customFormat="1">
      <c r="A972" s="33" t="str">
        <f t="shared" si="294"/>
        <v>FY 19/20</v>
      </c>
      <c r="B972" s="152">
        <v>2019</v>
      </c>
      <c r="C972" s="152">
        <v>10</v>
      </c>
      <c r="D972" s="33" t="str">
        <f t="shared" si="295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6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1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9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2"/>
        <v>28647263.974455759</v>
      </c>
      <c r="AJ972" s="19">
        <f t="shared" si="293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</row>
    <row r="973" spans="1:46" s="12" customFormat="1">
      <c r="A973" s="33" t="str">
        <f t="shared" si="294"/>
        <v>FY 20/21</v>
      </c>
      <c r="B973" s="152">
        <v>2020</v>
      </c>
      <c r="C973" s="152">
        <v>4</v>
      </c>
      <c r="D973" s="33" t="str">
        <f t="shared" si="295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6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1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9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2"/>
        <v>29183109.05575221</v>
      </c>
      <c r="AJ973" s="19">
        <f t="shared" si="293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</row>
    <row r="974" spans="1:46" s="12" customFormat="1">
      <c r="A974" s="33" t="str">
        <f t="shared" si="294"/>
        <v>FY 20/21</v>
      </c>
      <c r="B974" s="152">
        <v>2020</v>
      </c>
      <c r="C974" s="152">
        <v>7</v>
      </c>
      <c r="D974" s="33" t="str">
        <f t="shared" si="295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6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1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9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2"/>
        <v>57778307.282035396</v>
      </c>
      <c r="AJ974" s="19">
        <f t="shared" si="293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</row>
    <row r="975" spans="1:46" s="12" customFormat="1">
      <c r="A975" s="33" t="str">
        <f t="shared" si="294"/>
        <v>FY 21/22</v>
      </c>
      <c r="B975" s="152">
        <v>2021</v>
      </c>
      <c r="C975" s="152">
        <v>5</v>
      </c>
      <c r="D975" s="33" t="str">
        <f t="shared" si="295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6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1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9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2"/>
        <v>29500529.005044252</v>
      </c>
      <c r="AJ975" s="19">
        <f t="shared" si="293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</row>
    <row r="976" spans="1:46" s="12" customFormat="1">
      <c r="A976" s="33" t="str">
        <f t="shared" si="294"/>
        <v>FY 21/22</v>
      </c>
      <c r="B976" s="152">
        <v>2022</v>
      </c>
      <c r="C976" s="152">
        <v>2</v>
      </c>
      <c r="D976" s="33" t="str">
        <f t="shared" si="295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6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1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9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2"/>
        <v>36480247.665929198</v>
      </c>
      <c r="AJ976" s="19">
        <f t="shared" si="293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</row>
    <row r="977" spans="1:46" s="12" customFormat="1">
      <c r="A977" s="33" t="str">
        <f t="shared" si="294"/>
        <v>FY 21/22</v>
      </c>
      <c r="B977" s="152">
        <v>2021</v>
      </c>
      <c r="C977" s="152">
        <v>7</v>
      </c>
      <c r="D977" s="33" t="str">
        <f t="shared" si="295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6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1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9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2"/>
        <v>25380121.402654871</v>
      </c>
      <c r="AJ977" s="19">
        <f t="shared" si="293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</row>
    <row r="978" spans="1:46" s="12" customFormat="1">
      <c r="A978" s="33" t="str">
        <f t="shared" si="294"/>
        <v>FY 21/22</v>
      </c>
      <c r="B978" s="152">
        <v>2021</v>
      </c>
      <c r="C978" s="152">
        <v>7</v>
      </c>
      <c r="D978" s="33" t="str">
        <f t="shared" si="295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6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1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9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2"/>
        <v>477651199.57437885</v>
      </c>
      <c r="AJ978" s="19">
        <f t="shared" si="293"/>
        <v>56918800.518691957</v>
      </c>
      <c r="AK978" s="20">
        <f t="shared" si="299"/>
        <v>0.11916394341605475</v>
      </c>
      <c r="AL978" s="17" t="s">
        <v>2105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</row>
    <row r="979" spans="1:46" s="12" customFormat="1" ht="28">
      <c r="A979" s="33" t="str">
        <f t="shared" si="294"/>
        <v>FY 20/21</v>
      </c>
      <c r="B979" s="152">
        <v>2020</v>
      </c>
      <c r="C979" s="152">
        <v>8</v>
      </c>
      <c r="D979" s="33" t="str">
        <f t="shared" si="295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6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1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9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2"/>
        <v>37969334.083628319</v>
      </c>
      <c r="AJ979" s="19">
        <f t="shared" si="293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</row>
    <row r="980" spans="1:46" s="12" customFormat="1">
      <c r="A980" s="33" t="str">
        <f t="shared" si="294"/>
        <v>FY 19/20</v>
      </c>
      <c r="B980" s="152">
        <v>2019</v>
      </c>
      <c r="C980" s="152">
        <v>12</v>
      </c>
      <c r="D980" s="33" t="str">
        <f t="shared" si="295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6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1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9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2"/>
        <v>27318180.088495575</v>
      </c>
      <c r="AJ980" s="19">
        <f t="shared" si="293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</row>
    <row r="981" spans="1:46" s="12" customFormat="1">
      <c r="A981" s="33" t="str">
        <f t="shared" si="294"/>
        <v>FY 20/21</v>
      </c>
      <c r="B981" s="152">
        <v>2020</v>
      </c>
      <c r="C981" s="152">
        <v>6</v>
      </c>
      <c r="D981" s="33" t="str">
        <f t="shared" si="295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6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1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0"/>
        <v>650000</v>
      </c>
      <c r="AA981" s="13">
        <v>1.095</v>
      </c>
      <c r="AB981" s="21">
        <f t="shared" si="289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2"/>
        <v>35384300.169380538</v>
      </c>
      <c r="AJ981" s="19">
        <f t="shared" si="293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</row>
    <row r="982" spans="1:46" s="12" customFormat="1">
      <c r="A982" s="33" t="str">
        <f t="shared" si="294"/>
        <v>FY 20/21</v>
      </c>
      <c r="B982" s="152">
        <v>2020</v>
      </c>
      <c r="C982" s="152">
        <v>9</v>
      </c>
      <c r="D982" s="33" t="str">
        <f t="shared" si="295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6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1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9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2"/>
        <v>44078731.611185849</v>
      </c>
      <c r="AJ982" s="19">
        <f t="shared" si="293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</row>
    <row r="983" spans="1:46" s="12" customFormat="1">
      <c r="A983" s="33" t="str">
        <f t="shared" si="294"/>
        <v>FY 23/24</v>
      </c>
      <c r="B983" s="152">
        <v>2023</v>
      </c>
      <c r="C983" s="152">
        <v>5</v>
      </c>
      <c r="D983" s="33" t="str">
        <f t="shared" si="295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6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1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9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2"/>
        <v>22953677.784070797</v>
      </c>
      <c r="AJ983" s="19">
        <f t="shared" si="293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</row>
    <row r="984" spans="1:46" s="12" customFormat="1">
      <c r="A984" s="33" t="str">
        <f t="shared" si="294"/>
        <v>FY 19/20</v>
      </c>
      <c r="B984" s="152">
        <v>2019</v>
      </c>
      <c r="C984" s="152">
        <v>6</v>
      </c>
      <c r="D984" s="33" t="str">
        <f t="shared" si="295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6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1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9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2"/>
        <v>28647263.974455759</v>
      </c>
      <c r="AJ984" s="19">
        <f t="shared" si="293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</row>
    <row r="985" spans="1:46" s="12" customFormat="1">
      <c r="A985" s="33" t="str">
        <f t="shared" si="294"/>
        <v>FY 20/21</v>
      </c>
      <c r="B985" s="152">
        <v>2020</v>
      </c>
      <c r="C985" s="152">
        <v>6</v>
      </c>
      <c r="D985" s="33" t="str">
        <f t="shared" si="295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6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1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9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2"/>
        <v>29183109.05575221</v>
      </c>
      <c r="AJ985" s="19">
        <f t="shared" si="293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</row>
    <row r="986" spans="1:46" s="12" customFormat="1">
      <c r="A986" s="33" t="str">
        <f t="shared" si="294"/>
        <v>FY 21/22</v>
      </c>
      <c r="B986" s="152">
        <v>2021</v>
      </c>
      <c r="C986" s="152">
        <v>4</v>
      </c>
      <c r="D986" s="33" t="str">
        <f t="shared" si="295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6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1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9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2"/>
        <v>63006605.696460173</v>
      </c>
      <c r="AJ986" s="19">
        <f t="shared" si="293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</row>
    <row r="987" spans="1:46" s="12" customFormat="1">
      <c r="A987" s="33" t="str">
        <f t="shared" si="294"/>
        <v>FY 21/22</v>
      </c>
      <c r="B987" s="152">
        <v>2021</v>
      </c>
      <c r="C987" s="152">
        <v>11</v>
      </c>
      <c r="D987" s="33" t="str">
        <f t="shared" si="295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6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1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si="289"/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2"/>
        <v>46600814.041769907</v>
      </c>
      <c r="AJ987" s="19">
        <f t="shared" si="293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</row>
    <row r="988" spans="1:46" s="12" customFormat="1">
      <c r="A988" s="33" t="str">
        <f t="shared" si="294"/>
        <v>FY 23/24</v>
      </c>
      <c r="B988" s="152">
        <v>2023</v>
      </c>
      <c r="C988" s="152">
        <v>4</v>
      </c>
      <c r="D988" s="33" t="str">
        <f t="shared" si="295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6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1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289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2"/>
        <v>22953677.784070797</v>
      </c>
      <c r="AJ988" s="19">
        <f t="shared" si="293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</row>
    <row r="989" spans="1:46" s="12" customFormat="1">
      <c r="A989" s="33" t="str">
        <f t="shared" si="294"/>
        <v>FY 23/24</v>
      </c>
      <c r="B989" s="152">
        <v>2023</v>
      </c>
      <c r="C989" s="152">
        <v>4</v>
      </c>
      <c r="D989" s="33" t="str">
        <f t="shared" si="295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6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1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289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2"/>
        <v>477651199.57437885</v>
      </c>
      <c r="AJ989" s="19">
        <f t="shared" si="293"/>
        <v>56918800.518691957</v>
      </c>
      <c r="AK989" s="20">
        <f t="shared" si="299"/>
        <v>0.11916394341605475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</row>
    <row r="990" spans="1:46" s="12" customFormat="1">
      <c r="A990" s="33" t="str">
        <f t="shared" si="294"/>
        <v>FY 23/24</v>
      </c>
      <c r="B990" s="152">
        <v>2023</v>
      </c>
      <c r="C990" s="152">
        <v>4</v>
      </c>
      <c r="D990" s="33" t="str">
        <f t="shared" si="295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6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1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289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2"/>
        <v>477651199.57437885</v>
      </c>
      <c r="AJ990" s="19">
        <f t="shared" si="293"/>
        <v>56918800.518691957</v>
      </c>
      <c r="AK990" s="20">
        <f t="shared" si="299"/>
        <v>0.11916394341605475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</row>
    <row r="991" spans="1:46" s="12" customFormat="1">
      <c r="A991" s="33" t="str">
        <f t="shared" si="294"/>
        <v>FY 20/21</v>
      </c>
      <c r="B991" s="152">
        <v>2020</v>
      </c>
      <c r="C991" s="152">
        <v>9</v>
      </c>
      <c r="D991" s="33" t="str">
        <f t="shared" si="295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6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1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289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2"/>
        <v>44078731.611185849</v>
      </c>
      <c r="AJ991" s="19">
        <f t="shared" si="293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</row>
    <row r="992" spans="1:46" s="12" customFormat="1">
      <c r="A992" s="33" t="str">
        <f t="shared" si="294"/>
        <v>FY 23/24</v>
      </c>
      <c r="B992" s="23">
        <v>2024</v>
      </c>
      <c r="C992" s="152">
        <v>3</v>
      </c>
      <c r="D992" s="33" t="str">
        <f t="shared" si="295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6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1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289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2"/>
        <v>21194662.454867262</v>
      </c>
      <c r="AJ992" s="27">
        <f t="shared" si="293"/>
        <v>2981431.5970757701</v>
      </c>
      <c r="AK992" s="28">
        <f t="shared" si="299"/>
        <v>0.14066898226968919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</row>
    <row r="993" spans="1:46" s="12" customFormat="1">
      <c r="A993" s="33" t="str">
        <f t="shared" si="294"/>
        <v>FY 22/23</v>
      </c>
      <c r="B993" s="152">
        <v>2022</v>
      </c>
      <c r="C993" s="152">
        <v>4</v>
      </c>
      <c r="D993" s="33" t="str">
        <f t="shared" si="295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6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1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289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2"/>
        <v>44014086.982070789</v>
      </c>
      <c r="AJ993" s="19">
        <f t="shared" si="293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</row>
    <row r="994" spans="1:46" s="12" customFormat="1">
      <c r="A994" s="33" t="str">
        <f t="shared" si="294"/>
        <v>FY 23/24</v>
      </c>
      <c r="B994" s="23">
        <v>2024</v>
      </c>
      <c r="C994" s="152">
        <v>1</v>
      </c>
      <c r="D994" s="33" t="str">
        <f t="shared" si="295"/>
        <v>Q4</v>
      </c>
      <c r="E994" s="33" t="str">
        <f t="shared" ref="E994:E999" si="306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6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1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07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289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2"/>
        <v>10524262.405309737</v>
      </c>
      <c r="AJ994" s="27">
        <f t="shared" si="293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</row>
    <row r="995" spans="1:46" s="12" customFormat="1">
      <c r="A995" s="33" t="str">
        <f t="shared" si="294"/>
        <v>FY 23/24</v>
      </c>
      <c r="B995" s="23">
        <v>2024</v>
      </c>
      <c r="C995" s="152">
        <v>1</v>
      </c>
      <c r="D995" s="33" t="str">
        <f t="shared" si="295"/>
        <v>Q4</v>
      </c>
      <c r="E995" s="33" t="str">
        <f t="shared" si="306"/>
        <v>FY 23/24</v>
      </c>
      <c r="F995" s="152">
        <v>2024</v>
      </c>
      <c r="G995" s="152">
        <v>2</v>
      </c>
      <c r="H995" s="29"/>
      <c r="I995" s="33" t="str">
        <f t="shared" si="296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1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07"/>
        <v>1</v>
      </c>
      <c r="Z995" s="18">
        <f t="shared" si="290"/>
        <v>7686000</v>
      </c>
      <c r="AA995" s="22">
        <v>5.4100000000000002E-2</v>
      </c>
      <c r="AB995" s="21">
        <f t="shared" si="289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2"/>
        <v>10524262.405309737</v>
      </c>
      <c r="AJ995" s="27">
        <f t="shared" si="293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</row>
    <row r="996" spans="1:46" s="12" customFormat="1">
      <c r="A996" s="33" t="str">
        <f t="shared" si="294"/>
        <v>FY 23/24</v>
      </c>
      <c r="B996" s="152">
        <v>2023</v>
      </c>
      <c r="C996" s="152">
        <v>11</v>
      </c>
      <c r="D996" s="33" t="str">
        <f t="shared" si="295"/>
        <v>Q3</v>
      </c>
      <c r="E996" s="33" t="str">
        <f t="shared" si="306"/>
        <v>FY 23/24</v>
      </c>
      <c r="F996" s="152">
        <v>2023</v>
      </c>
      <c r="G996" s="152">
        <v>11</v>
      </c>
      <c r="H996" s="155"/>
      <c r="I996" s="33" t="str">
        <f t="shared" si="296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1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07"/>
        <v>1</v>
      </c>
      <c r="Z996" s="18">
        <f t="shared" si="290"/>
        <v>9252610</v>
      </c>
      <c r="AA996" s="13">
        <v>5.3400000000000003E-2</v>
      </c>
      <c r="AB996" s="21">
        <f t="shared" si="289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2"/>
        <v>11730565.00042478</v>
      </c>
      <c r="AJ996" s="19">
        <f t="shared" si="293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</row>
    <row r="997" spans="1:46" s="12" customFormat="1">
      <c r="A997" s="33" t="str">
        <f t="shared" si="294"/>
        <v>FY 23/24</v>
      </c>
      <c r="B997" s="152">
        <v>2023</v>
      </c>
      <c r="C997" s="152">
        <v>11</v>
      </c>
      <c r="D997" s="33" t="str">
        <f t="shared" si="295"/>
        <v>Q3</v>
      </c>
      <c r="E997" s="33" t="str">
        <f t="shared" si="306"/>
        <v>FY 23/24</v>
      </c>
      <c r="F997" s="152">
        <v>2023</v>
      </c>
      <c r="G997" s="152">
        <v>11</v>
      </c>
      <c r="H997" s="155"/>
      <c r="I997" s="33" t="str">
        <f t="shared" si="296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1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07"/>
        <v>1</v>
      </c>
      <c r="Z997" s="18">
        <f t="shared" si="290"/>
        <v>9252610</v>
      </c>
      <c r="AA997" s="13">
        <v>5.3400000000000003E-2</v>
      </c>
      <c r="AB997" s="21">
        <f t="shared" si="289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2"/>
        <v>11730565.00042478</v>
      </c>
      <c r="AJ997" s="19">
        <f t="shared" si="293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</row>
    <row r="998" spans="1:46" s="12" customFormat="1">
      <c r="A998" s="33" t="str">
        <f t="shared" si="294"/>
        <v>FY 23/24</v>
      </c>
      <c r="B998" s="152">
        <v>2023</v>
      </c>
      <c r="C998" s="152">
        <v>11</v>
      </c>
      <c r="D998" s="33" t="str">
        <f t="shared" si="295"/>
        <v>Q3</v>
      </c>
      <c r="E998" s="33" t="str">
        <f t="shared" si="306"/>
        <v>FY 23/24</v>
      </c>
      <c r="F998" s="152">
        <v>2023</v>
      </c>
      <c r="G998" s="152">
        <v>11</v>
      </c>
      <c r="H998" s="155"/>
      <c r="I998" s="33" t="str">
        <f t="shared" si="296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1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07"/>
        <v>1</v>
      </c>
      <c r="Z998" s="18">
        <f t="shared" si="290"/>
        <v>9252610</v>
      </c>
      <c r="AA998" s="13">
        <v>5.3400000000000003E-2</v>
      </c>
      <c r="AB998" s="21">
        <f t="shared" si="289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2"/>
        <v>11730565.00042478</v>
      </c>
      <c r="AJ998" s="19">
        <f t="shared" si="293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</row>
    <row r="999" spans="1:46" s="12" customFormat="1">
      <c r="A999" s="33" t="str">
        <f t="shared" si="294"/>
        <v>FY 23/24</v>
      </c>
      <c r="B999" s="152">
        <v>2023</v>
      </c>
      <c r="C999" s="152">
        <v>11</v>
      </c>
      <c r="D999" s="33" t="str">
        <f t="shared" si="295"/>
        <v>Q3</v>
      </c>
      <c r="E999" s="33" t="str">
        <f t="shared" si="306"/>
        <v>FY 23/24</v>
      </c>
      <c r="F999" s="152">
        <v>2023</v>
      </c>
      <c r="G999" s="152">
        <v>11</v>
      </c>
      <c r="H999" s="155"/>
      <c r="I999" s="33" t="str">
        <f t="shared" si="296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1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07"/>
        <v>1</v>
      </c>
      <c r="Z999" s="18">
        <f t="shared" si="290"/>
        <v>9252610</v>
      </c>
      <c r="AA999" s="13">
        <v>5.3400000000000003E-2</v>
      </c>
      <c r="AB999" s="21">
        <f t="shared" si="289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2"/>
        <v>11730565.00042478</v>
      </c>
      <c r="AJ999" s="19">
        <f t="shared" si="293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</row>
    <row r="1000" spans="1:46" s="12" customFormat="1">
      <c r="A1000" s="33" t="str">
        <f t="shared" si="294"/>
        <v>FY 20/21</v>
      </c>
      <c r="B1000" s="152">
        <v>2021</v>
      </c>
      <c r="C1000" s="152">
        <v>3</v>
      </c>
      <c r="D1000" s="33" t="str">
        <f t="shared" si="295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6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1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08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289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2"/>
        <v>15533177.71460177</v>
      </c>
      <c r="AJ1000" s="19">
        <f t="shared" si="293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</row>
    <row r="1001" spans="1:46" s="12" customFormat="1">
      <c r="A1001" s="33" t="str">
        <f t="shared" si="294"/>
        <v>FY 20/21</v>
      </c>
      <c r="B1001" s="152">
        <v>2021</v>
      </c>
      <c r="C1001" s="152">
        <v>3</v>
      </c>
      <c r="D1001" s="33" t="str">
        <f t="shared" si="295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6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1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08"/>
        <v>1</v>
      </c>
      <c r="Z1001" s="18">
        <f t="shared" si="290"/>
        <v>15000000</v>
      </c>
      <c r="AA1001" s="13">
        <v>7.0999999999999994E-2</v>
      </c>
      <c r="AB1001" s="21">
        <f t="shared" si="289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2"/>
        <v>15533177.71460177</v>
      </c>
      <c r="AJ1001" s="19">
        <f t="shared" si="293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</row>
    <row r="1002" spans="1:46" s="12" customFormat="1">
      <c r="A1002" s="33" t="str">
        <f t="shared" si="294"/>
        <v>FY 20/21</v>
      </c>
      <c r="B1002" s="152">
        <v>2021</v>
      </c>
      <c r="C1002" s="152">
        <v>3</v>
      </c>
      <c r="D1002" s="33" t="str">
        <f t="shared" si="295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6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1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08"/>
        <v>1</v>
      </c>
      <c r="Z1002" s="18">
        <f t="shared" si="290"/>
        <v>8860125</v>
      </c>
      <c r="AA1002" s="13">
        <v>7.0999999999999994E-2</v>
      </c>
      <c r="AB1002" s="21">
        <f t="shared" si="289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2"/>
        <v>15533177.71460177</v>
      </c>
      <c r="AJ1002" s="19">
        <f t="shared" si="293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</row>
    <row r="1003" spans="1:46" s="12" customFormat="1">
      <c r="A1003" s="33" t="str">
        <f t="shared" si="294"/>
        <v>FY 20/21</v>
      </c>
      <c r="B1003" s="152">
        <v>2021</v>
      </c>
      <c r="C1003" s="152">
        <v>3</v>
      </c>
      <c r="D1003" s="33" t="str">
        <f t="shared" si="295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6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1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08"/>
        <v>1</v>
      </c>
      <c r="Z1003" s="18">
        <f t="shared" si="290"/>
        <v>8860125</v>
      </c>
      <c r="AA1003" s="13">
        <v>7.0999999999999994E-2</v>
      </c>
      <c r="AB1003" s="21">
        <f t="shared" si="289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2"/>
        <v>15533177.71460177</v>
      </c>
      <c r="AJ1003" s="19">
        <f t="shared" si="293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</row>
    <row r="1004" spans="1:46" s="12" customFormat="1">
      <c r="A1004" s="33" t="str">
        <f t="shared" si="294"/>
        <v>FY 20/21</v>
      </c>
      <c r="B1004" s="152">
        <v>2021</v>
      </c>
      <c r="C1004" s="152">
        <v>3</v>
      </c>
      <c r="D1004" s="33" t="str">
        <f t="shared" si="295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6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1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08"/>
        <v>1</v>
      </c>
      <c r="Z1004" s="18">
        <f t="shared" si="290"/>
        <v>15000000</v>
      </c>
      <c r="AA1004" s="13">
        <v>7.0000000000000007E-2</v>
      </c>
      <c r="AB1004" s="21">
        <f t="shared" si="289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2"/>
        <v>29500529.005044252</v>
      </c>
      <c r="AJ1004" s="19">
        <f t="shared" si="293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</row>
    <row r="1005" spans="1:46" s="12" customFormat="1">
      <c r="A1005" s="33" t="str">
        <f t="shared" si="294"/>
        <v>FY 20/21</v>
      </c>
      <c r="B1005" s="152">
        <v>2021</v>
      </c>
      <c r="C1005" s="152">
        <v>3</v>
      </c>
      <c r="D1005" s="33" t="str">
        <f t="shared" si="295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6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1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08"/>
        <v>1</v>
      </c>
      <c r="Z1005" s="18">
        <f t="shared" si="290"/>
        <v>15000000</v>
      </c>
      <c r="AA1005" s="13">
        <v>7.0000000000000007E-2</v>
      </c>
      <c r="AB1005" s="21">
        <f t="shared" si="289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2"/>
        <v>29500529.005044252</v>
      </c>
      <c r="AJ1005" s="19">
        <f t="shared" si="293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</row>
    <row r="1006" spans="1:46" s="12" customFormat="1">
      <c r="A1006" s="33" t="str">
        <f t="shared" si="294"/>
        <v>FY 20/21</v>
      </c>
      <c r="B1006" s="152">
        <v>2021</v>
      </c>
      <c r="C1006" s="152">
        <v>3</v>
      </c>
      <c r="D1006" s="33" t="str">
        <f t="shared" si="295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6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1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08"/>
        <v>1</v>
      </c>
      <c r="Z1006" s="18">
        <f t="shared" si="290"/>
        <v>8860125</v>
      </c>
      <c r="AA1006" s="13">
        <v>7.0000000000000007E-2</v>
      </c>
      <c r="AB1006" s="21">
        <f t="shared" ref="AB1006:AB1069" si="309">IF(AND(R1006&lt;&gt;"C66",R1006&lt;&gt;""),Z1006/Y1006*AA1006,"")</f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2"/>
        <v>29500529.005044252</v>
      </c>
      <c r="AJ1006" s="19">
        <f t="shared" si="293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</row>
    <row r="1007" spans="1:46" s="12" customFormat="1">
      <c r="A1007" s="33" t="str">
        <f t="shared" si="294"/>
        <v>FY 20/21</v>
      </c>
      <c r="B1007" s="152">
        <v>2021</v>
      </c>
      <c r="C1007" s="152">
        <v>3</v>
      </c>
      <c r="D1007" s="33" t="str">
        <f t="shared" si="295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6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1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08"/>
        <v>1</v>
      </c>
      <c r="Z1007" s="18">
        <f t="shared" si="290"/>
        <v>8860125</v>
      </c>
      <c r="AA1007" s="13">
        <v>7.0000000000000007E-2</v>
      </c>
      <c r="AB1007" s="21">
        <f t="shared" si="309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2"/>
        <v>29500529.005044252</v>
      </c>
      <c r="AJ1007" s="19">
        <f t="shared" si="293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</row>
    <row r="1008" spans="1:46" s="12" customFormat="1">
      <c r="A1008" s="33" t="str">
        <f t="shared" si="294"/>
        <v>FY 20/21</v>
      </c>
      <c r="B1008" s="152">
        <v>2021</v>
      </c>
      <c r="C1008" s="152">
        <v>3</v>
      </c>
      <c r="D1008" s="33" t="str">
        <f t="shared" si="295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6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1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08"/>
        <v>1</v>
      </c>
      <c r="Z1008" s="18">
        <f t="shared" ref="Z1008:Z1071" si="310">IF(X1008="","",X1008*MAX(O1008,N1008))</f>
        <v>14645000</v>
      </c>
      <c r="AA1008" s="13">
        <v>5.8700000000000002E-2</v>
      </c>
      <c r="AB1008" s="21">
        <f t="shared" si="309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2"/>
        <v>477651199.57437885</v>
      </c>
      <c r="AJ1008" s="19">
        <f t="shared" si="293"/>
        <v>56918800.518691957</v>
      </c>
      <c r="AK1008" s="20">
        <f t="shared" si="299"/>
        <v>0.11916394341605475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</row>
    <row r="1009" spans="1:46" s="12" customFormat="1">
      <c r="A1009" s="33" t="str">
        <f t="shared" si="294"/>
        <v>FY 20/21</v>
      </c>
      <c r="B1009" s="152">
        <v>2021</v>
      </c>
      <c r="C1009" s="152">
        <v>3</v>
      </c>
      <c r="D1009" s="33" t="str">
        <f t="shared" si="295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6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1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08"/>
        <v>1</v>
      </c>
      <c r="Z1009" s="18">
        <f t="shared" si="310"/>
        <v>14645000</v>
      </c>
      <c r="AA1009" s="13">
        <v>5.8700000000000002E-2</v>
      </c>
      <c r="AB1009" s="21">
        <f t="shared" si="309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2"/>
        <v>477651199.57437885</v>
      </c>
      <c r="AJ1009" s="19">
        <f t="shared" si="293"/>
        <v>56918800.518691957</v>
      </c>
      <c r="AK1009" s="20">
        <f t="shared" si="299"/>
        <v>0.11916394341605475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</row>
    <row r="1010" spans="1:46" s="12" customFormat="1">
      <c r="A1010" s="33" t="str">
        <f t="shared" si="294"/>
        <v>FY 20/21</v>
      </c>
      <c r="B1010" s="152">
        <v>2021</v>
      </c>
      <c r="C1010" s="152">
        <v>3</v>
      </c>
      <c r="D1010" s="33" t="str">
        <f t="shared" si="295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6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1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08"/>
        <v>1</v>
      </c>
      <c r="Z1010" s="18">
        <f t="shared" si="310"/>
        <v>14645000</v>
      </c>
      <c r="AA1010" s="13">
        <v>5.8700000000000002E-2</v>
      </c>
      <c r="AB1010" s="21">
        <f t="shared" si="309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2"/>
        <v>477651199.57437885</v>
      </c>
      <c r="AJ1010" s="19">
        <f t="shared" si="293"/>
        <v>56918800.518691957</v>
      </c>
      <c r="AK1010" s="20">
        <f t="shared" si="299"/>
        <v>0.11916394341605475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</row>
    <row r="1011" spans="1:46" s="12" customFormat="1">
      <c r="A1011" s="33" t="str">
        <f t="shared" si="294"/>
        <v>FY 20/21</v>
      </c>
      <c r="B1011" s="152">
        <v>2021</v>
      </c>
      <c r="C1011" s="152">
        <v>3</v>
      </c>
      <c r="D1011" s="33" t="str">
        <f t="shared" si="295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6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1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08"/>
        <v>1</v>
      </c>
      <c r="Z1011" s="18">
        <f t="shared" si="310"/>
        <v>14645000</v>
      </c>
      <c r="AA1011" s="13">
        <v>5.8700000000000002E-2</v>
      </c>
      <c r="AB1011" s="21">
        <f t="shared" si="309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2"/>
        <v>477651199.57437885</v>
      </c>
      <c r="AJ1011" s="19">
        <f t="shared" si="293"/>
        <v>56918800.518691957</v>
      </c>
      <c r="AK1011" s="20">
        <f t="shared" si="299"/>
        <v>0.11916394341605475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</row>
    <row r="1012" spans="1:46" s="12" customFormat="1">
      <c r="A1012" s="33" t="str">
        <f t="shared" si="294"/>
        <v>FY 20/21</v>
      </c>
      <c r="B1012" s="152">
        <v>2021</v>
      </c>
      <c r="C1012" s="152">
        <v>3</v>
      </c>
      <c r="D1012" s="33" t="str">
        <f t="shared" si="295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6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1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08"/>
        <v>1</v>
      </c>
      <c r="Z1012" s="18">
        <f t="shared" si="310"/>
        <v>14645000</v>
      </c>
      <c r="AA1012" s="13">
        <v>5.8700000000000002E-2</v>
      </c>
      <c r="AB1012" s="21">
        <f t="shared" si="309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2"/>
        <v>477651199.57437885</v>
      </c>
      <c r="AJ1012" s="19">
        <f t="shared" si="293"/>
        <v>56918800.518691957</v>
      </c>
      <c r="AK1012" s="20">
        <f t="shared" si="299"/>
        <v>0.11916394341605475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</row>
    <row r="1013" spans="1:46" s="12" customFormat="1">
      <c r="A1013" s="33" t="str">
        <f t="shared" si="294"/>
        <v>FY 20/21</v>
      </c>
      <c r="B1013" s="152">
        <v>2021</v>
      </c>
      <c r="C1013" s="152">
        <v>3</v>
      </c>
      <c r="D1013" s="33" t="str">
        <f t="shared" si="295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6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1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08"/>
        <v>1</v>
      </c>
      <c r="Z1013" s="18">
        <f t="shared" si="310"/>
        <v>14645000</v>
      </c>
      <c r="AA1013" s="13">
        <v>5.8700000000000002E-2</v>
      </c>
      <c r="AB1013" s="21">
        <f t="shared" si="309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2"/>
        <v>477651199.57437885</v>
      </c>
      <c r="AJ1013" s="19">
        <f t="shared" si="293"/>
        <v>56918800.518691957</v>
      </c>
      <c r="AK1013" s="20">
        <f t="shared" si="299"/>
        <v>0.11916394341605475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</row>
    <row r="1014" spans="1:46" s="12" customFormat="1">
      <c r="A1014" s="33" t="str">
        <f t="shared" si="294"/>
        <v>FY 20/21</v>
      </c>
      <c r="B1014" s="152">
        <v>2021</v>
      </c>
      <c r="C1014" s="152">
        <v>3</v>
      </c>
      <c r="D1014" s="33" t="str">
        <f t="shared" si="295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6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1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08"/>
        <v>1</v>
      </c>
      <c r="Z1014" s="18">
        <f t="shared" si="310"/>
        <v>14645000</v>
      </c>
      <c r="AA1014" s="13">
        <v>5.8700000000000002E-2</v>
      </c>
      <c r="AB1014" s="21">
        <f t="shared" si="309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2"/>
        <v>477651199.57437885</v>
      </c>
      <c r="AJ1014" s="19">
        <f t="shared" si="293"/>
        <v>56918800.518691957</v>
      </c>
      <c r="AK1014" s="20">
        <f t="shared" si="299"/>
        <v>0.11916394341605475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</row>
    <row r="1015" spans="1:46" s="12" customFormat="1">
      <c r="A1015" s="33" t="str">
        <f t="shared" si="294"/>
        <v>FY 20/21</v>
      </c>
      <c r="B1015" s="152">
        <v>2021</v>
      </c>
      <c r="C1015" s="152">
        <v>3</v>
      </c>
      <c r="D1015" s="33" t="str">
        <f t="shared" si="295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6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1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08"/>
        <v>1</v>
      </c>
      <c r="Z1015" s="18">
        <f t="shared" si="310"/>
        <v>14645000</v>
      </c>
      <c r="AA1015" s="13">
        <v>5.8700000000000002E-2</v>
      </c>
      <c r="AB1015" s="21">
        <f t="shared" si="309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2"/>
        <v>477651199.57437885</v>
      </c>
      <c r="AJ1015" s="19">
        <f t="shared" si="293"/>
        <v>56918800.518691957</v>
      </c>
      <c r="AK1015" s="20">
        <f t="shared" si="299"/>
        <v>0.11916394341605475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</row>
    <row r="1016" spans="1:46" s="12" customFormat="1">
      <c r="A1016" s="33" t="str">
        <f t="shared" si="294"/>
        <v>FY 20/21</v>
      </c>
      <c r="B1016" s="152">
        <v>2021</v>
      </c>
      <c r="C1016" s="152">
        <v>3</v>
      </c>
      <c r="D1016" s="33" t="str">
        <f t="shared" si="295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6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1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08"/>
        <v>1</v>
      </c>
      <c r="Z1016" s="18">
        <f t="shared" si="310"/>
        <v>14645000</v>
      </c>
      <c r="AA1016" s="13">
        <v>5.8700000000000002E-2</v>
      </c>
      <c r="AB1016" s="21">
        <f t="shared" si="309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2"/>
        <v>477651199.57437885</v>
      </c>
      <c r="AJ1016" s="19">
        <f t="shared" si="293"/>
        <v>56918800.518691957</v>
      </c>
      <c r="AK1016" s="20">
        <f t="shared" si="299"/>
        <v>0.11916394341605475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</row>
    <row r="1017" spans="1:46" s="12" customFormat="1">
      <c r="A1017" s="33" t="str">
        <f t="shared" si="294"/>
        <v>FY 20/21</v>
      </c>
      <c r="B1017" s="152">
        <v>2021</v>
      </c>
      <c r="C1017" s="152">
        <v>3</v>
      </c>
      <c r="D1017" s="33" t="str">
        <f t="shared" si="295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6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1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08"/>
        <v>1</v>
      </c>
      <c r="Z1017" s="18">
        <f t="shared" si="310"/>
        <v>14645000</v>
      </c>
      <c r="AA1017" s="13">
        <v>5.8700000000000002E-2</v>
      </c>
      <c r="AB1017" s="21">
        <f t="shared" si="309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2"/>
        <v>477651199.57437885</v>
      </c>
      <c r="AJ1017" s="19">
        <f t="shared" si="293"/>
        <v>56918800.518691957</v>
      </c>
      <c r="AK1017" s="20">
        <f t="shared" si="299"/>
        <v>0.11916394341605475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</row>
    <row r="1018" spans="1:46" s="12" customFormat="1">
      <c r="A1018" s="33" t="str">
        <f t="shared" si="294"/>
        <v>FY 20/21</v>
      </c>
      <c r="B1018" s="152">
        <v>2021</v>
      </c>
      <c r="C1018" s="152">
        <v>3</v>
      </c>
      <c r="D1018" s="33" t="str">
        <f t="shared" si="295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6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1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08"/>
        <v>1</v>
      </c>
      <c r="Z1018" s="18">
        <f t="shared" si="310"/>
        <v>8593800</v>
      </c>
      <c r="AA1018" s="13">
        <v>5.8700000000000002E-2</v>
      </c>
      <c r="AB1018" s="21">
        <f t="shared" si="309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2"/>
        <v>477651199.57437885</v>
      </c>
      <c r="AJ1018" s="19">
        <f t="shared" si="293"/>
        <v>56918800.518691957</v>
      </c>
      <c r="AK1018" s="20">
        <f t="shared" si="299"/>
        <v>0.11916394341605475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</row>
    <row r="1019" spans="1:46" s="12" customFormat="1">
      <c r="A1019" s="33" t="str">
        <f t="shared" si="294"/>
        <v>FY 20/21</v>
      </c>
      <c r="B1019" s="152">
        <v>2021</v>
      </c>
      <c r="C1019" s="152">
        <v>3</v>
      </c>
      <c r="D1019" s="33" t="str">
        <f t="shared" si="295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6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1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08"/>
        <v>1</v>
      </c>
      <c r="Z1019" s="18">
        <f t="shared" si="310"/>
        <v>8593800</v>
      </c>
      <c r="AA1019" s="13">
        <v>5.8700000000000002E-2</v>
      </c>
      <c r="AB1019" s="21">
        <f t="shared" si="309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2"/>
        <v>477651199.57437885</v>
      </c>
      <c r="AJ1019" s="19">
        <f t="shared" si="293"/>
        <v>56918800.518691957</v>
      </c>
      <c r="AK1019" s="20">
        <f t="shared" si="299"/>
        <v>0.11916394341605475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</row>
    <row r="1020" spans="1:46" s="12" customFormat="1">
      <c r="A1020" s="33" t="str">
        <f t="shared" si="294"/>
        <v>FY 20/21</v>
      </c>
      <c r="B1020" s="152">
        <v>2021</v>
      </c>
      <c r="C1020" s="152">
        <v>3</v>
      </c>
      <c r="D1020" s="33" t="str">
        <f t="shared" si="295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6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1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08"/>
        <v>1</v>
      </c>
      <c r="Z1020" s="18">
        <f t="shared" si="310"/>
        <v>8593800</v>
      </c>
      <c r="AA1020" s="13">
        <v>5.8700000000000002E-2</v>
      </c>
      <c r="AB1020" s="21">
        <f t="shared" si="309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2"/>
        <v>477651199.57437885</v>
      </c>
      <c r="AJ1020" s="19">
        <f t="shared" si="293"/>
        <v>56918800.518691957</v>
      </c>
      <c r="AK1020" s="20">
        <f t="shared" si="299"/>
        <v>0.11916394341605475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</row>
    <row r="1021" spans="1:46" s="12" customFormat="1">
      <c r="A1021" s="33" t="str">
        <f t="shared" si="294"/>
        <v>FY 20/21</v>
      </c>
      <c r="B1021" s="152">
        <v>2021</v>
      </c>
      <c r="C1021" s="152">
        <v>3</v>
      </c>
      <c r="D1021" s="33" t="str">
        <f t="shared" si="295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6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1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08"/>
        <v>1</v>
      </c>
      <c r="Z1021" s="18">
        <f t="shared" si="310"/>
        <v>8593800</v>
      </c>
      <c r="AA1021" s="13">
        <v>5.8700000000000002E-2</v>
      </c>
      <c r="AB1021" s="21">
        <f t="shared" si="309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2"/>
        <v>477651199.57437885</v>
      </c>
      <c r="AJ1021" s="19">
        <f t="shared" si="293"/>
        <v>56918800.518691957</v>
      </c>
      <c r="AK1021" s="20">
        <f t="shared" si="299"/>
        <v>0.11916394341605475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</row>
    <row r="1022" spans="1:46" s="12" customFormat="1">
      <c r="A1022" s="33" t="str">
        <f t="shared" si="294"/>
        <v>FY 20/21</v>
      </c>
      <c r="B1022" s="152">
        <v>2021</v>
      </c>
      <c r="C1022" s="152">
        <v>3</v>
      </c>
      <c r="D1022" s="33" t="str">
        <f t="shared" si="295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6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1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08"/>
        <v>1</v>
      </c>
      <c r="Z1022" s="18">
        <f t="shared" si="310"/>
        <v>8593800</v>
      </c>
      <c r="AA1022" s="13">
        <v>5.8700000000000002E-2</v>
      </c>
      <c r="AB1022" s="21">
        <f t="shared" si="309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2"/>
        <v>477651199.57437885</v>
      </c>
      <c r="AJ1022" s="19">
        <f t="shared" si="293"/>
        <v>56918800.518691957</v>
      </c>
      <c r="AK1022" s="20">
        <f t="shared" si="299"/>
        <v>0.11916394341605475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</row>
    <row r="1023" spans="1:46" s="12" customFormat="1">
      <c r="A1023" s="33" t="str">
        <f t="shared" si="294"/>
        <v>FY 20/21</v>
      </c>
      <c r="B1023" s="152">
        <v>2021</v>
      </c>
      <c r="C1023" s="152">
        <v>3</v>
      </c>
      <c r="D1023" s="33" t="str">
        <f t="shared" si="295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6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1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08"/>
        <v>1</v>
      </c>
      <c r="Z1023" s="18">
        <f t="shared" si="310"/>
        <v>8593800</v>
      </c>
      <c r="AA1023" s="13">
        <v>5.8700000000000002E-2</v>
      </c>
      <c r="AB1023" s="21">
        <f t="shared" si="309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2"/>
        <v>477651199.57437885</v>
      </c>
      <c r="AJ1023" s="19">
        <f t="shared" si="293"/>
        <v>56918800.518691957</v>
      </c>
      <c r="AK1023" s="20">
        <f t="shared" si="299"/>
        <v>0.11916394341605475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</row>
    <row r="1024" spans="1:46" s="12" customFormat="1">
      <c r="A1024" s="33" t="str">
        <f t="shared" si="294"/>
        <v>FY 20/21</v>
      </c>
      <c r="B1024" s="152">
        <v>2021</v>
      </c>
      <c r="C1024" s="152">
        <v>3</v>
      </c>
      <c r="D1024" s="33" t="str">
        <f t="shared" si="295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6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1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08"/>
        <v>1</v>
      </c>
      <c r="Z1024" s="18">
        <f t="shared" si="310"/>
        <v>8593800</v>
      </c>
      <c r="AA1024" s="13">
        <v>5.8700000000000002E-2</v>
      </c>
      <c r="AB1024" s="21">
        <f t="shared" si="309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2"/>
        <v>477651199.57437885</v>
      </c>
      <c r="AJ1024" s="19">
        <f t="shared" si="293"/>
        <v>56918800.518691957</v>
      </c>
      <c r="AK1024" s="20">
        <f t="shared" si="299"/>
        <v>0.11916394341605475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</row>
    <row r="1025" spans="1:46" s="12" customFormat="1">
      <c r="A1025" s="33" t="str">
        <f t="shared" si="294"/>
        <v>FY 20/21</v>
      </c>
      <c r="B1025" s="152">
        <v>2021</v>
      </c>
      <c r="C1025" s="152">
        <v>3</v>
      </c>
      <c r="D1025" s="33" t="str">
        <f t="shared" si="295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6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1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08"/>
        <v>1</v>
      </c>
      <c r="Z1025" s="18">
        <f t="shared" si="310"/>
        <v>8593800</v>
      </c>
      <c r="AA1025" s="13">
        <v>5.8700000000000002E-2</v>
      </c>
      <c r="AB1025" s="21">
        <f t="shared" si="309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2"/>
        <v>477651199.57437885</v>
      </c>
      <c r="AJ1025" s="19">
        <f t="shared" si="293"/>
        <v>56918800.518691957</v>
      </c>
      <c r="AK1025" s="20">
        <f t="shared" si="299"/>
        <v>0.11916394341605475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</row>
    <row r="1026" spans="1:46" s="12" customFormat="1">
      <c r="A1026" s="33" t="str">
        <f t="shared" si="294"/>
        <v>FY 20/21</v>
      </c>
      <c r="B1026" s="152">
        <v>2021</v>
      </c>
      <c r="C1026" s="152">
        <v>3</v>
      </c>
      <c r="D1026" s="33" t="str">
        <f t="shared" si="295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6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ref="P1026:P1089" si="311">IF(M1026="","",IF(AND(N1026&gt;0,L1026&lt;&gt;""),"MAIN UNIT",IF(AND(O1026&gt;0,L1026&lt;&gt;""),"SERVICE/ PARTS","C66 SERVICE/OTHERS")))</f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08"/>
        <v>1</v>
      </c>
      <c r="Z1026" s="18">
        <f t="shared" si="310"/>
        <v>8593800</v>
      </c>
      <c r="AA1026" s="13">
        <v>5.8700000000000002E-2</v>
      </c>
      <c r="AB1026" s="21">
        <f t="shared" si="309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2">IF(P1026="C66 SERVICE","",SUMIFS(AB:AB,F:F,F1026,G:G,G1026,E:E,E1026))</f>
        <v>477651199.57437885</v>
      </c>
      <c r="AJ1026" s="19">
        <f t="shared" ref="AJ1026:AJ1089" si="313">IF(P1026="C66 SERVICE","",SUMIFS(AC:AC,F:F,F1026,G:G,G1026,E:E,E1026))</f>
        <v>56918800.518691957</v>
      </c>
      <c r="AK1026" s="20">
        <f t="shared" si="299"/>
        <v>0.11916394341605475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</row>
    <row r="1027" spans="1:46" s="12" customFormat="1">
      <c r="A1027" s="33" t="str">
        <f t="shared" si="294"/>
        <v>FY 20/21</v>
      </c>
      <c r="B1027" s="152">
        <v>2021</v>
      </c>
      <c r="C1027" s="152">
        <v>3</v>
      </c>
      <c r="D1027" s="33" t="str">
        <f t="shared" si="295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6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311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08"/>
        <v>1</v>
      </c>
      <c r="Z1027" s="18">
        <f t="shared" si="310"/>
        <v>8593800</v>
      </c>
      <c r="AA1027" s="13">
        <v>5.8700000000000002E-2</v>
      </c>
      <c r="AB1027" s="21">
        <f t="shared" si="309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2"/>
        <v>477651199.57437885</v>
      </c>
      <c r="AJ1027" s="19">
        <f t="shared" si="313"/>
        <v>56918800.518691957</v>
      </c>
      <c r="AK1027" s="20">
        <f t="shared" si="299"/>
        <v>0.11916394341605475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</row>
    <row r="1028" spans="1:46" s="12" customFormat="1">
      <c r="A1028" s="33" t="str">
        <f t="shared" si="294"/>
        <v>FY 17/18</v>
      </c>
      <c r="B1028" s="152">
        <v>2018</v>
      </c>
      <c r="C1028" s="152">
        <v>3</v>
      </c>
      <c r="D1028" s="33" t="str">
        <f t="shared" si="295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6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311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9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2"/>
        <v>29288201.603076916</v>
      </c>
      <c r="AJ1028" s="19">
        <f t="shared" si="313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</row>
    <row r="1029" spans="1:46" s="12" customFormat="1">
      <c r="A1029" s="33" t="str">
        <f t="shared" si="294"/>
        <v>FY 20/21</v>
      </c>
      <c r="B1029" s="152">
        <v>2020</v>
      </c>
      <c r="C1029" s="152">
        <v>5</v>
      </c>
      <c r="D1029" s="33" t="str">
        <f t="shared" si="295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6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311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0"/>
        <v>780000</v>
      </c>
      <c r="AA1029" s="13">
        <v>1.089</v>
      </c>
      <c r="AB1029" s="21">
        <f t="shared" si="309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2"/>
        <v>29183109.05575221</v>
      </c>
      <c r="AJ1029" s="19">
        <f t="shared" si="313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</row>
    <row r="1030" spans="1:46" s="12" customFormat="1">
      <c r="A1030" s="33" t="str">
        <f t="shared" ref="A1030:A1093" si="314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5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6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si="311"/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9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2"/>
        <v>37969334.083628319</v>
      </c>
      <c r="AJ1030" s="19">
        <f t="shared" si="313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4"/>
        <v>FY 20/21</v>
      </c>
      <c r="B1031" s="152">
        <v>2020</v>
      </c>
      <c r="C1031" s="152">
        <v>11</v>
      </c>
      <c r="D1031" s="33" t="str">
        <f t="shared" si="315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6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1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9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2"/>
        <v>48763143.537654862</v>
      </c>
      <c r="AJ1031" s="19">
        <f t="shared" si="313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</row>
    <row r="1032" spans="1:46" s="12" customFormat="1">
      <c r="A1032" s="33" t="str">
        <f t="shared" si="314"/>
        <v>cancel</v>
      </c>
      <c r="B1032" s="152"/>
      <c r="C1032" s="152" t="s">
        <v>186</v>
      </c>
      <c r="D1032" s="33" t="str">
        <f t="shared" si="315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6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1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9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2"/>
        <v>477651199.57437885</v>
      </c>
      <c r="AJ1032" s="19">
        <f t="shared" si="313"/>
        <v>56918800.518691957</v>
      </c>
      <c r="AK1032" s="20">
        <f t="shared" si="319"/>
        <v>0.11916394341605475</v>
      </c>
      <c r="AL1032" s="17"/>
      <c r="AM1032" s="17"/>
      <c r="AN1032" s="17"/>
      <c r="AO1032" s="17" t="s">
        <v>186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</row>
    <row r="1033" spans="1:46" s="12" customFormat="1">
      <c r="A1033" s="33" t="str">
        <f t="shared" si="314"/>
        <v>FY 22/23</v>
      </c>
      <c r="B1033" s="152">
        <v>2023</v>
      </c>
      <c r="C1033" s="152">
        <v>3</v>
      </c>
      <c r="D1033" s="33" t="str">
        <f t="shared" si="315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6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1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9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2"/>
        <v>33543315.897345133</v>
      </c>
      <c r="AJ1033" s="19">
        <f t="shared" si="313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</row>
    <row r="1034" spans="1:46" s="12" customFormat="1">
      <c r="A1034" s="33" t="str">
        <f t="shared" si="314"/>
        <v>FY 20/21</v>
      </c>
      <c r="B1034" s="152">
        <v>2021</v>
      </c>
      <c r="C1034" s="152">
        <v>1</v>
      </c>
      <c r="D1034" s="33" t="str">
        <f t="shared" si="315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6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1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9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2"/>
        <v>57778307.282035396</v>
      </c>
      <c r="AJ1034" s="19">
        <f t="shared" si="313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</row>
    <row r="1035" spans="1:46" s="12" customFormat="1">
      <c r="A1035" s="33" t="str">
        <f t="shared" si="314"/>
        <v>FY 17/18</v>
      </c>
      <c r="B1035" s="152">
        <v>2017</v>
      </c>
      <c r="C1035" s="152">
        <v>12</v>
      </c>
      <c r="D1035" s="33" t="str">
        <f t="shared" si="315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6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1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9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2"/>
        <v>34109166.105589926</v>
      </c>
      <c r="AJ1035" s="19">
        <f t="shared" si="313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171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</row>
    <row r="1036" spans="1:46" s="12" customFormat="1">
      <c r="A1036" s="33" t="str">
        <f t="shared" si="314"/>
        <v>FY 17/18</v>
      </c>
      <c r="B1036" s="152">
        <v>2017</v>
      </c>
      <c r="C1036" s="152">
        <v>12</v>
      </c>
      <c r="D1036" s="33" t="str">
        <f t="shared" si="315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6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1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9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2"/>
        <v>34109166.105589926</v>
      </c>
      <c r="AJ1036" s="19">
        <f t="shared" si="313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171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</row>
    <row r="1037" spans="1:46" s="12" customFormat="1">
      <c r="A1037" s="33" t="str">
        <f t="shared" si="314"/>
        <v>FY 21/22</v>
      </c>
      <c r="B1037" s="152">
        <v>2022</v>
      </c>
      <c r="C1037" s="152">
        <v>1</v>
      </c>
      <c r="D1037" s="33" t="str">
        <f t="shared" si="315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6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1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9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2"/>
        <v>35682787.057522126</v>
      </c>
      <c r="AJ1037" s="19">
        <f t="shared" si="313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</row>
    <row r="1038" spans="1:46" s="12" customFormat="1">
      <c r="A1038" s="33" t="str">
        <f t="shared" si="314"/>
        <v>FY 22/23</v>
      </c>
      <c r="B1038" s="152">
        <v>2022</v>
      </c>
      <c r="C1038" s="152">
        <v>6</v>
      </c>
      <c r="D1038" s="33" t="str">
        <f t="shared" si="315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6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1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9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2"/>
        <v>35073581.838938057</v>
      </c>
      <c r="AJ1038" s="19">
        <f t="shared" si="313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</row>
    <row r="1039" spans="1:46" s="12" customFormat="1">
      <c r="A1039" s="33" t="str">
        <f t="shared" si="314"/>
        <v>FY 22/23</v>
      </c>
      <c r="B1039" s="152">
        <v>2022</v>
      </c>
      <c r="C1039" s="152">
        <v>6</v>
      </c>
      <c r="D1039" s="33" t="str">
        <f t="shared" si="315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6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1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9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2"/>
        <v>35073581.838938057</v>
      </c>
      <c r="AJ1039" s="19">
        <f t="shared" si="313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</row>
    <row r="1040" spans="1:46" s="12" customFormat="1">
      <c r="A1040" s="33" t="str">
        <f t="shared" si="314"/>
        <v>FY 22/23</v>
      </c>
      <c r="B1040" s="152">
        <v>2022</v>
      </c>
      <c r="C1040" s="152">
        <v>6</v>
      </c>
      <c r="D1040" s="33" t="str">
        <f t="shared" si="315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6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1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9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2"/>
        <v>35073581.838938057</v>
      </c>
      <c r="AJ1040" s="19">
        <f t="shared" si="313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</row>
    <row r="1041" spans="1:46" s="12" customFormat="1">
      <c r="A1041" s="33" t="str">
        <f t="shared" si="314"/>
        <v>FY 22/23</v>
      </c>
      <c r="B1041" s="152">
        <v>2022</v>
      </c>
      <c r="C1041" s="152">
        <v>6</v>
      </c>
      <c r="D1041" s="33" t="str">
        <f t="shared" si="315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6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1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9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2"/>
        <v>35073581.838938057</v>
      </c>
      <c r="AJ1041" s="19">
        <f t="shared" si="313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</row>
    <row r="1042" spans="1:46" s="12" customFormat="1">
      <c r="A1042" s="33" t="str">
        <f t="shared" si="314"/>
        <v>FY 17/18</v>
      </c>
      <c r="B1042" s="152">
        <v>2017</v>
      </c>
      <c r="C1042" s="152">
        <v>12</v>
      </c>
      <c r="D1042" s="33" t="str">
        <f t="shared" si="315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6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1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9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2"/>
        <v>34109166.105589926</v>
      </c>
      <c r="AJ1042" s="19">
        <f t="shared" si="313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171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</row>
    <row r="1043" spans="1:46" s="12" customFormat="1">
      <c r="A1043" s="33" t="str">
        <f t="shared" si="314"/>
        <v>FY 17/18</v>
      </c>
      <c r="B1043" s="152">
        <v>2017</v>
      </c>
      <c r="C1043" s="152">
        <v>12</v>
      </c>
      <c r="D1043" s="33" t="str">
        <f t="shared" si="315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6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1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9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2"/>
        <v>34109166.105589926</v>
      </c>
      <c r="AJ1043" s="19">
        <f t="shared" si="313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171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</row>
    <row r="1044" spans="1:46" s="12" customFormat="1" ht="28">
      <c r="A1044" s="33" t="str">
        <f t="shared" si="314"/>
        <v>FY 17/18</v>
      </c>
      <c r="B1044" s="152">
        <v>2017</v>
      </c>
      <c r="C1044" s="152">
        <v>12</v>
      </c>
      <c r="D1044" s="33" t="str">
        <f t="shared" si="315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6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1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9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2"/>
        <v>34109166.105589926</v>
      </c>
      <c r="AJ1044" s="19">
        <f t="shared" si="313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</row>
    <row r="1045" spans="1:46" s="12" customFormat="1">
      <c r="A1045" s="33" t="str">
        <f t="shared" si="314"/>
        <v>FY 17/18</v>
      </c>
      <c r="B1045" s="152">
        <v>2017</v>
      </c>
      <c r="C1045" s="152">
        <v>12</v>
      </c>
      <c r="D1045" s="33" t="str">
        <f t="shared" si="315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6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1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9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2"/>
        <v>34109166.105589926</v>
      </c>
      <c r="AJ1045" s="19">
        <f t="shared" si="313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171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</row>
    <row r="1046" spans="1:46" s="12" customFormat="1">
      <c r="A1046" s="33" t="str">
        <f t="shared" si="314"/>
        <v>FY 18/19</v>
      </c>
      <c r="B1046" s="152">
        <v>2019</v>
      </c>
      <c r="C1046" s="152">
        <v>2</v>
      </c>
      <c r="D1046" s="33" t="str">
        <f t="shared" si="315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6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1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9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2"/>
        <v>37599388.802345134</v>
      </c>
      <c r="AJ1046" s="19">
        <f t="shared" si="313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</row>
    <row r="1047" spans="1:46" s="12" customFormat="1">
      <c r="A1047" s="33" t="str">
        <f t="shared" si="314"/>
        <v>FY 22/23</v>
      </c>
      <c r="B1047" s="152">
        <v>2022</v>
      </c>
      <c r="C1047" s="152">
        <v>6</v>
      </c>
      <c r="D1047" s="33" t="str">
        <f t="shared" si="315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6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1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9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2"/>
        <v>35073581.838938057</v>
      </c>
      <c r="AJ1047" s="19">
        <f t="shared" si="313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</row>
    <row r="1048" spans="1:46" s="12" customFormat="1">
      <c r="A1048" s="33" t="str">
        <f t="shared" si="314"/>
        <v>FY 22/23</v>
      </c>
      <c r="B1048" s="152">
        <v>2022</v>
      </c>
      <c r="C1048" s="152">
        <v>6</v>
      </c>
      <c r="D1048" s="33" t="str">
        <f t="shared" si="315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6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1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9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2"/>
        <v>35073581.838938057</v>
      </c>
      <c r="AJ1048" s="19">
        <f t="shared" si="313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</row>
    <row r="1049" spans="1:46" s="12" customFormat="1">
      <c r="A1049" s="33" t="str">
        <f t="shared" si="314"/>
        <v>FY 19/20</v>
      </c>
      <c r="B1049" s="152">
        <v>2019</v>
      </c>
      <c r="C1049" s="152">
        <v>12</v>
      </c>
      <c r="D1049" s="33" t="str">
        <f t="shared" si="315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6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1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9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2"/>
        <v>23168285.927433632</v>
      </c>
      <c r="AJ1049" s="19">
        <f t="shared" si="313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</row>
    <row r="1050" spans="1:46" s="12" customFormat="1">
      <c r="A1050" s="33" t="str">
        <f t="shared" si="314"/>
        <v>FY 19/20</v>
      </c>
      <c r="B1050" s="152">
        <v>2019</v>
      </c>
      <c r="C1050" s="152">
        <v>12</v>
      </c>
      <c r="D1050" s="33" t="str">
        <f t="shared" si="315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6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1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9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2"/>
        <v>23168285.927433632</v>
      </c>
      <c r="AJ1050" s="19">
        <f t="shared" si="313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</row>
    <row r="1051" spans="1:46" s="12" customFormat="1">
      <c r="A1051" s="33" t="str">
        <f t="shared" si="314"/>
        <v>FY 18/19</v>
      </c>
      <c r="B1051" s="152">
        <v>2019</v>
      </c>
      <c r="C1051" s="152">
        <v>1</v>
      </c>
      <c r="D1051" s="33" t="str">
        <f t="shared" si="315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6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1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si="309"/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2"/>
        <v>31296887.037898075</v>
      </c>
      <c r="AJ1051" s="19">
        <f t="shared" si="313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</row>
    <row r="1052" spans="1:46" s="12" customFormat="1">
      <c r="A1052" s="33" t="str">
        <f t="shared" si="314"/>
        <v>FY 18/19</v>
      </c>
      <c r="B1052" s="152">
        <v>2019</v>
      </c>
      <c r="C1052" s="152">
        <v>1</v>
      </c>
      <c r="D1052" s="33" t="str">
        <f t="shared" si="315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6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1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09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2"/>
        <v>31296887.037898075</v>
      </c>
      <c r="AJ1052" s="19">
        <f t="shared" si="313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</row>
    <row r="1053" spans="1:46" s="12" customFormat="1">
      <c r="A1053" s="33" t="str">
        <f t="shared" si="314"/>
        <v>FY 19/20</v>
      </c>
      <c r="B1053" s="152">
        <v>2019</v>
      </c>
      <c r="C1053" s="152">
        <v>12</v>
      </c>
      <c r="D1053" s="33" t="str">
        <f t="shared" si="315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6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1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09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2"/>
        <v>33477255.428389374</v>
      </c>
      <c r="AJ1053" s="19">
        <f t="shared" si="313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</row>
    <row r="1054" spans="1:46" s="12" customFormat="1">
      <c r="A1054" s="33" t="str">
        <f t="shared" si="314"/>
        <v>FY 19/20</v>
      </c>
      <c r="B1054" s="152">
        <v>2019</v>
      </c>
      <c r="C1054" s="152">
        <v>12</v>
      </c>
      <c r="D1054" s="33" t="str">
        <f t="shared" si="315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6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1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09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2"/>
        <v>23168285.927433632</v>
      </c>
      <c r="AJ1054" s="19">
        <f t="shared" si="313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</row>
    <row r="1055" spans="1:46" s="12" customFormat="1">
      <c r="A1055" s="33" t="str">
        <f t="shared" si="314"/>
        <v>FY 19/20</v>
      </c>
      <c r="B1055" s="152">
        <v>2019</v>
      </c>
      <c r="C1055" s="152">
        <v>12</v>
      </c>
      <c r="D1055" s="33" t="str">
        <f t="shared" si="315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6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1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09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2"/>
        <v>23168285.927433632</v>
      </c>
      <c r="AJ1055" s="19">
        <f t="shared" si="313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</row>
    <row r="1056" spans="1:46" s="12" customFormat="1">
      <c r="A1056" s="33" t="str">
        <f t="shared" si="314"/>
        <v>FY 20/21</v>
      </c>
      <c r="B1056" s="152">
        <v>2020</v>
      </c>
      <c r="C1056" s="152">
        <v>10</v>
      </c>
      <c r="D1056" s="33" t="str">
        <f t="shared" si="315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6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1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09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2"/>
        <v>48763143.537654862</v>
      </c>
      <c r="AJ1056" s="19">
        <f t="shared" si="313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</row>
    <row r="1057" spans="1:46" s="12" customFormat="1">
      <c r="A1057" s="33" t="str">
        <f t="shared" si="314"/>
        <v>FY 20/21</v>
      </c>
      <c r="B1057" s="152">
        <v>2020</v>
      </c>
      <c r="C1057" s="152">
        <v>10</v>
      </c>
      <c r="D1057" s="33" t="str">
        <f t="shared" si="315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6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1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09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2"/>
        <v>48763143.537654862</v>
      </c>
      <c r="AJ1057" s="19">
        <f t="shared" si="313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</row>
    <row r="1058" spans="1:46" s="12" customFormat="1">
      <c r="A1058" s="33" t="str">
        <f t="shared" si="314"/>
        <v>FY 18/19</v>
      </c>
      <c r="B1058" s="152">
        <v>2018</v>
      </c>
      <c r="C1058" s="152">
        <v>4</v>
      </c>
      <c r="D1058" s="33" t="str">
        <f t="shared" si="315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6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1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09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2"/>
        <v>24398045.86045352</v>
      </c>
      <c r="AJ1058" s="19">
        <f t="shared" si="313"/>
        <v>3478417.4064663448</v>
      </c>
      <c r="AK1058" s="20">
        <f t="shared" si="319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</row>
    <row r="1059" spans="1:46" s="12" customFormat="1">
      <c r="A1059" s="33" t="str">
        <f t="shared" si="314"/>
        <v>FY 22/23</v>
      </c>
      <c r="B1059" s="152">
        <v>2022</v>
      </c>
      <c r="C1059" s="152">
        <v>5</v>
      </c>
      <c r="D1059" s="33" t="str">
        <f t="shared" si="315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6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1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09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2"/>
        <v>35073581.838938057</v>
      </c>
      <c r="AJ1059" s="19">
        <f t="shared" si="313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</row>
    <row r="1060" spans="1:46" s="12" customFormat="1">
      <c r="A1060" s="33" t="str">
        <f t="shared" si="314"/>
        <v>FY 18/19</v>
      </c>
      <c r="B1060" s="152">
        <v>2018</v>
      </c>
      <c r="C1060" s="152">
        <v>4</v>
      </c>
      <c r="D1060" s="33" t="str">
        <f t="shared" si="315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6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1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09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2"/>
        <v>29946107.503386207</v>
      </c>
      <c r="AJ1060" s="19">
        <f t="shared" si="313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</row>
    <row r="1061" spans="1:46" s="12" customFormat="1">
      <c r="A1061" s="33" t="str">
        <f t="shared" si="314"/>
        <v>FY 23/24</v>
      </c>
      <c r="B1061" s="152">
        <v>2023</v>
      </c>
      <c r="C1061" s="152">
        <v>9</v>
      </c>
      <c r="D1061" s="33" t="str">
        <f t="shared" si="315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6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1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09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2"/>
        <v>10271727.486725664</v>
      </c>
      <c r="AJ1061" s="19">
        <f t="shared" si="313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</row>
    <row r="1062" spans="1:46" s="12" customFormat="1">
      <c r="A1062" s="33" t="str">
        <f t="shared" si="314"/>
        <v>FY 23/24</v>
      </c>
      <c r="B1062" s="152">
        <v>2023</v>
      </c>
      <c r="C1062" s="152">
        <v>8</v>
      </c>
      <c r="D1062" s="33" t="str">
        <f t="shared" si="315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6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1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09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2"/>
        <v>26078226.463097349</v>
      </c>
      <c r="AJ1062" s="19">
        <f t="shared" si="313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</row>
    <row r="1063" spans="1:46" s="12" customFormat="1">
      <c r="A1063" s="33" t="str">
        <f t="shared" si="314"/>
        <v>FY 23/24</v>
      </c>
      <c r="B1063" s="23">
        <v>2024</v>
      </c>
      <c r="C1063" s="152">
        <v>1</v>
      </c>
      <c r="D1063" s="33" t="str">
        <f t="shared" si="315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6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1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09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2"/>
        <v>10524262.405309737</v>
      </c>
      <c r="AJ1063" s="27">
        <f t="shared" si="313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</row>
    <row r="1064" spans="1:46" s="12" customFormat="1">
      <c r="A1064" s="33" t="str">
        <f t="shared" si="314"/>
        <v>FY 17/18</v>
      </c>
      <c r="B1064" s="152">
        <v>2017</v>
      </c>
      <c r="C1064" s="152">
        <v>11</v>
      </c>
      <c r="D1064" s="33" t="str">
        <f t="shared" si="315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6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1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09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2"/>
        <v>29288201.603076916</v>
      </c>
      <c r="AJ1064" s="19">
        <f t="shared" si="313"/>
        <v>3870159.1769246152</v>
      </c>
      <c r="AK1064" s="20">
        <f t="shared" si="319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</row>
    <row r="1065" spans="1:46" s="12" customFormat="1">
      <c r="A1065" s="33" t="str">
        <f t="shared" si="314"/>
        <v>FY 16/17</v>
      </c>
      <c r="B1065" s="152">
        <v>2017</v>
      </c>
      <c r="C1065" s="152">
        <v>1</v>
      </c>
      <c r="D1065" s="33" t="str">
        <f t="shared" si="315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6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1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09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2"/>
        <v>1596627.2413793104</v>
      </c>
      <c r="AJ1065" s="19">
        <f t="shared" si="313"/>
        <v>191595.26896551723</v>
      </c>
      <c r="AK1065" s="20">
        <f t="shared" si="319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</row>
    <row r="1066" spans="1:46" s="12" customFormat="1">
      <c r="A1066" s="33" t="str">
        <f t="shared" si="314"/>
        <v>FY 17/18</v>
      </c>
      <c r="B1066" s="152">
        <v>2017</v>
      </c>
      <c r="C1066" s="152">
        <v>11</v>
      </c>
      <c r="D1066" s="33" t="str">
        <f t="shared" si="315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6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1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09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2"/>
        <v>29288201.603076916</v>
      </c>
      <c r="AJ1066" s="19">
        <f t="shared" si="313"/>
        <v>3870159.1769246152</v>
      </c>
      <c r="AK1066" s="20">
        <f t="shared" si="319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</row>
    <row r="1067" spans="1:46" s="12" customFormat="1">
      <c r="A1067" s="33" t="str">
        <f t="shared" si="314"/>
        <v>FY 18/19</v>
      </c>
      <c r="B1067" s="152">
        <v>2018</v>
      </c>
      <c r="C1067" s="152">
        <v>7</v>
      </c>
      <c r="D1067" s="33" t="str">
        <f t="shared" si="315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6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1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09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2"/>
        <v>26754147.763010349</v>
      </c>
      <c r="AJ1067" s="19">
        <f t="shared" si="313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</row>
    <row r="1068" spans="1:46" s="12" customFormat="1">
      <c r="A1068" s="33" t="str">
        <f t="shared" si="314"/>
        <v>FY 19/20</v>
      </c>
      <c r="B1068" s="152">
        <v>2019</v>
      </c>
      <c r="C1068" s="152">
        <v>11</v>
      </c>
      <c r="D1068" s="33" t="str">
        <f t="shared" si="315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6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1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09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2"/>
        <v>27318180.088495575</v>
      </c>
      <c r="AJ1068" s="19">
        <f t="shared" si="313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</row>
    <row r="1069" spans="1:46" s="12" customFormat="1">
      <c r="A1069" s="33" t="str">
        <f t="shared" si="314"/>
        <v>cancel</v>
      </c>
      <c r="B1069" s="152"/>
      <c r="C1069" s="152" t="s">
        <v>186</v>
      </c>
      <c r="D1069" s="33" t="str">
        <f t="shared" si="315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6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1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09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2"/>
        <v>477651199.57437885</v>
      </c>
      <c r="AJ1069" s="19">
        <f t="shared" si="313"/>
        <v>56918800.518691957</v>
      </c>
      <c r="AK1069" s="20">
        <f t="shared" si="319"/>
        <v>0.11916394341605475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</row>
    <row r="1070" spans="1:46" s="12" customFormat="1">
      <c r="A1070" s="33" t="str">
        <f t="shared" si="314"/>
        <v>cancel</v>
      </c>
      <c r="B1070" s="152"/>
      <c r="C1070" s="152" t="s">
        <v>186</v>
      </c>
      <c r="D1070" s="33" t="str">
        <f t="shared" si="315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6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1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si="310"/>
        <v>690000</v>
      </c>
      <c r="AA1070" s="13">
        <v>1.1100000000000001</v>
      </c>
      <c r="AB1070" s="21">
        <f t="shared" ref="AB1070:AB1119" si="325">IF(AND(R1070&lt;&gt;"C66",R1070&lt;&gt;""),Z1070/Y1070*AA1070,"")</f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2"/>
        <v>477651199.57437885</v>
      </c>
      <c r="AJ1070" s="19">
        <f t="shared" si="313"/>
        <v>56918800.518691957</v>
      </c>
      <c r="AK1070" s="20">
        <f t="shared" si="319"/>
        <v>0.11916394341605475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</row>
    <row r="1071" spans="1:46" s="12" customFormat="1">
      <c r="A1071" s="33" t="str">
        <f t="shared" si="314"/>
        <v>FY 22/23</v>
      </c>
      <c r="B1071" s="152">
        <v>2022</v>
      </c>
      <c r="C1071" s="152">
        <v>8</v>
      </c>
      <c r="D1071" s="33" t="str">
        <f t="shared" si="315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6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1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10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2"/>
        <v>15948576.102654871</v>
      </c>
      <c r="AJ1071" s="19">
        <f t="shared" si="313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</row>
    <row r="1072" spans="1:46" s="12" customFormat="1">
      <c r="A1072" s="33" t="str">
        <f t="shared" si="314"/>
        <v>FY 19/20</v>
      </c>
      <c r="B1072" s="152">
        <v>2019</v>
      </c>
      <c r="C1072" s="152">
        <v>8</v>
      </c>
      <c r="D1072" s="33" t="str">
        <f t="shared" si="315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6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1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ref="Z1072:Z1119" si="326">IF(X1072="","",X1072*MAX(O1072,N1072))</f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2"/>
        <v>37599388.802345134</v>
      </c>
      <c r="AJ1072" s="19">
        <f t="shared" si="313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</row>
    <row r="1073" spans="1:46" s="12" customFormat="1">
      <c r="A1073" s="33" t="str">
        <f t="shared" si="314"/>
        <v>FY 20/21</v>
      </c>
      <c r="B1073" s="152">
        <v>2020</v>
      </c>
      <c r="C1073" s="152">
        <v>5</v>
      </c>
      <c r="D1073" s="33" t="str">
        <f t="shared" si="315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6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1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2"/>
        <v>37969334.083628319</v>
      </c>
      <c r="AJ1073" s="19">
        <f t="shared" si="313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</row>
    <row r="1074" spans="1:46" s="12" customFormat="1">
      <c r="A1074" s="33" t="str">
        <f t="shared" si="314"/>
        <v>FY 20/21</v>
      </c>
      <c r="B1074" s="152">
        <v>2020</v>
      </c>
      <c r="C1074" s="152">
        <v>5</v>
      </c>
      <c r="D1074" s="33" t="str">
        <f t="shared" si="315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6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1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2"/>
        <v>37969334.083628319</v>
      </c>
      <c r="AJ1074" s="19">
        <f t="shared" si="313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</row>
    <row r="1075" spans="1:46" s="12" customFormat="1">
      <c r="A1075" s="33" t="str">
        <f t="shared" si="314"/>
        <v>FY 20/21</v>
      </c>
      <c r="B1075" s="152">
        <v>2021</v>
      </c>
      <c r="C1075" s="152">
        <v>1</v>
      </c>
      <c r="D1075" s="33" t="str">
        <f t="shared" si="315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6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1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2"/>
        <v>63006605.696460173</v>
      </c>
      <c r="AJ1075" s="19">
        <f t="shared" si="313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</row>
    <row r="1076" spans="1:46" s="12" customFormat="1">
      <c r="A1076" s="33" t="str">
        <f t="shared" si="314"/>
        <v>FY 20/21</v>
      </c>
      <c r="B1076" s="152">
        <v>2020</v>
      </c>
      <c r="C1076" s="152">
        <v>6</v>
      </c>
      <c r="D1076" s="33" t="str">
        <f t="shared" si="315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6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1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2"/>
        <v>35384300.169380538</v>
      </c>
      <c r="AJ1076" s="19">
        <f t="shared" si="313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</row>
    <row r="1077" spans="1:46" s="12" customFormat="1">
      <c r="A1077" s="33" t="str">
        <f t="shared" si="314"/>
        <v>FY 20/21</v>
      </c>
      <c r="B1077" s="152">
        <v>2020</v>
      </c>
      <c r="C1077" s="152">
        <v>9</v>
      </c>
      <c r="D1077" s="33" t="str">
        <f t="shared" si="315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6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1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2"/>
        <v>44078731.611185849</v>
      </c>
      <c r="AJ1077" s="19">
        <f t="shared" si="313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</row>
    <row r="1078" spans="1:46" s="12" customFormat="1">
      <c r="A1078" s="33" t="str">
        <f t="shared" si="314"/>
        <v>FY 20/21</v>
      </c>
      <c r="B1078" s="152">
        <v>2020</v>
      </c>
      <c r="C1078" s="152">
        <v>10</v>
      </c>
      <c r="D1078" s="33" t="str">
        <f t="shared" si="315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6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1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2"/>
        <v>45803245.025628321</v>
      </c>
      <c r="AJ1078" s="19">
        <f t="shared" si="313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</row>
    <row r="1079" spans="1:46" s="12" customFormat="1">
      <c r="A1079" s="33" t="str">
        <f t="shared" si="314"/>
        <v>FY 21/22</v>
      </c>
      <c r="B1079" s="152">
        <v>2021</v>
      </c>
      <c r="C1079" s="152">
        <v>4</v>
      </c>
      <c r="D1079" s="33" t="str">
        <f t="shared" si="315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6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1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2"/>
        <v>15533177.71460177</v>
      </c>
      <c r="AJ1079" s="19">
        <f t="shared" si="313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</row>
    <row r="1080" spans="1:46" s="12" customFormat="1">
      <c r="A1080" s="33" t="str">
        <f t="shared" si="314"/>
        <v>FY 21/22</v>
      </c>
      <c r="B1080" s="152">
        <v>2021</v>
      </c>
      <c r="C1080" s="152">
        <v>4</v>
      </c>
      <c r="D1080" s="33" t="str">
        <f t="shared" si="315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6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1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2"/>
        <v>26407088.359292038</v>
      </c>
      <c r="AJ1080" s="19">
        <f t="shared" si="313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</row>
    <row r="1081" spans="1:46" s="12" customFormat="1">
      <c r="A1081" s="33" t="str">
        <f t="shared" si="314"/>
        <v>FY 22/23</v>
      </c>
      <c r="B1081" s="152">
        <v>2023</v>
      </c>
      <c r="C1081" s="152">
        <v>3</v>
      </c>
      <c r="D1081" s="33" t="str">
        <f t="shared" si="315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6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1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2"/>
        <v>33543315.897345133</v>
      </c>
      <c r="AJ1081" s="19">
        <f t="shared" si="313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</row>
    <row r="1082" spans="1:46" s="12" customFormat="1">
      <c r="A1082" s="33" t="str">
        <f t="shared" si="314"/>
        <v>FY 22/23</v>
      </c>
      <c r="B1082" s="152">
        <v>2023</v>
      </c>
      <c r="C1082" s="152">
        <v>3</v>
      </c>
      <c r="D1082" s="33" t="str">
        <f t="shared" si="315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6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1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2"/>
        <v>33543315.897345133</v>
      </c>
      <c r="AJ1082" s="19">
        <f t="shared" si="313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</row>
    <row r="1083" spans="1:46" s="12" customFormat="1">
      <c r="A1083" s="33" t="str">
        <f t="shared" si="314"/>
        <v>cancel</v>
      </c>
      <c r="B1083" s="152"/>
      <c r="C1083" s="152" t="s">
        <v>186</v>
      </c>
      <c r="D1083" s="33" t="str">
        <f t="shared" si="315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6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1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2"/>
        <v>477651199.57437885</v>
      </c>
      <c r="AJ1083" s="19">
        <f t="shared" si="313"/>
        <v>56918800.518691957</v>
      </c>
      <c r="AK1083" s="20">
        <f t="shared" si="319"/>
        <v>0.11916394341605475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</row>
    <row r="1084" spans="1:46" s="12" customFormat="1">
      <c r="A1084" s="33" t="str">
        <f t="shared" si="314"/>
        <v>FY 20/21</v>
      </c>
      <c r="B1084" s="152">
        <v>2020</v>
      </c>
      <c r="C1084" s="152">
        <v>7</v>
      </c>
      <c r="D1084" s="33" t="str">
        <f t="shared" si="315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6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1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2"/>
        <v>35384300.169380538</v>
      </c>
      <c r="AJ1084" s="19">
        <f t="shared" si="313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</row>
    <row r="1085" spans="1:46" s="12" customFormat="1">
      <c r="A1085" s="33" t="str">
        <f t="shared" si="314"/>
        <v>FY 23/24</v>
      </c>
      <c r="B1085" s="152">
        <v>2023</v>
      </c>
      <c r="C1085" s="152">
        <v>11</v>
      </c>
      <c r="D1085" s="33" t="str">
        <f t="shared" si="315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6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1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2"/>
        <v>11730565.00042478</v>
      </c>
      <c r="AJ1085" s="19">
        <f t="shared" si="313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</row>
    <row r="1086" spans="1:46" s="12" customFormat="1">
      <c r="A1086" s="33" t="str">
        <f t="shared" si="314"/>
        <v>FY 23/24</v>
      </c>
      <c r="B1086" s="152">
        <v>2023</v>
      </c>
      <c r="C1086" s="152">
        <v>11</v>
      </c>
      <c r="D1086" s="33" t="str">
        <f t="shared" si="315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6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1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2"/>
        <v>11730565.00042478</v>
      </c>
      <c r="AJ1086" s="19">
        <f t="shared" si="313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</row>
    <row r="1087" spans="1:46" s="12" customFormat="1">
      <c r="A1087" s="33" t="str">
        <f t="shared" si="314"/>
        <v>FY 18/19</v>
      </c>
      <c r="B1087" s="152">
        <v>2018</v>
      </c>
      <c r="C1087" s="152">
        <v>12</v>
      </c>
      <c r="D1087" s="33" t="str">
        <f t="shared" si="315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6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1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2"/>
        <v>29288201.603076916</v>
      </c>
      <c r="AJ1087" s="19">
        <f t="shared" si="313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</row>
    <row r="1088" spans="1:46" s="12" customFormat="1">
      <c r="A1088" s="33" t="str">
        <f t="shared" si="314"/>
        <v>FY 20/21</v>
      </c>
      <c r="B1088" s="152">
        <v>2021</v>
      </c>
      <c r="C1088" s="152">
        <v>2</v>
      </c>
      <c r="D1088" s="33" t="str">
        <f t="shared" si="315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6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1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2"/>
        <v>63006605.696460173</v>
      </c>
      <c r="AJ1088" s="19">
        <f t="shared" si="313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</row>
    <row r="1089" spans="1:46" s="12" customFormat="1">
      <c r="A1089" s="33" t="str">
        <f t="shared" si="314"/>
        <v>FY 20/21</v>
      </c>
      <c r="B1089" s="152">
        <v>2021</v>
      </c>
      <c r="C1089" s="152">
        <v>2</v>
      </c>
      <c r="D1089" s="33" t="str">
        <f t="shared" si="315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6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1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2"/>
        <v>63006605.696460173</v>
      </c>
      <c r="AJ1089" s="19">
        <f t="shared" si="313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</row>
    <row r="1090" spans="1:46" s="12" customFormat="1">
      <c r="A1090" s="33" t="str">
        <f t="shared" si="314"/>
        <v>FY 18/19</v>
      </c>
      <c r="B1090" s="152">
        <v>2018</v>
      </c>
      <c r="C1090" s="152">
        <v>11</v>
      </c>
      <c r="D1090" s="33" t="str">
        <f t="shared" si="315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6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ref="P1090:P1119" si="327">IF(M1090="","",IF(AND(N1090&gt;0,L1090&lt;&gt;""),"MAIN UNIT",IF(AND(O1090&gt;0,L1090&lt;&gt;""),"SERVICE/ PARTS","C66 SERVICE/OTHERS")))</f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8">IF(P1090="C66 SERVICE","",SUMIFS(AB:AB,F:F,F1090,G:G,G1090,E:E,E1090))</f>
        <v>29840797.698275864</v>
      </c>
      <c r="AJ1090" s="19">
        <f t="shared" ref="AJ1090:AJ1153" si="329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</row>
    <row r="1091" spans="1:46" s="12" customFormat="1">
      <c r="A1091" s="33" t="str">
        <f t="shared" si="314"/>
        <v>FY 18/19</v>
      </c>
      <c r="B1091" s="152">
        <v>2018</v>
      </c>
      <c r="C1091" s="152">
        <v>11</v>
      </c>
      <c r="D1091" s="33" t="str">
        <f t="shared" si="315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6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27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8"/>
        <v>29840797.698275864</v>
      </c>
      <c r="AJ1091" s="19">
        <f t="shared" si="329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</row>
    <row r="1092" spans="1:46" s="12" customFormat="1">
      <c r="A1092" s="33" t="str">
        <f t="shared" si="314"/>
        <v>FY 23/24</v>
      </c>
      <c r="B1092" s="152">
        <v>2023</v>
      </c>
      <c r="C1092" s="152">
        <v>4</v>
      </c>
      <c r="D1092" s="33" t="str">
        <f t="shared" si="315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6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27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8"/>
        <v>28177779.013274338</v>
      </c>
      <c r="AJ1092" s="19">
        <f t="shared" si="329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</row>
    <row r="1093" spans="1:46" s="12" customFormat="1">
      <c r="A1093" s="33" t="str">
        <f t="shared" si="314"/>
        <v>FY 23/24</v>
      </c>
      <c r="B1093" s="152">
        <v>2023</v>
      </c>
      <c r="C1093" s="152">
        <v>4</v>
      </c>
      <c r="D1093" s="33" t="str">
        <f t="shared" si="315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6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27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8"/>
        <v>28177779.013274338</v>
      </c>
      <c r="AJ1093" s="19">
        <f t="shared" si="329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</row>
    <row r="1094" spans="1:46" s="12" customFormat="1">
      <c r="A1094" s="33" t="str">
        <f t="shared" ref="A1094:A1119" si="330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19" si="331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19" si="332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si="327"/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19" si="333">IF(R1094&lt;&gt;"",AB1094*AD1094,"")</f>
        <v>100259.36283185842</v>
      </c>
      <c r="AD1094" s="169">
        <v>9.5799999999999996E-2</v>
      </c>
      <c r="AE1094" s="154">
        <f t="shared" ref="AE1094:AE1119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8"/>
        <v>33477255.428389374</v>
      </c>
      <c r="AJ1094" s="19">
        <f t="shared" si="329"/>
        <v>4578663.362915583</v>
      </c>
      <c r="AK1094" s="20">
        <f t="shared" ref="AK1094:AK1119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19" si="336">IF(F1094="","",F1094&amp;G1094)</f>
        <v>20204</v>
      </c>
      <c r="AQ1094" s="28" t="str">
        <f t="shared" ref="AQ1094:AQ1119" si="337">IF(W1094="","",F1094&amp;G1094&amp;W1094)</f>
        <v>20204RMB</v>
      </c>
      <c r="AR1094" s="206" t="str">
        <f t="shared" ref="AR1094:AR1119" si="338">IFERROR(IF(AND(M1094="YAMAHA", R1094="C28"), "YAMAHA_Non_Mounter", IF(AND(M1094="YAMAHA", R1094="C49"), "YAMAHA_Mounter", M1094)),"")</f>
        <v>YAMAHA_Mounter</v>
      </c>
      <c r="AS1094" s="22">
        <f t="shared" ref="AS1094:AS1119" si="339">IFERROR(IF(OR(G1094="TBA", G1094=""), "", DATEDIF(DATE(B1094, C1094, 1), DATE(F1094, G1094, 1), "M")),"")</f>
        <v>0</v>
      </c>
      <c r="AT1094" s="24" t="str">
        <f t="shared" ref="AT1094:AT1119" si="340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30"/>
        <v>FY 20/21</v>
      </c>
      <c r="B1095" s="152">
        <v>2020</v>
      </c>
      <c r="C1095" s="152">
        <v>5</v>
      </c>
      <c r="D1095" s="33" t="str">
        <f t="shared" si="331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2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27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8"/>
        <v>37969334.083628319</v>
      </c>
      <c r="AJ1095" s="19">
        <f t="shared" si="329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</row>
    <row r="1096" spans="1:46" s="12" customFormat="1">
      <c r="A1096" s="33" t="str">
        <f t="shared" si="330"/>
        <v>FY 20/21</v>
      </c>
      <c r="B1096" s="152">
        <v>2021</v>
      </c>
      <c r="C1096" s="152">
        <v>2</v>
      </c>
      <c r="D1096" s="33" t="str">
        <f t="shared" si="331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2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27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8"/>
        <v>54700260.692079648</v>
      </c>
      <c r="AJ1096" s="19">
        <f t="shared" si="329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</row>
    <row r="1097" spans="1:46" s="12" customFormat="1">
      <c r="A1097" s="33" t="str">
        <f t="shared" si="330"/>
        <v>FY 20/21</v>
      </c>
      <c r="B1097" s="152">
        <v>2020</v>
      </c>
      <c r="C1097" s="152">
        <v>9</v>
      </c>
      <c r="D1097" s="33" t="str">
        <f t="shared" si="331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2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27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8"/>
        <v>48763143.537654862</v>
      </c>
      <c r="AJ1097" s="19">
        <f t="shared" si="329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</row>
    <row r="1098" spans="1:46" s="12" customFormat="1">
      <c r="A1098" s="33" t="str">
        <f t="shared" si="330"/>
        <v>FY 22/23</v>
      </c>
      <c r="B1098" s="152">
        <v>2023</v>
      </c>
      <c r="C1098" s="152">
        <v>2</v>
      </c>
      <c r="D1098" s="33" t="str">
        <f t="shared" si="331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2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27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8"/>
        <v>33543315.897345133</v>
      </c>
      <c r="AJ1098" s="19">
        <f t="shared" si="329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</row>
    <row r="1099" spans="1:46" s="12" customFormat="1">
      <c r="A1099" s="33" t="str">
        <f t="shared" si="330"/>
        <v>FY 21/22</v>
      </c>
      <c r="B1099" s="152">
        <v>2021</v>
      </c>
      <c r="C1099" s="152">
        <v>4</v>
      </c>
      <c r="D1099" s="33" t="str">
        <f t="shared" si="331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2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27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8"/>
        <v>15533177.71460177</v>
      </c>
      <c r="AJ1099" s="19">
        <f t="shared" si="329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</row>
    <row r="1100" spans="1:46" s="12" customFormat="1">
      <c r="A1100" s="33" t="str">
        <f t="shared" si="330"/>
        <v>FY 20/21</v>
      </c>
      <c r="B1100" s="152">
        <v>2020</v>
      </c>
      <c r="C1100" s="152">
        <v>6</v>
      </c>
      <c r="D1100" s="33" t="str">
        <f t="shared" si="331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2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27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8"/>
        <v>37969334.083628319</v>
      </c>
      <c r="AJ1100" s="19">
        <f t="shared" si="329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</row>
    <row r="1101" spans="1:46" s="12" customFormat="1">
      <c r="A1101" s="33" t="str">
        <f t="shared" si="330"/>
        <v>FY 20/21</v>
      </c>
      <c r="B1101" s="152">
        <v>2020</v>
      </c>
      <c r="C1101" s="152">
        <v>6</v>
      </c>
      <c r="D1101" s="33" t="str">
        <f t="shared" si="331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2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27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8"/>
        <v>35384300.169380538</v>
      </c>
      <c r="AJ1101" s="19">
        <f t="shared" si="329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</row>
    <row r="1102" spans="1:46" s="12" customFormat="1">
      <c r="A1102" s="33" t="str">
        <f t="shared" si="330"/>
        <v>FY 18/19</v>
      </c>
      <c r="B1102" s="152">
        <v>2019</v>
      </c>
      <c r="C1102" s="152">
        <v>3</v>
      </c>
      <c r="D1102" s="33" t="str">
        <f t="shared" si="331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2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27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8"/>
        <v>32843736.557277881</v>
      </c>
      <c r="AJ1102" s="19">
        <f t="shared" si="329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</row>
    <row r="1103" spans="1:46" s="12" customFormat="1">
      <c r="A1103" s="33" t="str">
        <f t="shared" si="330"/>
        <v>FY 20/21</v>
      </c>
      <c r="B1103" s="152">
        <v>2020</v>
      </c>
      <c r="C1103" s="152">
        <v>6</v>
      </c>
      <c r="D1103" s="33" t="str">
        <f t="shared" si="331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2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27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8"/>
        <v>37969334.083628319</v>
      </c>
      <c r="AJ1103" s="19">
        <f t="shared" si="329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</row>
    <row r="1104" spans="1:46" s="12" customFormat="1">
      <c r="A1104" s="33" t="str">
        <f t="shared" si="330"/>
        <v>FY 20/21</v>
      </c>
      <c r="B1104" s="152">
        <v>2020</v>
      </c>
      <c r="C1104" s="152">
        <v>6</v>
      </c>
      <c r="D1104" s="33" t="str">
        <f t="shared" si="331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2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27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8"/>
        <v>35384300.169380538</v>
      </c>
      <c r="AJ1104" s="19">
        <f t="shared" si="329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</row>
    <row r="1105" spans="1:46" s="12" customFormat="1">
      <c r="A1105" s="33" t="str">
        <f t="shared" si="330"/>
        <v>FY 20/21</v>
      </c>
      <c r="B1105" s="152">
        <v>2020</v>
      </c>
      <c r="C1105" s="152">
        <v>6</v>
      </c>
      <c r="D1105" s="33" t="str">
        <f t="shared" si="331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2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27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8"/>
        <v>35384300.169380538</v>
      </c>
      <c r="AJ1105" s="19">
        <f t="shared" si="329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</row>
    <row r="1106" spans="1:46" s="12" customFormat="1">
      <c r="A1106" s="33" t="str">
        <f t="shared" si="330"/>
        <v>FY 18/19</v>
      </c>
      <c r="B1106" s="152">
        <v>2018</v>
      </c>
      <c r="C1106" s="152">
        <v>12</v>
      </c>
      <c r="D1106" s="33" t="str">
        <f t="shared" si="331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2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27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8"/>
        <v>29840797.698275864</v>
      </c>
      <c r="AJ1106" s="19">
        <f t="shared" si="329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</row>
    <row r="1107" spans="1:46" s="12" customFormat="1">
      <c r="A1107" s="33" t="str">
        <f t="shared" si="330"/>
        <v>FY 18/19</v>
      </c>
      <c r="B1107" s="152">
        <v>2018</v>
      </c>
      <c r="C1107" s="152">
        <v>7</v>
      </c>
      <c r="D1107" s="33" t="str">
        <f t="shared" si="331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2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27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8"/>
        <v>47416008.333399981</v>
      </c>
      <c r="AJ1107" s="19">
        <f t="shared" si="329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62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</row>
    <row r="1108" spans="1:46" s="12" customFormat="1">
      <c r="A1108" s="33" t="str">
        <f t="shared" si="330"/>
        <v>FY 19/20</v>
      </c>
      <c r="B1108" s="152">
        <v>2019</v>
      </c>
      <c r="C1108" s="152">
        <v>8</v>
      </c>
      <c r="D1108" s="33" t="str">
        <f t="shared" si="331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2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27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8"/>
        <v>21386017.707964607</v>
      </c>
      <c r="AJ1108" s="19">
        <f t="shared" si="329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</row>
    <row r="1109" spans="1:46" s="12" customFormat="1">
      <c r="A1109" s="33" t="str">
        <f t="shared" si="330"/>
        <v>FY 18/19</v>
      </c>
      <c r="B1109" s="152">
        <v>2018</v>
      </c>
      <c r="C1109" s="152">
        <v>9</v>
      </c>
      <c r="D1109" s="33" t="str">
        <f t="shared" si="331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2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27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8"/>
        <v>26492741.106427077</v>
      </c>
      <c r="AJ1109" s="19">
        <f t="shared" si="329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62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</row>
    <row r="1110" spans="1:46" s="12" customFormat="1">
      <c r="A1110" s="33" t="str">
        <f t="shared" si="330"/>
        <v>cancel</v>
      </c>
      <c r="B1110" s="152"/>
      <c r="C1110" s="152" t="s">
        <v>186</v>
      </c>
      <c r="D1110" s="33" t="str">
        <f t="shared" si="331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2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27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8"/>
        <v>477651199.57437885</v>
      </c>
      <c r="AJ1110" s="19">
        <f t="shared" si="329"/>
        <v>56918800.518691957</v>
      </c>
      <c r="AK1110" s="20">
        <f t="shared" si="335"/>
        <v>0.11916394341605475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</row>
    <row r="1111" spans="1:46" s="12" customFormat="1">
      <c r="A1111" s="33" t="str">
        <f t="shared" si="330"/>
        <v>cancel</v>
      </c>
      <c r="B1111" s="152"/>
      <c r="C1111" s="152" t="s">
        <v>186</v>
      </c>
      <c r="D1111" s="33" t="str">
        <f t="shared" si="331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2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27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8"/>
        <v>477651199.57437885</v>
      </c>
      <c r="AJ1111" s="19">
        <f t="shared" si="329"/>
        <v>56918800.518691957</v>
      </c>
      <c r="AK1111" s="20">
        <f t="shared" si="335"/>
        <v>0.11916394341605475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</row>
    <row r="1112" spans="1:46" s="12" customFormat="1">
      <c r="A1112" s="33" t="str">
        <f t="shared" si="330"/>
        <v>FY 18/19</v>
      </c>
      <c r="B1112" s="152">
        <v>2018</v>
      </c>
      <c r="C1112" s="152">
        <v>6</v>
      </c>
      <c r="D1112" s="33" t="str">
        <f t="shared" si="331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2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27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8"/>
        <v>26492741.106427077</v>
      </c>
      <c r="AJ1112" s="19">
        <f t="shared" si="329"/>
        <v>3348032.1325698122</v>
      </c>
      <c r="AK1112" s="20">
        <f t="shared" si="335"/>
        <v>0.12637545201985867</v>
      </c>
      <c r="AL1112" s="17"/>
      <c r="AM1112" s="17"/>
      <c r="AN1112" s="17" t="s">
        <v>424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</row>
    <row r="1113" spans="1:46" s="12" customFormat="1" ht="28">
      <c r="A1113" s="33" t="str">
        <f t="shared" si="330"/>
        <v>FY 20/21</v>
      </c>
      <c r="B1113" s="152">
        <v>2020</v>
      </c>
      <c r="C1113" s="152">
        <v>9</v>
      </c>
      <c r="D1113" s="33" t="str">
        <f t="shared" si="331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2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27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8"/>
        <v>48763143.537654862</v>
      </c>
      <c r="AJ1113" s="19">
        <f t="shared" si="329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</row>
    <row r="1114" spans="1:46" s="12" customFormat="1">
      <c r="A1114" s="33" t="str">
        <f t="shared" si="330"/>
        <v>FY 20/21</v>
      </c>
      <c r="B1114" s="152">
        <v>2020</v>
      </c>
      <c r="C1114" s="152">
        <v>6</v>
      </c>
      <c r="D1114" s="33" t="str">
        <f t="shared" si="331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2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27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8"/>
        <v>29183109.05575221</v>
      </c>
      <c r="AJ1114" s="19">
        <f t="shared" si="329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</row>
    <row r="1115" spans="1:46" s="12" customFormat="1">
      <c r="A1115" s="33" t="str">
        <f t="shared" si="330"/>
        <v>FY 20/21</v>
      </c>
      <c r="B1115" s="152">
        <v>2020</v>
      </c>
      <c r="C1115" s="152">
        <v>6</v>
      </c>
      <c r="D1115" s="33" t="str">
        <f t="shared" si="331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2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27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6"/>
        <v>550000</v>
      </c>
      <c r="AA1115" s="13">
        <v>1.089</v>
      </c>
      <c r="AB1115" s="21">
        <f t="shared" si="325"/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8"/>
        <v>29183109.05575221</v>
      </c>
      <c r="AJ1115" s="19">
        <f t="shared" si="329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</row>
    <row r="1116" spans="1:46" s="12" customFormat="1">
      <c r="A1116" s="33" t="str">
        <f t="shared" si="330"/>
        <v>FY 20/21</v>
      </c>
      <c r="B1116" s="152">
        <v>2020</v>
      </c>
      <c r="C1116" s="152">
        <v>4</v>
      </c>
      <c r="D1116" s="33" t="str">
        <f t="shared" si="331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2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27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6"/>
        <v>824500</v>
      </c>
      <c r="AA1116" s="13">
        <v>1.089</v>
      </c>
      <c r="AB1116" s="21">
        <f t="shared" si="325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8"/>
        <v>29183109.05575221</v>
      </c>
      <c r="AJ1116" s="19">
        <f t="shared" si="329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</row>
    <row r="1117" spans="1:46" s="12" customFormat="1">
      <c r="A1117" s="33" t="str">
        <f t="shared" si="330"/>
        <v>FY 20/21</v>
      </c>
      <c r="B1117" s="152">
        <v>2020</v>
      </c>
      <c r="C1117" s="152">
        <v>4</v>
      </c>
      <c r="D1117" s="33" t="str">
        <f t="shared" si="331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2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27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25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8"/>
        <v>29183109.05575221</v>
      </c>
      <c r="AJ1117" s="19">
        <f t="shared" si="329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</row>
    <row r="1118" spans="1:46" s="12" customFormat="1">
      <c r="A1118" s="33" t="str">
        <f t="shared" si="330"/>
        <v>FY 20/21</v>
      </c>
      <c r="B1118" s="152">
        <v>2020</v>
      </c>
      <c r="C1118" s="152">
        <v>4</v>
      </c>
      <c r="D1118" s="33" t="str">
        <f t="shared" si="331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2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27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25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8"/>
        <v>29183109.05575221</v>
      </c>
      <c r="AJ1118" s="19">
        <f t="shared" si="329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</row>
    <row r="1119" spans="1:46" s="12" customFormat="1">
      <c r="A1119" s="33" t="str">
        <f t="shared" si="330"/>
        <v>FY 20/21</v>
      </c>
      <c r="B1119" s="152">
        <v>2020</v>
      </c>
      <c r="C1119" s="152">
        <v>4</v>
      </c>
      <c r="D1119" s="33" t="str">
        <f t="shared" si="331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2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27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25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8"/>
        <v>29183109.05575221</v>
      </c>
      <c r="AJ1119" s="19">
        <f t="shared" si="329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</row>
    <row r="1120" spans="1:46" s="12" customFormat="1">
      <c r="A1120" s="33" t="str">
        <f t="shared" ref="A1120:A1183" si="341">IF(C1120="cancel","cancel",IFERROR(IF(D1120="Q4","FY "&amp;RIGHT(B1120,2)-1&amp;"/"&amp;RIGHT(B1120,2),"FY "&amp;RIGHT(B1120,2)&amp;"/"&amp;RIGHT(B1120,2)+1),""))</f>
        <v>FY 24/25</v>
      </c>
      <c r="B1120" s="23">
        <v>2024</v>
      </c>
      <c r="C1120" s="152">
        <v>4</v>
      </c>
      <c r="D1120" s="33" t="str">
        <f t="shared" ref="D1120:D1183" si="342">IF(B1120="","",IF(AND(C1120&gt;=10,C1120&lt;=12),"Q3",IF(AND(C1120&gt;=1,C1120&lt;=3),"Q4",IF(AND(C1120&gt;=7,C1120&lt;=9),"Q2",IF(AND(C1120&gt;=4,C1120&lt;=6),"Q1")))))</f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7</v>
      </c>
      <c r="H1120" s="29"/>
      <c r="I1120" s="33" t="str">
        <f t="shared" ref="I1120:I1183" si="343">IFERROR(IF(F1120="","",IF(F1120="TBA","TBA",IF(F1120="Cancel","Cancel",IF(AND(G1120&gt;=10,G1120&lt;=12),"Q3",IF(AND(G1120&gt;=1,G1120&lt;=3),"Q4",IF(AND(G1120&gt;=7,G1120&lt;=9),"Q2",IF(AND(G1120&gt;=4,G1120&lt;=6),"Q1"))))))),"")</f>
        <v>Q2</v>
      </c>
      <c r="J1120" s="231" t="s">
        <v>3393</v>
      </c>
      <c r="K1120" s="29" t="s">
        <v>502</v>
      </c>
      <c r="L1120" s="17" t="s">
        <v>3394</v>
      </c>
      <c r="M1120" s="22" t="s">
        <v>61</v>
      </c>
      <c r="N1120" s="22">
        <v>1</v>
      </c>
      <c r="O1120" s="22"/>
      <c r="P1120" s="33" t="str">
        <f t="shared" ref="P1120:P1183" si="344">IF(M1120="","",IF(AND(N1120&gt;0,L1120&lt;&gt;""),"MAIN UNIT",IF(AND(O1120&gt;0,L1120&lt;&gt;""),"SERVICE/ PARTS","C66 SERVICE/OTHERS")))</f>
        <v>MAIN UNIT</v>
      </c>
      <c r="Q1120" s="13" t="s">
        <v>62</v>
      </c>
      <c r="R1120" s="22" t="s">
        <v>63</v>
      </c>
      <c r="S1120" s="22" t="s">
        <v>50</v>
      </c>
      <c r="T1120" s="22" t="s">
        <v>79</v>
      </c>
      <c r="U1120" s="22" t="s">
        <v>79</v>
      </c>
      <c r="V1120" s="22" t="s">
        <v>312</v>
      </c>
      <c r="W1120" s="22" t="s">
        <v>110</v>
      </c>
      <c r="X1120" s="30">
        <v>21300000</v>
      </c>
      <c r="Y1120" s="31" t="str">
        <f>IF(W1120="","",IF(W1120="RMB","1.13", "1"))</f>
        <v>1</v>
      </c>
      <c r="Z1120" s="18">
        <f t="shared" ref="Z1120:Z1151" si="345">IF(X1120="","",X1120*MAX(O1120,N1120))</f>
        <v>21300000</v>
      </c>
      <c r="AA1120" s="22">
        <v>4.9500000000000002E-2</v>
      </c>
      <c r="AB1120" s="21">
        <f t="shared" ref="AB1120:AB1183" si="346">IF(AND(R1120&lt;&gt;"C66",R1120&lt;&gt;""),Z1120/Y1120*AA1120,"")</f>
        <v>1054350</v>
      </c>
      <c r="AC1120" s="25">
        <f t="shared" ref="AC1120:AC1183" si="347">IF(R1120&lt;&gt;"",AB1120*AD1120,"")</f>
        <v>121039.38</v>
      </c>
      <c r="AD1120" s="173">
        <v>0.1148</v>
      </c>
      <c r="AE1120" s="26">
        <f t="shared" ref="AE1120:AE1183" si="348">IF(Q1120="","",IF(Q1120="Yes",1,0))</f>
        <v>0</v>
      </c>
      <c r="AF1120" s="26" t="str">
        <f>IF(AND(COUNTIFS($J$18:J1120,J1120)=1,AE1120=1),1,"")</f>
        <v/>
      </c>
      <c r="AG1120" s="26">
        <f>IF(C1120="","",IF(AND(COUNTIFS($J$18:J1120,J1120)=1,C1120&lt;&gt;""),1,""))</f>
        <v>1</v>
      </c>
      <c r="AH1120" s="26">
        <f>IF(G1120="","",IF(AND(COUNTIFS($J$18:J1120,J1120)=1,G1120&lt;&gt;""),1,""))</f>
        <v>1</v>
      </c>
      <c r="AI1120" s="27">
        <f t="shared" si="328"/>
        <v>25458266.694690265</v>
      </c>
      <c r="AJ1120" s="27">
        <f t="shared" si="329"/>
        <v>4116526.778578762</v>
      </c>
      <c r="AK1120" s="28">
        <f t="shared" ref="AK1120:AK1183" si="349">IF(AJ1120&gt;0,AJ1120/AI1120,"")</f>
        <v>0.16169705612508689</v>
      </c>
      <c r="AL1120" s="24"/>
      <c r="AM1120" s="24"/>
      <c r="AN1120" s="24"/>
      <c r="AO1120" s="24"/>
      <c r="AP1120" s="28" t="str">
        <f t="shared" ref="AP1120:AP1183" si="350">IF(F1120="","",F1120&amp;G1120)</f>
        <v>20247</v>
      </c>
      <c r="AQ1120" s="28" t="str">
        <f t="shared" ref="AQ1120:AQ1183" si="351">IF(W1120="","",F1120&amp;G1120&amp;W1120)</f>
        <v>20247JPY</v>
      </c>
      <c r="AR1120" s="206" t="str">
        <f t="shared" ref="AR1120:AR1183" si="352">IFERROR(IF(AND(M1120="YAMAHA", R1120="C28"), "YAMAHA_Non_Mounter", IF(AND(M1120="YAMAHA", R1120="C49"), "YAMAHA_Mounter", M1120)),"")</f>
        <v>YAMAHA_Mounter</v>
      </c>
      <c r="AS1120" s="22">
        <f t="shared" ref="AS1120:AS1183" si="353">IFERROR(IF(OR(G1120="TBA", G1120=""), "", DATEDIF(DATE(B1120, C1120, 1), DATE(F1120, G1120, 1), "M")),"")</f>
        <v>3</v>
      </c>
      <c r="AT1120" s="24" t="str">
        <f t="shared" ref="AT1120:AT1183" si="354">IF(ISNUMBER(AS1120), IF(AS1120&gt;=0, IF(AS1120&lt;=3, "0-3 months", IF(AS1120&lt;=6, "4-6 months", "&gt; 6 months"))), "")</f>
        <v>0-3 months</v>
      </c>
    </row>
    <row r="1121" spans="1:46" s="12" customFormat="1">
      <c r="A1121" s="33" t="str">
        <f t="shared" si="341"/>
        <v>FY 19/20</v>
      </c>
      <c r="B1121" s="152">
        <v>2019</v>
      </c>
      <c r="C1121" s="152">
        <v>12</v>
      </c>
      <c r="D1121" s="33" t="str">
        <f t="shared" si="342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43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44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45"/>
        <v>800000</v>
      </c>
      <c r="AA1121" s="13">
        <v>1.1100000000000001</v>
      </c>
      <c r="AB1121" s="21">
        <f t="shared" si="346"/>
        <v>785840.70796460193</v>
      </c>
      <c r="AC1121" s="130">
        <f t="shared" si="347"/>
        <v>16266.902654867259</v>
      </c>
      <c r="AD1121" s="169">
        <v>2.07E-2</v>
      </c>
      <c r="AE1121" s="154">
        <f t="shared" si="348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8"/>
        <v>27318180.088495575</v>
      </c>
      <c r="AJ1121" s="19">
        <f t="shared" si="329"/>
        <v>3014099.212353982</v>
      </c>
      <c r="AK1121" s="20">
        <f t="shared" si="349"/>
        <v>0.11033308963444827</v>
      </c>
      <c r="AL1121" s="17"/>
      <c r="AM1121" s="17"/>
      <c r="AN1121" s="17"/>
      <c r="AO1121" s="17"/>
      <c r="AP1121" s="28" t="str">
        <f t="shared" si="350"/>
        <v>201912</v>
      </c>
      <c r="AQ1121" s="28" t="str">
        <f t="shared" si="351"/>
        <v>201912RMB</v>
      </c>
      <c r="AR1121" s="206" t="str">
        <f t="shared" si="352"/>
        <v>YAMAHA_Mounter</v>
      </c>
      <c r="AS1121" s="22">
        <f t="shared" si="353"/>
        <v>0</v>
      </c>
      <c r="AT1121" s="24" t="str">
        <f t="shared" si="354"/>
        <v>0-3 months</v>
      </c>
    </row>
    <row r="1122" spans="1:46" s="12" customFormat="1">
      <c r="A1122" s="33" t="str">
        <f t="shared" si="341"/>
        <v>FY 19/20</v>
      </c>
      <c r="B1122" s="152">
        <v>2019</v>
      </c>
      <c r="C1122" s="152">
        <v>12</v>
      </c>
      <c r="D1122" s="33" t="str">
        <f t="shared" si="342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43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44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45"/>
        <v>620000</v>
      </c>
      <c r="AA1122" s="13">
        <v>1.1100000000000001</v>
      </c>
      <c r="AB1122" s="21">
        <f t="shared" si="346"/>
        <v>609026.54867256654</v>
      </c>
      <c r="AC1122" s="130">
        <f t="shared" si="347"/>
        <v>12606.849557522128</v>
      </c>
      <c r="AD1122" s="169">
        <v>2.07E-2</v>
      </c>
      <c r="AE1122" s="154">
        <f t="shared" si="348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8"/>
        <v>27318180.088495575</v>
      </c>
      <c r="AJ1122" s="19">
        <f t="shared" si="329"/>
        <v>3014099.212353982</v>
      </c>
      <c r="AK1122" s="20">
        <f t="shared" si="349"/>
        <v>0.11033308963444827</v>
      </c>
      <c r="AL1122" s="17"/>
      <c r="AM1122" s="17"/>
      <c r="AN1122" s="17"/>
      <c r="AO1122" s="17"/>
      <c r="AP1122" s="28" t="str">
        <f t="shared" si="350"/>
        <v>201912</v>
      </c>
      <c r="AQ1122" s="28" t="str">
        <f t="shared" si="351"/>
        <v>201912RMB</v>
      </c>
      <c r="AR1122" s="206" t="str">
        <f t="shared" si="352"/>
        <v>YAMAHA_Mounter</v>
      </c>
      <c r="AS1122" s="22">
        <f t="shared" si="353"/>
        <v>0</v>
      </c>
      <c r="AT1122" s="24" t="str">
        <f t="shared" si="354"/>
        <v>0-3 months</v>
      </c>
    </row>
    <row r="1123" spans="1:46" s="12" customFormat="1">
      <c r="A1123" s="33" t="str">
        <f t="shared" si="341"/>
        <v>FY 21/22</v>
      </c>
      <c r="B1123" s="152">
        <v>2021</v>
      </c>
      <c r="C1123" s="152">
        <v>4</v>
      </c>
      <c r="D1123" s="33" t="str">
        <f t="shared" si="342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43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44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45"/>
        <v>520000</v>
      </c>
      <c r="AA1123" s="13">
        <v>1.1950000000000001</v>
      </c>
      <c r="AB1123" s="21">
        <f t="shared" si="346"/>
        <v>549911.50442477886</v>
      </c>
      <c r="AC1123" s="130">
        <f t="shared" si="347"/>
        <v>54441.238938053109</v>
      </c>
      <c r="AD1123" s="169">
        <v>9.9000000000000005E-2</v>
      </c>
      <c r="AE1123" s="154">
        <f t="shared" si="348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8"/>
        <v>63006605.696460173</v>
      </c>
      <c r="AJ1123" s="19">
        <f t="shared" si="329"/>
        <v>8897485.660753984</v>
      </c>
      <c r="AK1123" s="20">
        <f t="shared" si="349"/>
        <v>0.141215124388995</v>
      </c>
      <c r="AL1123" s="17"/>
      <c r="AM1123" s="17"/>
      <c r="AN1123" s="17"/>
      <c r="AO1123" s="17"/>
      <c r="AP1123" s="28" t="str">
        <f t="shared" si="350"/>
        <v>20215</v>
      </c>
      <c r="AQ1123" s="28" t="str">
        <f t="shared" si="351"/>
        <v>20215RMB</v>
      </c>
      <c r="AR1123" s="206" t="str">
        <f t="shared" si="352"/>
        <v>YAMAHA_Mounter</v>
      </c>
      <c r="AS1123" s="22">
        <f t="shared" si="353"/>
        <v>1</v>
      </c>
      <c r="AT1123" s="24" t="str">
        <f t="shared" si="354"/>
        <v>0-3 months</v>
      </c>
    </row>
    <row r="1124" spans="1:46" s="12" customFormat="1">
      <c r="A1124" s="33" t="str">
        <f t="shared" si="341"/>
        <v>FY 22/23</v>
      </c>
      <c r="B1124" s="152">
        <v>2023</v>
      </c>
      <c r="C1124" s="152">
        <v>2</v>
      </c>
      <c r="D1124" s="33" t="str">
        <f t="shared" si="342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43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44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45"/>
        <v>470000</v>
      </c>
      <c r="AA1124" s="13">
        <v>1.1599999999999999</v>
      </c>
      <c r="AB1124" s="21">
        <f t="shared" si="346"/>
        <v>482477.87610619474</v>
      </c>
      <c r="AC1124" s="130">
        <f t="shared" si="347"/>
        <v>65038.017699115051</v>
      </c>
      <c r="AD1124" s="169">
        <v>0.1348</v>
      </c>
      <c r="AE1124" s="154">
        <f t="shared" si="348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8"/>
        <v>21045012.884955753</v>
      </c>
      <c r="AJ1124" s="19">
        <f t="shared" si="329"/>
        <v>2650260.9603327443</v>
      </c>
      <c r="AK1124" s="20">
        <f t="shared" si="349"/>
        <v>0.12593296924172048</v>
      </c>
      <c r="AL1124" s="17"/>
      <c r="AM1124" s="17"/>
      <c r="AN1124" s="17"/>
      <c r="AO1124" s="17"/>
      <c r="AP1124" s="28" t="str">
        <f t="shared" si="350"/>
        <v>20232</v>
      </c>
      <c r="AQ1124" s="28" t="str">
        <f t="shared" si="351"/>
        <v>20232RMB</v>
      </c>
      <c r="AR1124" s="206" t="str">
        <f t="shared" si="352"/>
        <v>YAMAHA_Mounter</v>
      </c>
      <c r="AS1124" s="22">
        <f t="shared" si="353"/>
        <v>0</v>
      </c>
      <c r="AT1124" s="24" t="str">
        <f t="shared" si="354"/>
        <v>0-3 months</v>
      </c>
    </row>
    <row r="1125" spans="1:46" s="12" customFormat="1">
      <c r="A1125" s="33" t="str">
        <f t="shared" si="341"/>
        <v>cancel</v>
      </c>
      <c r="B1125" s="152"/>
      <c r="C1125" s="152" t="s">
        <v>186</v>
      </c>
      <c r="D1125" s="33" t="str">
        <f t="shared" si="342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43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44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45"/>
        <v>540000</v>
      </c>
      <c r="AA1125" s="13">
        <v>1.18</v>
      </c>
      <c r="AB1125" s="21">
        <f t="shared" si="346"/>
        <v>563893.80530973454</v>
      </c>
      <c r="AC1125" s="130">
        <f t="shared" si="347"/>
        <v>67667.256637168146</v>
      </c>
      <c r="AD1125" s="169">
        <v>0.12</v>
      </c>
      <c r="AE1125" s="154">
        <f t="shared" si="348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8"/>
        <v>477651199.57437885</v>
      </c>
      <c r="AJ1125" s="19">
        <f t="shared" si="329"/>
        <v>56918800.518691957</v>
      </c>
      <c r="AK1125" s="20">
        <f t="shared" si="349"/>
        <v>0.11916394341605475</v>
      </c>
      <c r="AL1125" s="17"/>
      <c r="AM1125" s="17"/>
      <c r="AN1125" s="17"/>
      <c r="AO1125" s="17"/>
      <c r="AP1125" s="28" t="str">
        <f t="shared" si="350"/>
        <v>CancelCANCEL</v>
      </c>
      <c r="AQ1125" s="28" t="str">
        <f t="shared" si="351"/>
        <v>CancelCANCELRMB</v>
      </c>
      <c r="AR1125" s="206" t="str">
        <f t="shared" si="352"/>
        <v>YAMAHA_Mounter</v>
      </c>
      <c r="AS1125" s="22" t="str">
        <f t="shared" si="353"/>
        <v/>
      </c>
      <c r="AT1125" s="24" t="str">
        <f t="shared" si="354"/>
        <v/>
      </c>
    </row>
    <row r="1126" spans="1:46" s="12" customFormat="1">
      <c r="A1126" s="33" t="str">
        <f t="shared" si="341"/>
        <v>cancel</v>
      </c>
      <c r="B1126" s="152"/>
      <c r="C1126" s="152" t="s">
        <v>186</v>
      </c>
      <c r="D1126" s="33" t="str">
        <f t="shared" si="342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43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44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45"/>
        <v>540000</v>
      </c>
      <c r="AA1126" s="13">
        <v>1.18</v>
      </c>
      <c r="AB1126" s="21">
        <f t="shared" si="346"/>
        <v>563893.80530973454</v>
      </c>
      <c r="AC1126" s="130">
        <f t="shared" si="347"/>
        <v>67667.256637168146</v>
      </c>
      <c r="AD1126" s="169">
        <v>0.12</v>
      </c>
      <c r="AE1126" s="154">
        <f t="shared" si="348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8"/>
        <v>477651199.57437885</v>
      </c>
      <c r="AJ1126" s="19">
        <f t="shared" si="329"/>
        <v>56918800.518691957</v>
      </c>
      <c r="AK1126" s="20">
        <f t="shared" si="349"/>
        <v>0.11916394341605475</v>
      </c>
      <c r="AL1126" s="17"/>
      <c r="AM1126" s="17"/>
      <c r="AN1126" s="17"/>
      <c r="AO1126" s="17"/>
      <c r="AP1126" s="28" t="str">
        <f t="shared" si="350"/>
        <v>CancelCANCEL</v>
      </c>
      <c r="AQ1126" s="28" t="str">
        <f t="shared" si="351"/>
        <v>CancelCANCELRMB</v>
      </c>
      <c r="AR1126" s="206" t="str">
        <f t="shared" si="352"/>
        <v>YAMAHA_Mounter</v>
      </c>
      <c r="AS1126" s="22" t="str">
        <f t="shared" si="353"/>
        <v/>
      </c>
      <c r="AT1126" s="24" t="str">
        <f t="shared" si="354"/>
        <v/>
      </c>
    </row>
    <row r="1127" spans="1:46" s="12" customFormat="1" ht="28">
      <c r="A1127" s="33" t="str">
        <f t="shared" si="341"/>
        <v>cancel</v>
      </c>
      <c r="B1127" s="152"/>
      <c r="C1127" s="152" t="s">
        <v>186</v>
      </c>
      <c r="D1127" s="33" t="str">
        <f t="shared" si="342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43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44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45"/>
        <v>11679000</v>
      </c>
      <c r="AA1127" s="13">
        <v>1.18</v>
      </c>
      <c r="AB1127" s="21">
        <f t="shared" si="346"/>
        <v>12195769.911504425</v>
      </c>
      <c r="AC1127" s="130">
        <f t="shared" si="347"/>
        <v>1463492.3893805309</v>
      </c>
      <c r="AD1127" s="169">
        <v>0.12</v>
      </c>
      <c r="AE1127" s="154">
        <f t="shared" si="348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8"/>
        <v>477651199.57437885</v>
      </c>
      <c r="AJ1127" s="19">
        <f t="shared" si="329"/>
        <v>56918800.518691957</v>
      </c>
      <c r="AK1127" s="20">
        <f t="shared" si="349"/>
        <v>0.11916394341605475</v>
      </c>
      <c r="AL1127" s="17"/>
      <c r="AM1127" s="17"/>
      <c r="AN1127" s="17"/>
      <c r="AO1127" s="17"/>
      <c r="AP1127" s="28" t="str">
        <f t="shared" si="350"/>
        <v>CancelCANCEL</v>
      </c>
      <c r="AQ1127" s="28" t="str">
        <f t="shared" si="351"/>
        <v>CancelCANCELRMB</v>
      </c>
      <c r="AR1127" s="206" t="str">
        <f t="shared" si="352"/>
        <v>YAMAHA_Mounter</v>
      </c>
      <c r="AS1127" s="22" t="str">
        <f t="shared" si="353"/>
        <v/>
      </c>
      <c r="AT1127" s="24" t="str">
        <f t="shared" si="354"/>
        <v/>
      </c>
    </row>
    <row r="1128" spans="1:46" s="12" customFormat="1">
      <c r="A1128" s="33" t="str">
        <f t="shared" si="341"/>
        <v>FY 18/19</v>
      </c>
      <c r="B1128" s="152">
        <v>2019</v>
      </c>
      <c r="C1128" s="152">
        <v>3</v>
      </c>
      <c r="D1128" s="33" t="str">
        <f t="shared" si="342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43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44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45"/>
        <v>642931</v>
      </c>
      <c r="AA1128" s="13">
        <v>1.135</v>
      </c>
      <c r="AB1128" s="21">
        <f t="shared" si="346"/>
        <v>645775.82743362838</v>
      </c>
      <c r="AC1128" s="130">
        <f t="shared" si="347"/>
        <v>71939.427176106197</v>
      </c>
      <c r="AD1128" s="169">
        <v>0.1114</v>
      </c>
      <c r="AE1128" s="154">
        <f t="shared" si="348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8"/>
        <v>21386017.707964607</v>
      </c>
      <c r="AJ1128" s="19">
        <f t="shared" si="329"/>
        <v>2238764.3265707968</v>
      </c>
      <c r="AK1128" s="20">
        <f t="shared" si="349"/>
        <v>0.10468355339185161</v>
      </c>
      <c r="AL1128" s="17"/>
      <c r="AM1128" s="17"/>
      <c r="AN1128" s="17"/>
      <c r="AO1128" s="17"/>
      <c r="AP1128" s="28" t="str">
        <f t="shared" si="350"/>
        <v>20198</v>
      </c>
      <c r="AQ1128" s="28" t="str">
        <f t="shared" si="351"/>
        <v>20198RMB</v>
      </c>
      <c r="AR1128" s="206" t="str">
        <f t="shared" si="352"/>
        <v>YAMAHA_Mounter</v>
      </c>
      <c r="AS1128" s="22">
        <f t="shared" si="353"/>
        <v>5</v>
      </c>
      <c r="AT1128" s="24" t="str">
        <f t="shared" si="354"/>
        <v>4-6 months</v>
      </c>
    </row>
    <row r="1129" spans="1:46" s="12" customFormat="1">
      <c r="A1129" s="33" t="str">
        <f t="shared" si="341"/>
        <v>FY 18/19</v>
      </c>
      <c r="B1129" s="152">
        <v>2019</v>
      </c>
      <c r="C1129" s="152">
        <v>3</v>
      </c>
      <c r="D1129" s="33" t="str">
        <f t="shared" si="342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43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44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45"/>
        <v>642931</v>
      </c>
      <c r="AA1129" s="13">
        <v>1.135</v>
      </c>
      <c r="AB1129" s="21">
        <f t="shared" si="346"/>
        <v>645775.82743362838</v>
      </c>
      <c r="AC1129" s="130">
        <f t="shared" si="347"/>
        <v>71939.427176106197</v>
      </c>
      <c r="AD1129" s="169">
        <v>0.1114</v>
      </c>
      <c r="AE1129" s="154">
        <f t="shared" si="348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8"/>
        <v>21386017.707964607</v>
      </c>
      <c r="AJ1129" s="19">
        <f t="shared" si="329"/>
        <v>2238764.3265707968</v>
      </c>
      <c r="AK1129" s="20">
        <f t="shared" si="349"/>
        <v>0.10468355339185161</v>
      </c>
      <c r="AL1129" s="17"/>
      <c r="AM1129" s="17"/>
      <c r="AN1129" s="17"/>
      <c r="AO1129" s="17"/>
      <c r="AP1129" s="28" t="str">
        <f t="shared" si="350"/>
        <v>20198</v>
      </c>
      <c r="AQ1129" s="28" t="str">
        <f t="shared" si="351"/>
        <v>20198RMB</v>
      </c>
      <c r="AR1129" s="206" t="str">
        <f t="shared" si="352"/>
        <v>YAMAHA_Mounter</v>
      </c>
      <c r="AS1129" s="22">
        <f t="shared" si="353"/>
        <v>5</v>
      </c>
      <c r="AT1129" s="24" t="str">
        <f t="shared" si="354"/>
        <v>4-6 months</v>
      </c>
    </row>
    <row r="1130" spans="1:46" s="12" customFormat="1">
      <c r="A1130" s="33" t="str">
        <f t="shared" si="341"/>
        <v>FY 22/23</v>
      </c>
      <c r="B1130" s="152">
        <v>2022</v>
      </c>
      <c r="C1130" s="152">
        <v>4</v>
      </c>
      <c r="D1130" s="33" t="str">
        <f t="shared" si="342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43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44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45"/>
        <v>560000</v>
      </c>
      <c r="AA1130" s="13">
        <v>1.175</v>
      </c>
      <c r="AB1130" s="21">
        <f t="shared" si="346"/>
        <v>582300.88495575229</v>
      </c>
      <c r="AC1130" s="130">
        <f t="shared" si="347"/>
        <v>98175.929203539839</v>
      </c>
      <c r="AD1130" s="169">
        <v>0.1686</v>
      </c>
      <c r="AE1130" s="154">
        <f t="shared" si="348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8"/>
        <v>35682787.057522126</v>
      </c>
      <c r="AJ1130" s="19">
        <f t="shared" si="329"/>
        <v>5833368.3789623892</v>
      </c>
      <c r="AK1130" s="20">
        <f t="shared" si="349"/>
        <v>0.16347849649632912</v>
      </c>
      <c r="AL1130" s="17"/>
      <c r="AM1130" s="17"/>
      <c r="AN1130" s="17"/>
      <c r="AO1130" s="17"/>
      <c r="AP1130" s="28" t="str">
        <f t="shared" si="350"/>
        <v>20226</v>
      </c>
      <c r="AQ1130" s="28" t="str">
        <f t="shared" si="351"/>
        <v>20226RMB</v>
      </c>
      <c r="AR1130" s="206" t="str">
        <f t="shared" si="352"/>
        <v>YAMAHA_Mounter</v>
      </c>
      <c r="AS1130" s="22">
        <f t="shared" si="353"/>
        <v>2</v>
      </c>
      <c r="AT1130" s="24" t="str">
        <f t="shared" si="354"/>
        <v>0-3 months</v>
      </c>
    </row>
    <row r="1131" spans="1:46" s="12" customFormat="1">
      <c r="A1131" s="33" t="str">
        <f t="shared" si="341"/>
        <v>FY 17/18</v>
      </c>
      <c r="B1131" s="152">
        <v>2017</v>
      </c>
      <c r="C1131" s="152">
        <v>12</v>
      </c>
      <c r="D1131" s="33" t="str">
        <f t="shared" si="342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43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44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45"/>
        <v>580000</v>
      </c>
      <c r="AA1131" s="13">
        <v>1.123</v>
      </c>
      <c r="AB1131" s="21">
        <f t="shared" si="346"/>
        <v>556700.85470085475</v>
      </c>
      <c r="AC1131" s="130">
        <f t="shared" si="347"/>
        <v>66804.102564102563</v>
      </c>
      <c r="AD1131" s="169">
        <v>0.12</v>
      </c>
      <c r="AE1131" s="154">
        <f t="shared" si="348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8"/>
        <v>13250187.062905986</v>
      </c>
      <c r="AJ1131" s="19">
        <f t="shared" si="329"/>
        <v>1545643.7555487182</v>
      </c>
      <c r="AK1131" s="20">
        <f t="shared" si="349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50"/>
        <v>20183</v>
      </c>
      <c r="AQ1131" s="28" t="str">
        <f t="shared" si="351"/>
        <v>20183RMB</v>
      </c>
      <c r="AR1131" s="206" t="str">
        <f t="shared" si="352"/>
        <v>YAMAHA_Mounter</v>
      </c>
      <c r="AS1131" s="22">
        <f t="shared" si="353"/>
        <v>3</v>
      </c>
      <c r="AT1131" s="24" t="str">
        <f t="shared" si="354"/>
        <v>0-3 months</v>
      </c>
    </row>
    <row r="1132" spans="1:46" s="12" customFormat="1">
      <c r="A1132" s="33" t="str">
        <f t="shared" si="341"/>
        <v>FY 20/21</v>
      </c>
      <c r="B1132" s="152">
        <v>2020</v>
      </c>
      <c r="C1132" s="152">
        <v>7</v>
      </c>
      <c r="D1132" s="33" t="str">
        <f t="shared" si="342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43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44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45"/>
        <v>840000</v>
      </c>
      <c r="AA1132" s="13">
        <v>1.135</v>
      </c>
      <c r="AB1132" s="21">
        <f t="shared" si="346"/>
        <v>843716.81415929215</v>
      </c>
      <c r="AC1132" s="130">
        <f t="shared" si="347"/>
        <v>135163.4336283186</v>
      </c>
      <c r="AD1132" s="169">
        <v>0.16020000000000001</v>
      </c>
      <c r="AE1132" s="154">
        <f t="shared" si="348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8"/>
        <v>28011162.254106201</v>
      </c>
      <c r="AJ1132" s="19">
        <f t="shared" si="329"/>
        <v>3401347.1124888416</v>
      </c>
      <c r="AK1132" s="20">
        <f t="shared" si="349"/>
        <v>0.12142827497242578</v>
      </c>
      <c r="AL1132" s="17"/>
      <c r="AM1132" s="17"/>
      <c r="AN1132" s="17"/>
      <c r="AO1132" s="17"/>
      <c r="AP1132" s="28" t="str">
        <f t="shared" si="350"/>
        <v>202010</v>
      </c>
      <c r="AQ1132" s="28" t="str">
        <f t="shared" si="351"/>
        <v>202010RMB</v>
      </c>
      <c r="AR1132" s="206" t="str">
        <f t="shared" si="352"/>
        <v>YAMAHA_Mounter</v>
      </c>
      <c r="AS1132" s="22">
        <f t="shared" si="353"/>
        <v>3</v>
      </c>
      <c r="AT1132" s="24" t="str">
        <f t="shared" si="354"/>
        <v>0-3 months</v>
      </c>
    </row>
    <row r="1133" spans="1:46" s="12" customFormat="1">
      <c r="A1133" s="33" t="str">
        <f t="shared" si="341"/>
        <v>FY 24/25</v>
      </c>
      <c r="B1133" s="23">
        <v>2024</v>
      </c>
      <c r="C1133" s="152">
        <v>4</v>
      </c>
      <c r="D1133" s="33" t="str">
        <f t="shared" si="342"/>
        <v>Q1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6</v>
      </c>
      <c r="H1133" s="29"/>
      <c r="I1133" s="33" t="str">
        <f t="shared" si="343"/>
        <v>Q1</v>
      </c>
      <c r="J1133" s="188" t="s">
        <v>3408</v>
      </c>
      <c r="K1133" s="29" t="s">
        <v>415</v>
      </c>
      <c r="L1133" s="17" t="s">
        <v>3409</v>
      </c>
      <c r="M1133" s="22" t="s">
        <v>378</v>
      </c>
      <c r="N1133" s="22">
        <v>2</v>
      </c>
      <c r="O1133" s="22"/>
      <c r="P1133" s="33" t="str">
        <f t="shared" si="344"/>
        <v>MAIN UNIT</v>
      </c>
      <c r="Q1133" s="13" t="s">
        <v>62</v>
      </c>
      <c r="R1133" s="22" t="s">
        <v>2056</v>
      </c>
      <c r="S1133" s="22" t="s">
        <v>51</v>
      </c>
      <c r="T1133" s="22" t="s">
        <v>102</v>
      </c>
      <c r="U1133" s="22" t="s">
        <v>71</v>
      </c>
      <c r="V1133" s="22" t="s">
        <v>85</v>
      </c>
      <c r="W1133" s="22" t="s">
        <v>65</v>
      </c>
      <c r="X1133" s="30">
        <v>45275</v>
      </c>
      <c r="Y1133" s="31" t="str">
        <f>IF(W1133="","",IF(W1133="RMB","1.13", "1"))</f>
        <v>1.13</v>
      </c>
      <c r="Z1133" s="18">
        <f t="shared" si="345"/>
        <v>90550</v>
      </c>
      <c r="AA1133" s="22">
        <v>1.08</v>
      </c>
      <c r="AB1133" s="21">
        <f t="shared" si="346"/>
        <v>86543.362831858423</v>
      </c>
      <c r="AC1133" s="25">
        <f t="shared" si="347"/>
        <v>8351.4345132743383</v>
      </c>
      <c r="AD1133" s="170">
        <v>9.6500000000000002E-2</v>
      </c>
      <c r="AE1133" s="26">
        <f t="shared" si="348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8"/>
        <v>27308925.887079656</v>
      </c>
      <c r="AJ1133" s="27">
        <f t="shared" si="329"/>
        <v>3319273.860338124</v>
      </c>
      <c r="AK1133" s="28">
        <f t="shared" si="349"/>
        <v>0.12154538314919709</v>
      </c>
      <c r="AL1133" s="24"/>
      <c r="AM1133" s="24"/>
      <c r="AN1133" s="24"/>
      <c r="AO1133" s="24"/>
      <c r="AP1133" s="28" t="str">
        <f t="shared" si="350"/>
        <v>20246</v>
      </c>
      <c r="AQ1133" s="28" t="str">
        <f t="shared" si="351"/>
        <v>20246RMB</v>
      </c>
      <c r="AR1133" s="206" t="str">
        <f t="shared" si="352"/>
        <v>LOCAL SUPPLIER</v>
      </c>
      <c r="AS1133" s="22">
        <f t="shared" si="353"/>
        <v>2</v>
      </c>
      <c r="AT1133" s="24" t="str">
        <f t="shared" si="354"/>
        <v>0-3 months</v>
      </c>
    </row>
    <row r="1134" spans="1:46" s="12" customFormat="1">
      <c r="A1134" s="33" t="str">
        <f t="shared" si="341"/>
        <v>cancel</v>
      </c>
      <c r="B1134" s="152"/>
      <c r="C1134" s="152" t="s">
        <v>186</v>
      </c>
      <c r="D1134" s="33" t="str">
        <f t="shared" si="342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43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44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si="345"/>
        <v>11840000</v>
      </c>
      <c r="AA1134" s="13">
        <v>7.2999999999999995E-2</v>
      </c>
      <c r="AB1134" s="21">
        <f t="shared" si="346"/>
        <v>864320</v>
      </c>
      <c r="AC1134" s="130">
        <f t="shared" si="347"/>
        <v>103718.39999999999</v>
      </c>
      <c r="AD1134" s="169">
        <v>0.12</v>
      </c>
      <c r="AE1134" s="154">
        <f t="shared" si="348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8"/>
        <v>477651199.57437885</v>
      </c>
      <c r="AJ1134" s="19">
        <f t="shared" si="329"/>
        <v>56918800.518691957</v>
      </c>
      <c r="AK1134" s="20">
        <f t="shared" si="349"/>
        <v>0.11916394341605475</v>
      </c>
      <c r="AL1134" s="17"/>
      <c r="AM1134" s="17"/>
      <c r="AN1134" s="17"/>
      <c r="AO1134" s="17"/>
      <c r="AP1134" s="28" t="str">
        <f t="shared" si="350"/>
        <v>CancelCancel</v>
      </c>
      <c r="AQ1134" s="28" t="str">
        <f t="shared" si="351"/>
        <v>CancelCancelJPY</v>
      </c>
      <c r="AR1134" s="206" t="str">
        <f t="shared" si="352"/>
        <v>YAMAHA_Mounter</v>
      </c>
      <c r="AS1134" s="22" t="str">
        <f t="shared" si="353"/>
        <v/>
      </c>
      <c r="AT1134" s="24" t="str">
        <f t="shared" si="354"/>
        <v/>
      </c>
    </row>
    <row r="1135" spans="1:46" s="12" customFormat="1">
      <c r="A1135" s="33" t="str">
        <f t="shared" si="341"/>
        <v>FY 18/19</v>
      </c>
      <c r="B1135" s="152">
        <v>2018</v>
      </c>
      <c r="C1135" s="152">
        <v>7</v>
      </c>
      <c r="D1135" s="33" t="str">
        <f t="shared" si="342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43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44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5"/>
        <v>12400000</v>
      </c>
      <c r="AA1135" s="13">
        <v>7.17E-2</v>
      </c>
      <c r="AB1135" s="21">
        <f t="shared" si="346"/>
        <v>889080</v>
      </c>
      <c r="AC1135" s="130">
        <f t="shared" si="347"/>
        <v>160745.66399999999</v>
      </c>
      <c r="AD1135" s="169">
        <v>0.18079999999999999</v>
      </c>
      <c r="AE1135" s="154">
        <f t="shared" si="348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8"/>
        <v>14593788.187146019</v>
      </c>
      <c r="AJ1135" s="19">
        <f t="shared" si="329"/>
        <v>1868647.7321969916</v>
      </c>
      <c r="AK1135" s="20">
        <f t="shared" si="349"/>
        <v>0.12804404916900652</v>
      </c>
      <c r="AL1135" s="17"/>
      <c r="AM1135" s="17"/>
      <c r="AN1135" s="17"/>
      <c r="AO1135" s="17"/>
      <c r="AP1135" s="28" t="str">
        <f t="shared" si="350"/>
        <v>20195</v>
      </c>
      <c r="AQ1135" s="28" t="str">
        <f t="shared" si="351"/>
        <v>20195JPY</v>
      </c>
      <c r="AR1135" s="206" t="str">
        <f t="shared" si="352"/>
        <v>YAMAHA_Mounter</v>
      </c>
      <c r="AS1135" s="22">
        <f t="shared" si="353"/>
        <v>10</v>
      </c>
      <c r="AT1135" s="24" t="str">
        <f t="shared" si="354"/>
        <v>&gt; 6 months</v>
      </c>
    </row>
    <row r="1136" spans="1:46" s="12" customFormat="1">
      <c r="A1136" s="33" t="str">
        <f t="shared" si="341"/>
        <v>FY 20/21</v>
      </c>
      <c r="B1136" s="152">
        <v>2020</v>
      </c>
      <c r="C1136" s="152">
        <v>7</v>
      </c>
      <c r="D1136" s="33" t="str">
        <f t="shared" si="342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43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44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5"/>
        <v>10500000</v>
      </c>
      <c r="AA1136" s="13">
        <v>7.4899999999999994E-2</v>
      </c>
      <c r="AB1136" s="21">
        <f t="shared" si="346"/>
        <v>786449.99999999988</v>
      </c>
      <c r="AC1136" s="130">
        <f t="shared" si="347"/>
        <v>75027.329999999987</v>
      </c>
      <c r="AD1136" s="169">
        <v>9.5399999999999999E-2</v>
      </c>
      <c r="AE1136" s="154">
        <f t="shared" si="348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8"/>
        <v>47907808.356810622</v>
      </c>
      <c r="AJ1136" s="19">
        <f t="shared" si="329"/>
        <v>6027384.8806384448</v>
      </c>
      <c r="AK1136" s="20">
        <f t="shared" si="349"/>
        <v>0.12581216063459488</v>
      </c>
      <c r="AL1136" s="17"/>
      <c r="AM1136" s="17"/>
      <c r="AN1136" s="17"/>
      <c r="AO1136" s="17"/>
      <c r="AP1136" s="28" t="str">
        <f t="shared" si="350"/>
        <v>20209</v>
      </c>
      <c r="AQ1136" s="28" t="str">
        <f t="shared" si="351"/>
        <v>20209JPY</v>
      </c>
      <c r="AR1136" s="206" t="str">
        <f t="shared" si="352"/>
        <v>YAMAHA_Mounter</v>
      </c>
      <c r="AS1136" s="22">
        <f t="shared" si="353"/>
        <v>2</v>
      </c>
      <c r="AT1136" s="24" t="str">
        <f t="shared" si="354"/>
        <v>0-3 months</v>
      </c>
    </row>
    <row r="1137" spans="1:46" s="12" customFormat="1">
      <c r="A1137" s="33" t="str">
        <f t="shared" si="341"/>
        <v>FY 20/21</v>
      </c>
      <c r="B1137" s="152">
        <v>2021</v>
      </c>
      <c r="C1137" s="152">
        <v>3</v>
      </c>
      <c r="D1137" s="33" t="str">
        <f t="shared" si="342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43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44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55">IF(W1137="RMB","1.13", "1")</f>
        <v>1</v>
      </c>
      <c r="Z1137" s="18">
        <f t="shared" si="345"/>
        <v>6950000</v>
      </c>
      <c r="AA1137" s="13">
        <v>7.2099999999999997E-2</v>
      </c>
      <c r="AB1137" s="21">
        <f t="shared" si="346"/>
        <v>501095</v>
      </c>
      <c r="AC1137" s="130">
        <f t="shared" si="347"/>
        <v>57926.581999999995</v>
      </c>
      <c r="AD1137" s="169">
        <v>0.11559999999999999</v>
      </c>
      <c r="AE1137" s="154">
        <f t="shared" si="348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8"/>
        <v>54700260.692079648</v>
      </c>
      <c r="AJ1137" s="19">
        <f t="shared" si="329"/>
        <v>7482899.5749188727</v>
      </c>
      <c r="AK1137" s="20">
        <f t="shared" si="349"/>
        <v>0.13679824337660537</v>
      </c>
      <c r="AL1137" s="17"/>
      <c r="AM1137" s="17"/>
      <c r="AN1137" s="17"/>
      <c r="AO1137" s="17"/>
      <c r="AP1137" s="28" t="str">
        <f t="shared" si="350"/>
        <v>20216</v>
      </c>
      <c r="AQ1137" s="28" t="str">
        <f t="shared" si="351"/>
        <v>20216JPY</v>
      </c>
      <c r="AR1137" s="206" t="str">
        <f t="shared" si="352"/>
        <v>YAMAHA_Mounter</v>
      </c>
      <c r="AS1137" s="22">
        <f t="shared" si="353"/>
        <v>3</v>
      </c>
      <c r="AT1137" s="24" t="str">
        <f t="shared" si="354"/>
        <v>0-3 months</v>
      </c>
    </row>
    <row r="1138" spans="1:46" s="12" customFormat="1">
      <c r="A1138" s="33" t="str">
        <f t="shared" si="341"/>
        <v>FY 20/21</v>
      </c>
      <c r="B1138" s="152">
        <v>2021</v>
      </c>
      <c r="C1138" s="152">
        <v>3</v>
      </c>
      <c r="D1138" s="33" t="str">
        <f t="shared" si="342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43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44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55"/>
        <v>1</v>
      </c>
      <c r="Z1138" s="18">
        <f t="shared" si="345"/>
        <v>6950000</v>
      </c>
      <c r="AA1138" s="13">
        <v>7.2099999999999997E-2</v>
      </c>
      <c r="AB1138" s="21">
        <f t="shared" si="346"/>
        <v>501095</v>
      </c>
      <c r="AC1138" s="130">
        <f t="shared" si="347"/>
        <v>57926.581999999995</v>
      </c>
      <c r="AD1138" s="169">
        <v>0.11559999999999999</v>
      </c>
      <c r="AE1138" s="154">
        <f t="shared" si="348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8"/>
        <v>54700260.692079648</v>
      </c>
      <c r="AJ1138" s="19">
        <f t="shared" si="329"/>
        <v>7482899.5749188727</v>
      </c>
      <c r="AK1138" s="20">
        <f t="shared" si="349"/>
        <v>0.13679824337660537</v>
      </c>
      <c r="AL1138" s="17"/>
      <c r="AM1138" s="17"/>
      <c r="AN1138" s="17"/>
      <c r="AO1138" s="17"/>
      <c r="AP1138" s="28" t="str">
        <f t="shared" si="350"/>
        <v>20216</v>
      </c>
      <c r="AQ1138" s="28" t="str">
        <f t="shared" si="351"/>
        <v>20216JPY</v>
      </c>
      <c r="AR1138" s="206" t="str">
        <f t="shared" si="352"/>
        <v>YAMAHA_Mounter</v>
      </c>
      <c r="AS1138" s="22">
        <f t="shared" si="353"/>
        <v>3</v>
      </c>
      <c r="AT1138" s="24" t="str">
        <f t="shared" si="354"/>
        <v>0-3 months</v>
      </c>
    </row>
    <row r="1139" spans="1:46" s="12" customFormat="1">
      <c r="A1139" s="33" t="str">
        <f t="shared" si="341"/>
        <v>FY 21/22</v>
      </c>
      <c r="B1139" s="152">
        <v>2022</v>
      </c>
      <c r="C1139" s="152">
        <v>2</v>
      </c>
      <c r="D1139" s="33" t="str">
        <f t="shared" si="342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43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44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55"/>
        <v>1</v>
      </c>
      <c r="Z1139" s="18">
        <f t="shared" si="345"/>
        <v>13000000</v>
      </c>
      <c r="AA1139" s="13">
        <v>6.25E-2</v>
      </c>
      <c r="AB1139" s="21">
        <f t="shared" si="346"/>
        <v>812500</v>
      </c>
      <c r="AC1139" s="130">
        <f t="shared" si="347"/>
        <v>109443.74999999999</v>
      </c>
      <c r="AD1139" s="169">
        <v>0.13469999999999999</v>
      </c>
      <c r="AE1139" s="154">
        <f t="shared" si="348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8"/>
        <v>35682787.057522126</v>
      </c>
      <c r="AJ1139" s="19">
        <f t="shared" si="329"/>
        <v>5833368.3789623892</v>
      </c>
      <c r="AK1139" s="20">
        <f t="shared" si="349"/>
        <v>0.16347849649632912</v>
      </c>
      <c r="AL1139" s="17"/>
      <c r="AM1139" s="17"/>
      <c r="AN1139" s="17"/>
      <c r="AO1139" s="17"/>
      <c r="AP1139" s="28" t="str">
        <f t="shared" si="350"/>
        <v>20226</v>
      </c>
      <c r="AQ1139" s="28" t="str">
        <f t="shared" si="351"/>
        <v>20226JPY</v>
      </c>
      <c r="AR1139" s="206" t="str">
        <f t="shared" si="352"/>
        <v>YAMAHA_Mounter</v>
      </c>
      <c r="AS1139" s="22">
        <f t="shared" si="353"/>
        <v>4</v>
      </c>
      <c r="AT1139" s="24" t="str">
        <f t="shared" si="354"/>
        <v>4-6 months</v>
      </c>
    </row>
    <row r="1140" spans="1:46" s="12" customFormat="1">
      <c r="A1140" s="33" t="str">
        <f t="shared" si="341"/>
        <v>FY 21/22</v>
      </c>
      <c r="B1140" s="152">
        <v>2022</v>
      </c>
      <c r="C1140" s="152">
        <v>2</v>
      </c>
      <c r="D1140" s="33" t="str">
        <f t="shared" si="342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43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44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55"/>
        <v>1</v>
      </c>
      <c r="Z1140" s="18">
        <f t="shared" si="345"/>
        <v>8000000</v>
      </c>
      <c r="AA1140" s="13">
        <v>6.25E-2</v>
      </c>
      <c r="AB1140" s="21">
        <f t="shared" si="346"/>
        <v>500000</v>
      </c>
      <c r="AC1140" s="130">
        <f t="shared" si="347"/>
        <v>67350</v>
      </c>
      <c r="AD1140" s="169">
        <v>0.13469999999999999</v>
      </c>
      <c r="AE1140" s="154">
        <f t="shared" si="348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8"/>
        <v>35682787.057522126</v>
      </c>
      <c r="AJ1140" s="19">
        <f t="shared" si="329"/>
        <v>5833368.3789623892</v>
      </c>
      <c r="AK1140" s="20">
        <f t="shared" si="349"/>
        <v>0.16347849649632912</v>
      </c>
      <c r="AL1140" s="17"/>
      <c r="AM1140" s="17"/>
      <c r="AN1140" s="17"/>
      <c r="AO1140" s="17"/>
      <c r="AP1140" s="28" t="str">
        <f t="shared" si="350"/>
        <v>20226</v>
      </c>
      <c r="AQ1140" s="28" t="str">
        <f t="shared" si="351"/>
        <v>20226JPY</v>
      </c>
      <c r="AR1140" s="206" t="str">
        <f t="shared" si="352"/>
        <v>YAMAHA_Mounter</v>
      </c>
      <c r="AS1140" s="22">
        <f t="shared" si="353"/>
        <v>4</v>
      </c>
      <c r="AT1140" s="24" t="str">
        <f t="shared" si="354"/>
        <v>4-6 months</v>
      </c>
    </row>
    <row r="1141" spans="1:46" s="12" customFormat="1">
      <c r="A1141" s="33" t="str">
        <f t="shared" si="341"/>
        <v>FY 22/23</v>
      </c>
      <c r="B1141" s="152">
        <v>2022</v>
      </c>
      <c r="C1141" s="152">
        <v>12</v>
      </c>
      <c r="D1141" s="33" t="str">
        <f t="shared" si="342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43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44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55"/>
        <v>1.13</v>
      </c>
      <c r="Z1141" s="18">
        <f t="shared" si="345"/>
        <v>415000</v>
      </c>
      <c r="AA1141" s="13">
        <v>1.1399999999999999</v>
      </c>
      <c r="AB1141" s="21">
        <f t="shared" si="346"/>
        <v>418672.5663716814</v>
      </c>
      <c r="AC1141" s="130">
        <f t="shared" si="347"/>
        <v>47728.672566371679</v>
      </c>
      <c r="AD1141" s="169">
        <v>0.114</v>
      </c>
      <c r="AE1141" s="154">
        <f t="shared" si="348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8"/>
        <v>30573205.452778768</v>
      </c>
      <c r="AJ1141" s="19">
        <f t="shared" si="329"/>
        <v>3790930.1683151261</v>
      </c>
      <c r="AK1141" s="20">
        <f t="shared" si="349"/>
        <v>0.12399518179964254</v>
      </c>
      <c r="AL1141" s="17"/>
      <c r="AM1141" s="17"/>
      <c r="AN1141" s="17"/>
      <c r="AO1141" s="17"/>
      <c r="AP1141" s="28" t="str">
        <f t="shared" si="350"/>
        <v>20234</v>
      </c>
      <c r="AQ1141" s="28" t="str">
        <f t="shared" si="351"/>
        <v>20234RMB</v>
      </c>
      <c r="AR1141" s="206" t="str">
        <f t="shared" si="352"/>
        <v>YAMAHA_Mounter</v>
      </c>
      <c r="AS1141" s="22">
        <f t="shared" si="353"/>
        <v>4</v>
      </c>
      <c r="AT1141" s="24" t="str">
        <f t="shared" si="354"/>
        <v>4-6 months</v>
      </c>
    </row>
    <row r="1142" spans="1:46" s="12" customFormat="1">
      <c r="A1142" s="33" t="str">
        <f t="shared" si="341"/>
        <v>FY 22/23</v>
      </c>
      <c r="B1142" s="152">
        <v>2022</v>
      </c>
      <c r="C1142" s="152">
        <v>12</v>
      </c>
      <c r="D1142" s="33" t="str">
        <f t="shared" si="342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43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44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55"/>
        <v>1.13</v>
      </c>
      <c r="Z1142" s="18">
        <f t="shared" si="345"/>
        <v>415000</v>
      </c>
      <c r="AA1142" s="13">
        <v>1.1399999999999999</v>
      </c>
      <c r="AB1142" s="21">
        <f t="shared" si="346"/>
        <v>418672.5663716814</v>
      </c>
      <c r="AC1142" s="130">
        <f t="shared" si="347"/>
        <v>47728.672566371679</v>
      </c>
      <c r="AD1142" s="169">
        <v>0.114</v>
      </c>
      <c r="AE1142" s="154">
        <f t="shared" si="348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8"/>
        <v>30573205.452778768</v>
      </c>
      <c r="AJ1142" s="19">
        <f t="shared" si="329"/>
        <v>3790930.1683151261</v>
      </c>
      <c r="AK1142" s="20">
        <f t="shared" si="349"/>
        <v>0.12399518179964254</v>
      </c>
      <c r="AL1142" s="17"/>
      <c r="AM1142" s="17"/>
      <c r="AN1142" s="17"/>
      <c r="AO1142" s="17"/>
      <c r="AP1142" s="28" t="str">
        <f t="shared" si="350"/>
        <v>20234</v>
      </c>
      <c r="AQ1142" s="28" t="str">
        <f t="shared" si="351"/>
        <v>20234RMB</v>
      </c>
      <c r="AR1142" s="206" t="str">
        <f t="shared" si="352"/>
        <v>YAMAHA_Mounter</v>
      </c>
      <c r="AS1142" s="22">
        <f t="shared" si="353"/>
        <v>4</v>
      </c>
      <c r="AT1142" s="24" t="str">
        <f t="shared" si="354"/>
        <v>4-6 months</v>
      </c>
    </row>
    <row r="1143" spans="1:46" s="12" customFormat="1">
      <c r="A1143" s="33" t="str">
        <f t="shared" si="341"/>
        <v>FY 24/25</v>
      </c>
      <c r="B1143" s="23">
        <v>2024</v>
      </c>
      <c r="C1143" s="152">
        <v>4</v>
      </c>
      <c r="D1143" s="33" t="str">
        <f t="shared" si="342"/>
        <v>Q1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6</v>
      </c>
      <c r="H1143" s="29"/>
      <c r="I1143" s="33" t="str">
        <f t="shared" si="343"/>
        <v>Q1</v>
      </c>
      <c r="J1143" s="188" t="s">
        <v>3408</v>
      </c>
      <c r="K1143" s="29" t="s">
        <v>415</v>
      </c>
      <c r="L1143" s="17" t="s">
        <v>3410</v>
      </c>
      <c r="M1143" s="22" t="s">
        <v>378</v>
      </c>
      <c r="N1143" s="22">
        <v>3</v>
      </c>
      <c r="O1143" s="22"/>
      <c r="P1143" s="33" t="str">
        <f t="shared" si="344"/>
        <v>MAIN UNIT</v>
      </c>
      <c r="Q1143" s="13" t="s">
        <v>62</v>
      </c>
      <c r="R1143" s="22" t="s">
        <v>2056</v>
      </c>
      <c r="S1143" s="22" t="s">
        <v>51</v>
      </c>
      <c r="T1143" s="22" t="s">
        <v>102</v>
      </c>
      <c r="U1143" s="22" t="s">
        <v>71</v>
      </c>
      <c r="V1143" s="22" t="s">
        <v>85</v>
      </c>
      <c r="W1143" s="22" t="s">
        <v>65</v>
      </c>
      <c r="X1143" s="30">
        <v>6566</v>
      </c>
      <c r="Y1143" s="31" t="str">
        <f>IF(W1143="","",IF(W1143="RMB","1.13", "1"))</f>
        <v>1.13</v>
      </c>
      <c r="Z1143" s="18">
        <f t="shared" si="345"/>
        <v>19698</v>
      </c>
      <c r="AA1143" s="22">
        <v>1.08</v>
      </c>
      <c r="AB1143" s="21">
        <f t="shared" si="346"/>
        <v>18826.407079646018</v>
      </c>
      <c r="AC1143" s="25">
        <f t="shared" si="347"/>
        <v>1816.7482831858408</v>
      </c>
      <c r="AD1143" s="170">
        <v>9.6500000000000002E-2</v>
      </c>
      <c r="AE1143" s="26">
        <f t="shared" si="348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8"/>
        <v>27308925.887079656</v>
      </c>
      <c r="AJ1143" s="27">
        <f t="shared" si="329"/>
        <v>3319273.860338124</v>
      </c>
      <c r="AK1143" s="28">
        <f t="shared" si="349"/>
        <v>0.12154538314919709</v>
      </c>
      <c r="AL1143" s="24"/>
      <c r="AM1143" s="24"/>
      <c r="AN1143" s="24"/>
      <c r="AO1143" s="24"/>
      <c r="AP1143" s="28" t="str">
        <f t="shared" si="350"/>
        <v>20246</v>
      </c>
      <c r="AQ1143" s="28" t="str">
        <f t="shared" si="351"/>
        <v>20246RMB</v>
      </c>
      <c r="AR1143" s="206" t="str">
        <f t="shared" si="352"/>
        <v>LOCAL SUPPLIER</v>
      </c>
      <c r="AS1143" s="22">
        <f t="shared" si="353"/>
        <v>2</v>
      </c>
      <c r="AT1143" s="24" t="str">
        <f t="shared" si="354"/>
        <v>0-3 months</v>
      </c>
    </row>
    <row r="1144" spans="1:46" s="12" customFormat="1">
      <c r="A1144" s="33" t="str">
        <f t="shared" si="341"/>
        <v>FY 24/25</v>
      </c>
      <c r="B1144" s="23">
        <v>2024</v>
      </c>
      <c r="C1144" s="152">
        <v>4</v>
      </c>
      <c r="D1144" s="33" t="str">
        <f t="shared" si="342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23">
        <v>2024</v>
      </c>
      <c r="G1144" s="23">
        <v>6</v>
      </c>
      <c r="H1144" s="29"/>
      <c r="I1144" s="33" t="str">
        <f t="shared" si="343"/>
        <v>Q1</v>
      </c>
      <c r="J1144" s="188" t="s">
        <v>3408</v>
      </c>
      <c r="K1144" s="29" t="s">
        <v>415</v>
      </c>
      <c r="L1144" s="17" t="s">
        <v>3411</v>
      </c>
      <c r="M1144" s="22" t="s">
        <v>378</v>
      </c>
      <c r="N1144" s="22">
        <v>2</v>
      </c>
      <c r="O1144" s="22"/>
      <c r="P1144" s="33" t="str">
        <f t="shared" si="344"/>
        <v>MAIN UNIT</v>
      </c>
      <c r="Q1144" s="13" t="s">
        <v>62</v>
      </c>
      <c r="R1144" s="22" t="s">
        <v>2056</v>
      </c>
      <c r="S1144" s="22" t="s">
        <v>51</v>
      </c>
      <c r="T1144" s="22" t="s">
        <v>102</v>
      </c>
      <c r="U1144" s="22" t="s">
        <v>71</v>
      </c>
      <c r="V1144" s="22" t="s">
        <v>85</v>
      </c>
      <c r="W1144" s="22" t="s">
        <v>65</v>
      </c>
      <c r="X1144" s="30">
        <v>9800</v>
      </c>
      <c r="Y1144" s="31" t="str">
        <f>IF(W1144="","",IF(W1144="RMB","1.13", "1"))</f>
        <v>1.13</v>
      </c>
      <c r="Z1144" s="18">
        <f t="shared" si="345"/>
        <v>19600</v>
      </c>
      <c r="AA1144" s="22">
        <v>1.08</v>
      </c>
      <c r="AB1144" s="21">
        <f t="shared" si="346"/>
        <v>18732.743362831861</v>
      </c>
      <c r="AC1144" s="25">
        <f t="shared" si="347"/>
        <v>1807.7097345132747</v>
      </c>
      <c r="AD1144" s="170">
        <v>9.6500000000000002E-2</v>
      </c>
      <c r="AE1144" s="26">
        <f t="shared" si="348"/>
        <v>0</v>
      </c>
      <c r="AF1144" s="26" t="str">
        <f>IF(AND(COUNTIFS($J$18:J1144,J1144)=1,AE1144=1),1,"")</f>
        <v/>
      </c>
      <c r="AG1144" s="26" t="str">
        <f>IF(C1144="","",IF(AND(COUNTIFS($J$18:J1144,J1144)=1,C1144&lt;&gt;""),1,""))</f>
        <v/>
      </c>
      <c r="AH1144" s="26" t="str">
        <f>IF(G1144="","",IF(AND(COUNTIFS($J$18:J1144,J1144)=1,G1144&lt;&gt;""),1,""))</f>
        <v/>
      </c>
      <c r="AI1144" s="27">
        <f t="shared" si="328"/>
        <v>27308925.887079656</v>
      </c>
      <c r="AJ1144" s="27">
        <f t="shared" si="329"/>
        <v>3319273.860338124</v>
      </c>
      <c r="AK1144" s="28">
        <f t="shared" si="349"/>
        <v>0.12154538314919709</v>
      </c>
      <c r="AL1144" s="24"/>
      <c r="AM1144" s="24"/>
      <c r="AN1144" s="24"/>
      <c r="AO1144" s="24"/>
      <c r="AP1144" s="28" t="str">
        <f t="shared" si="350"/>
        <v>20246</v>
      </c>
      <c r="AQ1144" s="28" t="str">
        <f t="shared" si="351"/>
        <v>20246RMB</v>
      </c>
      <c r="AR1144" s="206" t="str">
        <f t="shared" si="352"/>
        <v>LOCAL SUPPLIER</v>
      </c>
      <c r="AS1144" s="22">
        <f t="shared" si="353"/>
        <v>2</v>
      </c>
      <c r="AT1144" s="24" t="str">
        <f t="shared" si="354"/>
        <v>0-3 months</v>
      </c>
    </row>
    <row r="1145" spans="1:46" s="12" customFormat="1">
      <c r="A1145" s="33" t="str">
        <f t="shared" si="341"/>
        <v>FY 20/21</v>
      </c>
      <c r="B1145" s="152">
        <v>2020</v>
      </c>
      <c r="C1145" s="152">
        <v>7</v>
      </c>
      <c r="D1145" s="33" t="str">
        <f t="shared" si="342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43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44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5"/>
        <v>855000</v>
      </c>
      <c r="AA1145" s="13">
        <v>1.095</v>
      </c>
      <c r="AB1145" s="21">
        <f t="shared" si="346"/>
        <v>828517.69911504432</v>
      </c>
      <c r="AC1145" s="130">
        <f t="shared" si="347"/>
        <v>93373.944690265489</v>
      </c>
      <c r="AD1145" s="169">
        <v>0.11269999999999999</v>
      </c>
      <c r="AE1145" s="154">
        <f t="shared" si="348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8"/>
        <v>35384300.169380538</v>
      </c>
      <c r="AJ1145" s="19">
        <f t="shared" si="329"/>
        <v>5044538.8896988509</v>
      </c>
      <c r="AK1145" s="20">
        <f t="shared" si="349"/>
        <v>0.14256432557804533</v>
      </c>
      <c r="AL1145" s="17"/>
      <c r="AM1145" s="17"/>
      <c r="AN1145" s="17"/>
      <c r="AO1145" s="17"/>
      <c r="AP1145" s="28" t="str">
        <f t="shared" si="350"/>
        <v>20207</v>
      </c>
      <c r="AQ1145" s="28" t="str">
        <f t="shared" si="351"/>
        <v>20207RMB</v>
      </c>
      <c r="AR1145" s="206" t="str">
        <f t="shared" si="352"/>
        <v>YAMAHA_Mounter</v>
      </c>
      <c r="AS1145" s="22">
        <f t="shared" si="353"/>
        <v>0</v>
      </c>
      <c r="AT1145" s="24" t="str">
        <f t="shared" si="354"/>
        <v>0-3 months</v>
      </c>
    </row>
    <row r="1146" spans="1:46" s="12" customFormat="1">
      <c r="A1146" s="33" t="str">
        <f t="shared" si="341"/>
        <v>FY 19/20</v>
      </c>
      <c r="B1146" s="152">
        <v>2019</v>
      </c>
      <c r="C1146" s="152">
        <v>6</v>
      </c>
      <c r="D1146" s="33" t="str">
        <f t="shared" si="342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43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44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5"/>
        <v>542000</v>
      </c>
      <c r="AA1146" s="13">
        <v>1.135</v>
      </c>
      <c r="AB1146" s="21">
        <f t="shared" si="346"/>
        <v>544398.23008849565</v>
      </c>
      <c r="AC1146" s="130">
        <f t="shared" si="347"/>
        <v>60918.161946902663</v>
      </c>
      <c r="AD1146" s="169">
        <v>0.1119</v>
      </c>
      <c r="AE1146" s="154">
        <f t="shared" si="348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8"/>
        <v>31296887.037898075</v>
      </c>
      <c r="AJ1146" s="19">
        <f t="shared" si="329"/>
        <v>3588873.9502021763</v>
      </c>
      <c r="AK1146" s="20">
        <f t="shared" si="349"/>
        <v>0.11467191436184473</v>
      </c>
      <c r="AL1146" s="17"/>
      <c r="AM1146" s="17"/>
      <c r="AN1146" s="17"/>
      <c r="AO1146" s="17"/>
      <c r="AP1146" s="28" t="str">
        <f t="shared" si="350"/>
        <v>20196</v>
      </c>
      <c r="AQ1146" s="28" t="str">
        <f t="shared" si="351"/>
        <v>20196RMB</v>
      </c>
      <c r="AR1146" s="206" t="str">
        <f t="shared" si="352"/>
        <v>YAMAHA_Mounter</v>
      </c>
      <c r="AS1146" s="22">
        <f t="shared" si="353"/>
        <v>0</v>
      </c>
      <c r="AT1146" s="24" t="str">
        <f t="shared" si="354"/>
        <v>0-3 months</v>
      </c>
    </row>
    <row r="1147" spans="1:46" s="12" customFormat="1">
      <c r="A1147" s="33" t="str">
        <f t="shared" si="341"/>
        <v>FY 21/22</v>
      </c>
      <c r="B1147" s="152">
        <v>2021</v>
      </c>
      <c r="C1147" s="152">
        <v>4</v>
      </c>
      <c r="D1147" s="33" t="str">
        <f t="shared" si="342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43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44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5"/>
        <v>988600</v>
      </c>
      <c r="AA1147" s="13">
        <v>1.18</v>
      </c>
      <c r="AB1147" s="21">
        <f t="shared" si="346"/>
        <v>1032343.3628318585</v>
      </c>
      <c r="AC1147" s="130">
        <f t="shared" si="347"/>
        <v>146695.9918584071</v>
      </c>
      <c r="AD1147" s="169">
        <v>0.1421</v>
      </c>
      <c r="AE1147" s="154">
        <f t="shared" si="348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8"/>
        <v>43684091.636631854</v>
      </c>
      <c r="AJ1147" s="19">
        <f t="shared" si="329"/>
        <v>6483951.8242071122</v>
      </c>
      <c r="AK1147" s="20">
        <f t="shared" si="349"/>
        <v>0.14842821680123736</v>
      </c>
      <c r="AL1147" s="17"/>
      <c r="AM1147" s="17"/>
      <c r="AN1147" s="17"/>
      <c r="AO1147" s="17"/>
      <c r="AP1147" s="28" t="str">
        <f t="shared" si="350"/>
        <v>20214</v>
      </c>
      <c r="AQ1147" s="28" t="str">
        <f t="shared" si="351"/>
        <v>20214RMB</v>
      </c>
      <c r="AR1147" s="206" t="str">
        <f t="shared" si="352"/>
        <v>YAMAHA_Mounter</v>
      </c>
      <c r="AS1147" s="22">
        <f t="shared" si="353"/>
        <v>0</v>
      </c>
      <c r="AT1147" s="24" t="str">
        <f t="shared" si="354"/>
        <v>0-3 months</v>
      </c>
    </row>
    <row r="1148" spans="1:46" s="12" customFormat="1">
      <c r="A1148" s="33" t="str">
        <f t="shared" si="341"/>
        <v>FY 18/19</v>
      </c>
      <c r="B1148" s="152">
        <v>2018</v>
      </c>
      <c r="C1148" s="152">
        <v>6</v>
      </c>
      <c r="D1148" s="33" t="str">
        <f t="shared" si="342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43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44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5"/>
        <v>14448643</v>
      </c>
      <c r="AA1148" s="13">
        <v>7.0199999999999999E-2</v>
      </c>
      <c r="AB1148" s="21">
        <f t="shared" si="346"/>
        <v>1014294.7385999999</v>
      </c>
      <c r="AC1148" s="130">
        <f t="shared" si="347"/>
        <v>168170.06765987998</v>
      </c>
      <c r="AD1148" s="169">
        <v>0.1658</v>
      </c>
      <c r="AE1148" s="154">
        <f t="shared" si="348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8"/>
        <v>10786543.370020689</v>
      </c>
      <c r="AJ1148" s="19">
        <f t="shared" si="329"/>
        <v>1330367.5841569281</v>
      </c>
      <c r="AK1148" s="20">
        <f t="shared" si="349"/>
        <v>0.123335858255987</v>
      </c>
      <c r="AL1148" s="17"/>
      <c r="AM1148" s="17"/>
      <c r="AN1148" s="17"/>
      <c r="AO1148" s="17"/>
      <c r="AP1148" s="28" t="str">
        <f t="shared" si="350"/>
        <v>201810</v>
      </c>
      <c r="AQ1148" s="28" t="str">
        <f t="shared" si="351"/>
        <v>201810JPY</v>
      </c>
      <c r="AR1148" s="206" t="str">
        <f t="shared" si="352"/>
        <v>YAMAHA_Mounter</v>
      </c>
      <c r="AS1148" s="22">
        <f t="shared" si="353"/>
        <v>4</v>
      </c>
      <c r="AT1148" s="24" t="str">
        <f t="shared" si="354"/>
        <v>4-6 months</v>
      </c>
    </row>
    <row r="1149" spans="1:46" s="12" customFormat="1">
      <c r="A1149" s="33" t="str">
        <f t="shared" si="341"/>
        <v>FY 19/20</v>
      </c>
      <c r="B1149" s="152">
        <v>2019</v>
      </c>
      <c r="C1149" s="152">
        <v>10</v>
      </c>
      <c r="D1149" s="33" t="str">
        <f t="shared" si="342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43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44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5"/>
        <v>9100000</v>
      </c>
      <c r="AA1149" s="13">
        <v>7.4099999999999999E-2</v>
      </c>
      <c r="AB1149" s="21">
        <f t="shared" si="346"/>
        <v>674310</v>
      </c>
      <c r="AC1149" s="130">
        <f t="shared" si="347"/>
        <v>88064.885999999999</v>
      </c>
      <c r="AD1149" s="169">
        <v>0.13059999999999999</v>
      </c>
      <c r="AE1149" s="154">
        <f t="shared" si="348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8"/>
        <v>28647263.974455759</v>
      </c>
      <c r="AJ1149" s="19">
        <f t="shared" si="329"/>
        <v>3219855.6912513468</v>
      </c>
      <c r="AK1149" s="20">
        <f t="shared" si="349"/>
        <v>0.11239662168514358</v>
      </c>
      <c r="AL1149" s="17"/>
      <c r="AM1149" s="17"/>
      <c r="AN1149" s="17"/>
      <c r="AO1149" s="17"/>
      <c r="AP1149" s="28" t="str">
        <f t="shared" si="350"/>
        <v>201910</v>
      </c>
      <c r="AQ1149" s="28" t="str">
        <f t="shared" si="351"/>
        <v>201910JPY</v>
      </c>
      <c r="AR1149" s="206" t="str">
        <f t="shared" si="352"/>
        <v>YAMAHA_Mounter</v>
      </c>
      <c r="AS1149" s="22">
        <f t="shared" si="353"/>
        <v>0</v>
      </c>
      <c r="AT1149" s="24" t="str">
        <f t="shared" si="354"/>
        <v>0-3 months</v>
      </c>
    </row>
    <row r="1150" spans="1:46" s="12" customFormat="1">
      <c r="A1150" s="33" t="str">
        <f t="shared" si="341"/>
        <v>FY 20/21</v>
      </c>
      <c r="B1150" s="152">
        <v>2020</v>
      </c>
      <c r="C1150" s="152">
        <v>5</v>
      </c>
      <c r="D1150" s="33" t="str">
        <f t="shared" si="342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43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44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5"/>
        <v>900000</v>
      </c>
      <c r="AA1150" s="13">
        <v>1.095</v>
      </c>
      <c r="AB1150" s="21">
        <f t="shared" si="346"/>
        <v>872123.89380530978</v>
      </c>
      <c r="AC1150" s="130">
        <f t="shared" si="347"/>
        <v>100032.61061946902</v>
      </c>
      <c r="AD1150" s="169">
        <v>0.1147</v>
      </c>
      <c r="AE1150" s="154">
        <f t="shared" si="348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8"/>
        <v>28065694.408805311</v>
      </c>
      <c r="AJ1150" s="19">
        <f t="shared" si="329"/>
        <v>4157433.2906989697</v>
      </c>
      <c r="AK1150" s="20">
        <f t="shared" si="349"/>
        <v>0.14813220831602228</v>
      </c>
      <c r="AL1150" s="17"/>
      <c r="AM1150" s="17"/>
      <c r="AN1150" s="17"/>
      <c r="AO1150" s="17"/>
      <c r="AP1150" s="28" t="str">
        <f t="shared" si="350"/>
        <v>20205</v>
      </c>
      <c r="AQ1150" s="28" t="str">
        <f t="shared" si="351"/>
        <v>20205RMB</v>
      </c>
      <c r="AR1150" s="206" t="str">
        <f t="shared" si="352"/>
        <v>YAMAHA_Mounter</v>
      </c>
      <c r="AS1150" s="22">
        <f t="shared" si="353"/>
        <v>0</v>
      </c>
      <c r="AT1150" s="24" t="str">
        <f t="shared" si="354"/>
        <v>0-3 months</v>
      </c>
    </row>
    <row r="1151" spans="1:46" s="12" customFormat="1">
      <c r="A1151" s="33" t="str">
        <f t="shared" si="341"/>
        <v>FY 20/21</v>
      </c>
      <c r="B1151" s="152">
        <v>2020</v>
      </c>
      <c r="C1151" s="152">
        <v>5</v>
      </c>
      <c r="D1151" s="33" t="str">
        <f t="shared" si="342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43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44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5"/>
        <v>620000</v>
      </c>
      <c r="AA1151" s="13">
        <v>1.095</v>
      </c>
      <c r="AB1151" s="21">
        <f t="shared" si="346"/>
        <v>600796.4601769913</v>
      </c>
      <c r="AC1151" s="130">
        <f t="shared" si="347"/>
        <v>68911.353982300905</v>
      </c>
      <c r="AD1151" s="169">
        <v>0.1147</v>
      </c>
      <c r="AE1151" s="154">
        <f t="shared" si="348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8"/>
        <v>28065694.408805311</v>
      </c>
      <c r="AJ1151" s="19">
        <f t="shared" si="329"/>
        <v>4157433.2906989697</v>
      </c>
      <c r="AK1151" s="20">
        <f t="shared" si="349"/>
        <v>0.14813220831602228</v>
      </c>
      <c r="AL1151" s="17"/>
      <c r="AM1151" s="17"/>
      <c r="AN1151" s="17"/>
      <c r="AO1151" s="17"/>
      <c r="AP1151" s="28" t="str">
        <f t="shared" si="350"/>
        <v>20205</v>
      </c>
      <c r="AQ1151" s="28" t="str">
        <f t="shared" si="351"/>
        <v>20205RMB</v>
      </c>
      <c r="AR1151" s="206" t="str">
        <f t="shared" si="352"/>
        <v>YAMAHA_Mounter</v>
      </c>
      <c r="AS1151" s="22">
        <f t="shared" si="353"/>
        <v>0</v>
      </c>
      <c r="AT1151" s="24" t="str">
        <f t="shared" si="354"/>
        <v>0-3 months</v>
      </c>
    </row>
    <row r="1152" spans="1:46" s="12" customFormat="1">
      <c r="A1152" s="33" t="str">
        <f t="shared" si="341"/>
        <v>FY 20/21</v>
      </c>
      <c r="B1152" s="152">
        <v>2020</v>
      </c>
      <c r="C1152" s="152">
        <v>9</v>
      </c>
      <c r="D1152" s="33" t="str">
        <f t="shared" si="342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43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44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56">IF(W1152="RMB","1.13", "1")</f>
        <v>1.13</v>
      </c>
      <c r="Z1152" s="18">
        <f t="shared" ref="Z1152:Z1183" si="357">IF(X1152="","",X1152*MAX(O1152,N1152))</f>
        <v>518000</v>
      </c>
      <c r="AA1152" s="13">
        <v>1.155</v>
      </c>
      <c r="AB1152" s="21">
        <f t="shared" si="346"/>
        <v>529460.17699115048</v>
      </c>
      <c r="AC1152" s="130">
        <f t="shared" si="347"/>
        <v>85296.034513274339</v>
      </c>
      <c r="AD1152" s="169">
        <v>0.16109999999999999</v>
      </c>
      <c r="AE1152" s="154">
        <f t="shared" si="348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8"/>
        <v>44078731.611185849</v>
      </c>
      <c r="AJ1152" s="19">
        <f t="shared" si="329"/>
        <v>5508173.2163771465</v>
      </c>
      <c r="AK1152" s="20">
        <f t="shared" si="349"/>
        <v>0.12496215328889679</v>
      </c>
      <c r="AL1152" s="17"/>
      <c r="AM1152" s="17"/>
      <c r="AN1152" s="17"/>
      <c r="AO1152" s="17"/>
      <c r="AP1152" s="28" t="str">
        <f t="shared" si="350"/>
        <v>202011</v>
      </c>
      <c r="AQ1152" s="28" t="str">
        <f t="shared" si="351"/>
        <v>202011RMB</v>
      </c>
      <c r="AR1152" s="206" t="str">
        <f t="shared" si="352"/>
        <v>YAMAHA_Mounter</v>
      </c>
      <c r="AS1152" s="22">
        <f t="shared" si="353"/>
        <v>2</v>
      </c>
      <c r="AT1152" s="24" t="str">
        <f t="shared" si="354"/>
        <v>0-3 months</v>
      </c>
    </row>
    <row r="1153" spans="1:46" s="12" customFormat="1">
      <c r="A1153" s="33" t="str">
        <f t="shared" si="341"/>
        <v>FY 20/21</v>
      </c>
      <c r="B1153" s="152">
        <v>2021</v>
      </c>
      <c r="C1153" s="152">
        <v>1</v>
      </c>
      <c r="D1153" s="33" t="str">
        <f t="shared" si="342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43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44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56"/>
        <v>1</v>
      </c>
      <c r="Z1153" s="18">
        <f t="shared" si="357"/>
        <v>12605000</v>
      </c>
      <c r="AA1153" s="13">
        <v>7.17E-2</v>
      </c>
      <c r="AB1153" s="21">
        <f t="shared" si="346"/>
        <v>903778.5</v>
      </c>
      <c r="AC1153" s="130">
        <f t="shared" si="347"/>
        <v>99777.146399999998</v>
      </c>
      <c r="AD1153" s="169">
        <v>0.1104</v>
      </c>
      <c r="AE1153" s="154">
        <f t="shared" si="348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8"/>
        <v>43684091.636631854</v>
      </c>
      <c r="AJ1153" s="19">
        <f t="shared" si="329"/>
        <v>6483951.8242071122</v>
      </c>
      <c r="AK1153" s="20">
        <f t="shared" si="349"/>
        <v>0.14842821680123736</v>
      </c>
      <c r="AL1153" s="17"/>
      <c r="AM1153" s="17"/>
      <c r="AN1153" s="17"/>
      <c r="AO1153" s="17"/>
      <c r="AP1153" s="28" t="str">
        <f t="shared" si="350"/>
        <v>20214</v>
      </c>
      <c r="AQ1153" s="28" t="str">
        <f t="shared" si="351"/>
        <v>20214JPY</v>
      </c>
      <c r="AR1153" s="206" t="str">
        <f t="shared" si="352"/>
        <v>YAMAHA_Mounter</v>
      </c>
      <c r="AS1153" s="22">
        <f t="shared" si="353"/>
        <v>3</v>
      </c>
      <c r="AT1153" s="24" t="str">
        <f t="shared" si="354"/>
        <v>0-3 months</v>
      </c>
    </row>
    <row r="1154" spans="1:46" s="12" customFormat="1">
      <c r="A1154" s="33" t="str">
        <f t="shared" si="341"/>
        <v>FY 21/22</v>
      </c>
      <c r="B1154" s="152">
        <v>2021</v>
      </c>
      <c r="C1154" s="152">
        <v>4</v>
      </c>
      <c r="D1154" s="33" t="str">
        <f t="shared" si="342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43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44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56"/>
        <v>1</v>
      </c>
      <c r="Z1154" s="18">
        <f t="shared" si="357"/>
        <v>8590000</v>
      </c>
      <c r="AA1154" s="13">
        <v>6.9199999999999998E-2</v>
      </c>
      <c r="AB1154" s="21">
        <f t="shared" si="346"/>
        <v>594428</v>
      </c>
      <c r="AC1154" s="130">
        <f t="shared" si="347"/>
        <v>60631.655999999995</v>
      </c>
      <c r="AD1154" s="169">
        <v>0.10199999999999999</v>
      </c>
      <c r="AE1154" s="154">
        <f t="shared" si="348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58">IF(P1154="C66 SERVICE","",SUMIFS(AB:AB,F:F,F1154,G:G,G1154,E:E,E1154))</f>
        <v>26407088.359292038</v>
      </c>
      <c r="AJ1154" s="19">
        <f t="shared" ref="AJ1154:AJ1217" si="359">IF(P1154="C66 SERVICE","",SUMIFS(AC:AC,F:F,F1154,G:G,G1154,E:E,E1154))</f>
        <v>3424510.6998470789</v>
      </c>
      <c r="AK1154" s="20">
        <f t="shared" si="349"/>
        <v>0.12968149510667554</v>
      </c>
      <c r="AL1154" s="17"/>
      <c r="AM1154" s="17"/>
      <c r="AN1154" s="17"/>
      <c r="AO1154" s="17"/>
      <c r="AP1154" s="28" t="str">
        <f t="shared" si="350"/>
        <v>20221</v>
      </c>
      <c r="AQ1154" s="28" t="str">
        <f t="shared" si="351"/>
        <v>20221JPY</v>
      </c>
      <c r="AR1154" s="206" t="str">
        <f t="shared" si="352"/>
        <v>YAMAHA_Mounter</v>
      </c>
      <c r="AS1154" s="22">
        <f t="shared" si="353"/>
        <v>9</v>
      </c>
      <c r="AT1154" s="24" t="str">
        <f t="shared" si="354"/>
        <v>&gt; 6 months</v>
      </c>
    </row>
    <row r="1155" spans="1:46" s="12" customFormat="1">
      <c r="A1155" s="33" t="str">
        <f t="shared" si="341"/>
        <v>FY 22/23</v>
      </c>
      <c r="B1155" s="152">
        <v>2022</v>
      </c>
      <c r="C1155" s="152">
        <v>5</v>
      </c>
      <c r="D1155" s="33" t="str">
        <f t="shared" si="342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43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44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56"/>
        <v>1</v>
      </c>
      <c r="Z1155" s="18">
        <f t="shared" si="357"/>
        <v>14000000</v>
      </c>
      <c r="AA1155" s="13">
        <v>5.96E-2</v>
      </c>
      <c r="AB1155" s="21">
        <f t="shared" si="346"/>
        <v>834400</v>
      </c>
      <c r="AC1155" s="130">
        <f t="shared" si="347"/>
        <v>110724.88</v>
      </c>
      <c r="AD1155" s="169">
        <v>0.13270000000000001</v>
      </c>
      <c r="AE1155" s="154">
        <f t="shared" si="348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58"/>
        <v>35073581.838938057</v>
      </c>
      <c r="AJ1155" s="19">
        <f t="shared" si="359"/>
        <v>5034113.9728989396</v>
      </c>
      <c r="AK1155" s="20">
        <f t="shared" si="349"/>
        <v>0.14353007902118958</v>
      </c>
      <c r="AL1155" s="17"/>
      <c r="AM1155" s="17"/>
      <c r="AN1155" s="17"/>
      <c r="AO1155" s="17"/>
      <c r="AP1155" s="28" t="str">
        <f t="shared" si="350"/>
        <v>20228</v>
      </c>
      <c r="AQ1155" s="28" t="str">
        <f t="shared" si="351"/>
        <v>20228JPY</v>
      </c>
      <c r="AR1155" s="206" t="str">
        <f t="shared" si="352"/>
        <v>YAMAHA_Mounter</v>
      </c>
      <c r="AS1155" s="22">
        <f t="shared" si="353"/>
        <v>3</v>
      </c>
      <c r="AT1155" s="24" t="str">
        <f t="shared" si="354"/>
        <v>0-3 months</v>
      </c>
    </row>
    <row r="1156" spans="1:46" s="12" customFormat="1">
      <c r="A1156" s="33" t="str">
        <f t="shared" si="341"/>
        <v>FY 22/23</v>
      </c>
      <c r="B1156" s="152">
        <v>2022</v>
      </c>
      <c r="C1156" s="152">
        <v>5</v>
      </c>
      <c r="D1156" s="33" t="str">
        <f t="shared" si="342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43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44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56"/>
        <v>1</v>
      </c>
      <c r="Z1156" s="18">
        <f t="shared" si="357"/>
        <v>10000000</v>
      </c>
      <c r="AA1156" s="13">
        <v>5.96E-2</v>
      </c>
      <c r="AB1156" s="21">
        <f t="shared" si="346"/>
        <v>596000</v>
      </c>
      <c r="AC1156" s="130">
        <f t="shared" si="347"/>
        <v>79089.200000000012</v>
      </c>
      <c r="AD1156" s="169">
        <v>0.13270000000000001</v>
      </c>
      <c r="AE1156" s="154">
        <f t="shared" si="348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58"/>
        <v>35073581.838938057</v>
      </c>
      <c r="AJ1156" s="19">
        <f t="shared" si="359"/>
        <v>5034113.9728989396</v>
      </c>
      <c r="AK1156" s="20">
        <f t="shared" si="349"/>
        <v>0.14353007902118958</v>
      </c>
      <c r="AL1156" s="17"/>
      <c r="AM1156" s="17"/>
      <c r="AN1156" s="17"/>
      <c r="AO1156" s="17"/>
      <c r="AP1156" s="28" t="str">
        <f t="shared" si="350"/>
        <v>20228</v>
      </c>
      <c r="AQ1156" s="28" t="str">
        <f t="shared" si="351"/>
        <v>20228JPY</v>
      </c>
      <c r="AR1156" s="206" t="str">
        <f t="shared" si="352"/>
        <v>YAMAHA_Mounter</v>
      </c>
      <c r="AS1156" s="22">
        <f t="shared" si="353"/>
        <v>3</v>
      </c>
      <c r="AT1156" s="24" t="str">
        <f t="shared" si="354"/>
        <v>0-3 months</v>
      </c>
    </row>
    <row r="1157" spans="1:46" s="12" customFormat="1">
      <c r="A1157" s="33" t="str">
        <f t="shared" si="341"/>
        <v>FY 22/23</v>
      </c>
      <c r="B1157" s="152">
        <v>2023</v>
      </c>
      <c r="C1157" s="152">
        <v>1</v>
      </c>
      <c r="D1157" s="33" t="str">
        <f t="shared" si="342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43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44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56"/>
        <v>1.13</v>
      </c>
      <c r="Z1157" s="18">
        <f t="shared" si="357"/>
        <v>458000</v>
      </c>
      <c r="AA1157" s="13">
        <v>1.1299999999999999</v>
      </c>
      <c r="AB1157" s="21">
        <f t="shared" si="346"/>
        <v>458000</v>
      </c>
      <c r="AC1157" s="130">
        <f t="shared" si="347"/>
        <v>54593.599999999999</v>
      </c>
      <c r="AD1157" s="169">
        <v>0.1192</v>
      </c>
      <c r="AE1157" s="154">
        <f t="shared" si="348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58"/>
        <v>33543315.897345133</v>
      </c>
      <c r="AJ1157" s="19">
        <f t="shared" si="359"/>
        <v>4706169.3252984071</v>
      </c>
      <c r="AK1157" s="20">
        <f t="shared" si="349"/>
        <v>0.14030125523967318</v>
      </c>
      <c r="AL1157" s="17"/>
      <c r="AM1157" s="17"/>
      <c r="AN1157" s="17"/>
      <c r="AO1157" s="17"/>
      <c r="AP1157" s="28" t="str">
        <f t="shared" si="350"/>
        <v>20233</v>
      </c>
      <c r="AQ1157" s="28" t="str">
        <f t="shared" si="351"/>
        <v>20233RMB</v>
      </c>
      <c r="AR1157" s="206" t="str">
        <f t="shared" si="352"/>
        <v>YAMAHA_Mounter</v>
      </c>
      <c r="AS1157" s="22">
        <f t="shared" si="353"/>
        <v>2</v>
      </c>
      <c r="AT1157" s="24" t="str">
        <f t="shared" si="354"/>
        <v>0-3 months</v>
      </c>
    </row>
    <row r="1158" spans="1:46" s="12" customFormat="1">
      <c r="A1158" s="33" t="str">
        <f t="shared" si="341"/>
        <v>FY 23/24</v>
      </c>
      <c r="B1158" s="152">
        <v>2023</v>
      </c>
      <c r="C1158" s="152">
        <v>9</v>
      </c>
      <c r="D1158" s="33" t="str">
        <f t="shared" si="342"/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si="343"/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si="344"/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56"/>
        <v>1.13</v>
      </c>
      <c r="Z1158" s="18">
        <f t="shared" si="357"/>
        <v>670000</v>
      </c>
      <c r="AA1158" s="13">
        <v>1.077</v>
      </c>
      <c r="AB1158" s="21">
        <f t="shared" si="346"/>
        <v>638575.22123893816</v>
      </c>
      <c r="AC1158" s="130">
        <f t="shared" si="347"/>
        <v>50511.30000000001</v>
      </c>
      <c r="AD1158" s="169">
        <v>7.9100000000000004E-2</v>
      </c>
      <c r="AE1158" s="154">
        <f t="shared" si="348"/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58"/>
        <v>26078226.463097349</v>
      </c>
      <c r="AJ1158" s="19">
        <f t="shared" si="359"/>
        <v>3137870.4427774516</v>
      </c>
      <c r="AK1158" s="20">
        <f t="shared" si="349"/>
        <v>0.12032530077218917</v>
      </c>
      <c r="AL1158" s="17"/>
      <c r="AM1158" s="17"/>
      <c r="AN1158" s="17"/>
      <c r="AO1158" s="17"/>
      <c r="AP1158" s="28" t="str">
        <f t="shared" si="350"/>
        <v>20239</v>
      </c>
      <c r="AQ1158" s="28" t="str">
        <f t="shared" si="351"/>
        <v>20239RMB</v>
      </c>
      <c r="AR1158" s="206" t="str">
        <f t="shared" si="352"/>
        <v>YAMAHA_Mounter</v>
      </c>
      <c r="AS1158" s="22">
        <f t="shared" si="353"/>
        <v>0</v>
      </c>
      <c r="AT1158" s="24" t="str">
        <f t="shared" si="354"/>
        <v>0-3 months</v>
      </c>
    </row>
    <row r="1159" spans="1:46" s="12" customFormat="1">
      <c r="A1159" s="33" t="str">
        <f t="shared" si="341"/>
        <v>FY 19/20</v>
      </c>
      <c r="B1159" s="152">
        <v>2019</v>
      </c>
      <c r="C1159" s="152">
        <v>9</v>
      </c>
      <c r="D1159" s="33" t="str">
        <f t="shared" si="342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3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44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57"/>
        <v>1112500</v>
      </c>
      <c r="AA1159" s="13">
        <v>1.095</v>
      </c>
      <c r="AB1159" s="21">
        <f t="shared" si="346"/>
        <v>1078042.0353982302</v>
      </c>
      <c r="AC1159" s="130">
        <f t="shared" si="347"/>
        <v>131521.12831858409</v>
      </c>
      <c r="AD1159" s="169">
        <v>0.122</v>
      </c>
      <c r="AE1159" s="154">
        <f t="shared" si="348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8"/>
        <v>37599388.802345134</v>
      </c>
      <c r="AJ1159" s="19">
        <f t="shared" si="359"/>
        <v>4866784.3630338367</v>
      </c>
      <c r="AK1159" s="20">
        <f t="shared" si="349"/>
        <v>0.12943785838163113</v>
      </c>
      <c r="AL1159" s="17"/>
      <c r="AM1159" s="17"/>
      <c r="AN1159" s="17"/>
      <c r="AO1159" s="17"/>
      <c r="AP1159" s="28" t="str">
        <f t="shared" si="350"/>
        <v>20199</v>
      </c>
      <c r="AQ1159" s="28" t="str">
        <f t="shared" si="351"/>
        <v>20199RMB</v>
      </c>
      <c r="AR1159" s="206" t="str">
        <f t="shared" si="352"/>
        <v>YAMAHA_Mounter</v>
      </c>
      <c r="AS1159" s="22">
        <f t="shared" si="353"/>
        <v>0</v>
      </c>
      <c r="AT1159" s="24" t="str">
        <f t="shared" si="354"/>
        <v>0-3 months</v>
      </c>
    </row>
    <row r="1160" spans="1:46" s="12" customFormat="1">
      <c r="A1160" s="33" t="str">
        <f t="shared" si="341"/>
        <v>FY 19/20</v>
      </c>
      <c r="B1160" s="152">
        <v>2019</v>
      </c>
      <c r="C1160" s="152">
        <v>9</v>
      </c>
      <c r="D1160" s="33" t="str">
        <f t="shared" si="342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3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44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57"/>
        <v>1112500</v>
      </c>
      <c r="AA1160" s="13">
        <v>1.095</v>
      </c>
      <c r="AB1160" s="21">
        <f t="shared" si="346"/>
        <v>1078042.0353982302</v>
      </c>
      <c r="AC1160" s="130">
        <f t="shared" si="347"/>
        <v>131521.12831858409</v>
      </c>
      <c r="AD1160" s="169">
        <v>0.122</v>
      </c>
      <c r="AE1160" s="154">
        <f t="shared" si="348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8"/>
        <v>37599388.802345134</v>
      </c>
      <c r="AJ1160" s="19">
        <f t="shared" si="359"/>
        <v>4866784.3630338367</v>
      </c>
      <c r="AK1160" s="20">
        <f t="shared" si="349"/>
        <v>0.12943785838163113</v>
      </c>
      <c r="AL1160" s="17"/>
      <c r="AM1160" s="17"/>
      <c r="AN1160" s="17"/>
      <c r="AO1160" s="17"/>
      <c r="AP1160" s="28" t="str">
        <f t="shared" si="350"/>
        <v>20199</v>
      </c>
      <c r="AQ1160" s="28" t="str">
        <f t="shared" si="351"/>
        <v>20199RMB</v>
      </c>
      <c r="AR1160" s="206" t="str">
        <f t="shared" si="352"/>
        <v>YAMAHA_Mounter</v>
      </c>
      <c r="AS1160" s="22">
        <f t="shared" si="353"/>
        <v>0</v>
      </c>
      <c r="AT1160" s="24" t="str">
        <f t="shared" si="354"/>
        <v>0-3 months</v>
      </c>
    </row>
    <row r="1161" spans="1:46" s="12" customFormat="1">
      <c r="A1161" s="33" t="str">
        <f t="shared" si="341"/>
        <v>FY 21/22</v>
      </c>
      <c r="B1161" s="152">
        <v>2021</v>
      </c>
      <c r="C1161" s="152">
        <v>4</v>
      </c>
      <c r="D1161" s="33" t="str">
        <f t="shared" si="342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3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44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57"/>
        <v>12500000</v>
      </c>
      <c r="AA1161" s="13">
        <v>7.2800000000000004E-2</v>
      </c>
      <c r="AB1161" s="21">
        <f t="shared" si="346"/>
        <v>910000</v>
      </c>
      <c r="AC1161" s="130">
        <f t="shared" si="347"/>
        <v>145600</v>
      </c>
      <c r="AD1161" s="169">
        <v>0.16</v>
      </c>
      <c r="AE1161" s="154">
        <f t="shared" si="348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8"/>
        <v>63006605.696460173</v>
      </c>
      <c r="AJ1161" s="19">
        <f t="shared" si="359"/>
        <v>8897485.660753984</v>
      </c>
      <c r="AK1161" s="20">
        <f t="shared" si="349"/>
        <v>0.141215124388995</v>
      </c>
      <c r="AL1161" s="17"/>
      <c r="AM1161" s="17"/>
      <c r="AN1161" s="17"/>
      <c r="AO1161" s="17"/>
      <c r="AP1161" s="28" t="str">
        <f t="shared" si="350"/>
        <v>20215</v>
      </c>
      <c r="AQ1161" s="28" t="str">
        <f t="shared" si="351"/>
        <v>20215JPY</v>
      </c>
      <c r="AR1161" s="206" t="str">
        <f t="shared" si="352"/>
        <v>YAMAHA_Mounter</v>
      </c>
      <c r="AS1161" s="22">
        <f t="shared" si="353"/>
        <v>1</v>
      </c>
      <c r="AT1161" s="24" t="str">
        <f t="shared" si="354"/>
        <v>0-3 months</v>
      </c>
    </row>
    <row r="1162" spans="1:46" s="12" customFormat="1">
      <c r="A1162" s="33" t="str">
        <f t="shared" si="341"/>
        <v>FY 21/22</v>
      </c>
      <c r="B1162" s="152">
        <v>2021</v>
      </c>
      <c r="C1162" s="152">
        <v>4</v>
      </c>
      <c r="D1162" s="33" t="str">
        <f t="shared" si="342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3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44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57"/>
        <v>8353000</v>
      </c>
      <c r="AA1162" s="13">
        <v>7.2800000000000004E-2</v>
      </c>
      <c r="AB1162" s="21">
        <f t="shared" si="346"/>
        <v>608098.4</v>
      </c>
      <c r="AC1162" s="130">
        <f t="shared" si="347"/>
        <v>97295.744000000006</v>
      </c>
      <c r="AD1162" s="169">
        <v>0.16</v>
      </c>
      <c r="AE1162" s="154">
        <f t="shared" si="348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8"/>
        <v>63006605.696460173</v>
      </c>
      <c r="AJ1162" s="19">
        <f t="shared" si="359"/>
        <v>8897485.660753984</v>
      </c>
      <c r="AK1162" s="20">
        <f t="shared" si="349"/>
        <v>0.141215124388995</v>
      </c>
      <c r="AL1162" s="17"/>
      <c r="AM1162" s="17"/>
      <c r="AN1162" s="17"/>
      <c r="AO1162" s="17"/>
      <c r="AP1162" s="28" t="str">
        <f t="shared" si="350"/>
        <v>20215</v>
      </c>
      <c r="AQ1162" s="28" t="str">
        <f t="shared" si="351"/>
        <v>20215JPY</v>
      </c>
      <c r="AR1162" s="206" t="str">
        <f t="shared" si="352"/>
        <v>YAMAHA_Mounter</v>
      </c>
      <c r="AS1162" s="22">
        <f t="shared" si="353"/>
        <v>1</v>
      </c>
      <c r="AT1162" s="24" t="str">
        <f t="shared" si="354"/>
        <v>0-3 months</v>
      </c>
    </row>
    <row r="1163" spans="1:46" s="12" customFormat="1">
      <c r="A1163" s="33" t="str">
        <f t="shared" si="341"/>
        <v>FY 21/22</v>
      </c>
      <c r="B1163" s="152">
        <v>2021</v>
      </c>
      <c r="C1163" s="152">
        <v>4</v>
      </c>
      <c r="D1163" s="33" t="str">
        <f t="shared" si="342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3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44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57"/>
        <v>8353000</v>
      </c>
      <c r="AA1163" s="13">
        <v>7.2800000000000004E-2</v>
      </c>
      <c r="AB1163" s="21">
        <f t="shared" si="346"/>
        <v>608098.4</v>
      </c>
      <c r="AC1163" s="130">
        <f t="shared" si="347"/>
        <v>97295.744000000006</v>
      </c>
      <c r="AD1163" s="169">
        <v>0.16</v>
      </c>
      <c r="AE1163" s="154">
        <f t="shared" si="348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8"/>
        <v>63006605.696460173</v>
      </c>
      <c r="AJ1163" s="19">
        <f t="shared" si="359"/>
        <v>8897485.660753984</v>
      </c>
      <c r="AK1163" s="20">
        <f t="shared" si="349"/>
        <v>0.141215124388995</v>
      </c>
      <c r="AL1163" s="17"/>
      <c r="AM1163" s="17"/>
      <c r="AN1163" s="17"/>
      <c r="AO1163" s="17"/>
      <c r="AP1163" s="28" t="str">
        <f t="shared" si="350"/>
        <v>20215</v>
      </c>
      <c r="AQ1163" s="28" t="str">
        <f t="shared" si="351"/>
        <v>20215JPY</v>
      </c>
      <c r="AR1163" s="206" t="str">
        <f t="shared" si="352"/>
        <v>YAMAHA_Mounter</v>
      </c>
      <c r="AS1163" s="22">
        <f t="shared" si="353"/>
        <v>1</v>
      </c>
      <c r="AT1163" s="24" t="str">
        <f t="shared" si="354"/>
        <v>0-3 months</v>
      </c>
    </row>
    <row r="1164" spans="1:46" s="12" customFormat="1">
      <c r="A1164" s="33" t="str">
        <f t="shared" si="341"/>
        <v>FY 19/20</v>
      </c>
      <c r="B1164" s="152">
        <v>2019</v>
      </c>
      <c r="C1164" s="152">
        <v>11</v>
      </c>
      <c r="D1164" s="33" t="str">
        <f t="shared" si="342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3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44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57"/>
        <v>12600000</v>
      </c>
      <c r="AA1164" s="13">
        <v>7.2900000000000006E-2</v>
      </c>
      <c r="AB1164" s="21">
        <f t="shared" si="346"/>
        <v>918540.00000000012</v>
      </c>
      <c r="AC1164" s="130">
        <f t="shared" si="347"/>
        <v>128687.45400000001</v>
      </c>
      <c r="AD1164" s="169">
        <v>0.1401</v>
      </c>
      <c r="AE1164" s="154">
        <f t="shared" si="348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8"/>
        <v>27318180.088495575</v>
      </c>
      <c r="AJ1164" s="19">
        <f t="shared" si="359"/>
        <v>3014099.212353982</v>
      </c>
      <c r="AK1164" s="20">
        <f t="shared" si="349"/>
        <v>0.11033308963444827</v>
      </c>
      <c r="AL1164" s="17"/>
      <c r="AM1164" s="17"/>
      <c r="AN1164" s="17"/>
      <c r="AO1164" s="17"/>
      <c r="AP1164" s="28" t="str">
        <f t="shared" si="350"/>
        <v>201912</v>
      </c>
      <c r="AQ1164" s="28" t="str">
        <f t="shared" si="351"/>
        <v>201912JPY</v>
      </c>
      <c r="AR1164" s="206" t="str">
        <f t="shared" si="352"/>
        <v>YAMAHA_Mounter</v>
      </c>
      <c r="AS1164" s="22">
        <f t="shared" si="353"/>
        <v>1</v>
      </c>
      <c r="AT1164" s="24" t="str">
        <f t="shared" si="354"/>
        <v>0-3 months</v>
      </c>
    </row>
    <row r="1165" spans="1:46" s="12" customFormat="1">
      <c r="A1165" s="33" t="str">
        <f t="shared" si="341"/>
        <v>FY 20/21</v>
      </c>
      <c r="B1165" s="152">
        <v>2020</v>
      </c>
      <c r="C1165" s="152">
        <v>10</v>
      </c>
      <c r="D1165" s="33" t="str">
        <f t="shared" si="342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3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44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0">IF(W1165="RMB","1.13", "1")</f>
        <v>1</v>
      </c>
      <c r="Z1165" s="18">
        <f t="shared" si="357"/>
        <v>8700000</v>
      </c>
      <c r="AA1165" s="13">
        <v>7.6100000000000001E-2</v>
      </c>
      <c r="AB1165" s="21">
        <f t="shared" si="346"/>
        <v>662070</v>
      </c>
      <c r="AC1165" s="130">
        <f t="shared" si="347"/>
        <v>106063.614</v>
      </c>
      <c r="AD1165" s="169">
        <v>0.16020000000000001</v>
      </c>
      <c r="AE1165" s="154">
        <f t="shared" si="348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8"/>
        <v>44078731.611185849</v>
      </c>
      <c r="AJ1165" s="19">
        <f t="shared" si="359"/>
        <v>5508173.2163771465</v>
      </c>
      <c r="AK1165" s="20">
        <f t="shared" si="349"/>
        <v>0.12496215328889679</v>
      </c>
      <c r="AL1165" s="17"/>
      <c r="AM1165" s="17"/>
      <c r="AN1165" s="17"/>
      <c r="AO1165" s="17"/>
      <c r="AP1165" s="28" t="str">
        <f t="shared" si="350"/>
        <v>202011</v>
      </c>
      <c r="AQ1165" s="28" t="str">
        <f t="shared" si="351"/>
        <v>202011JPY</v>
      </c>
      <c r="AR1165" s="206" t="str">
        <f t="shared" si="352"/>
        <v>YAMAHA_Mounter</v>
      </c>
      <c r="AS1165" s="22">
        <f t="shared" si="353"/>
        <v>1</v>
      </c>
      <c r="AT1165" s="24" t="str">
        <f t="shared" si="354"/>
        <v>0-3 months</v>
      </c>
    </row>
    <row r="1166" spans="1:46" s="12" customFormat="1">
      <c r="A1166" s="33" t="str">
        <f t="shared" si="341"/>
        <v>FY 22/23</v>
      </c>
      <c r="B1166" s="152">
        <v>2023</v>
      </c>
      <c r="C1166" s="152">
        <v>1</v>
      </c>
      <c r="D1166" s="33" t="str">
        <f t="shared" si="342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3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44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0"/>
        <v>1.13</v>
      </c>
      <c r="Z1166" s="18">
        <f t="shared" si="357"/>
        <v>1150000</v>
      </c>
      <c r="AA1166" s="13">
        <v>1.095</v>
      </c>
      <c r="AB1166" s="21">
        <f t="shared" si="346"/>
        <v>1114380.5309734514</v>
      </c>
      <c r="AC1166" s="130">
        <f t="shared" si="347"/>
        <v>133725.66371681416</v>
      </c>
      <c r="AD1166" s="169">
        <v>0.12</v>
      </c>
      <c r="AE1166" s="154">
        <f t="shared" si="348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8"/>
        <v>477651199.57437885</v>
      </c>
      <c r="AJ1166" s="19">
        <f t="shared" si="359"/>
        <v>56918800.518691957</v>
      </c>
      <c r="AK1166" s="20">
        <f t="shared" si="349"/>
        <v>0.11916394341605475</v>
      </c>
      <c r="AL1166" s="17"/>
      <c r="AM1166" s="17"/>
      <c r="AN1166" s="17"/>
      <c r="AO1166" s="17"/>
      <c r="AP1166" s="28" t="str">
        <f t="shared" si="350"/>
        <v>CancelCancel</v>
      </c>
      <c r="AQ1166" s="28" t="str">
        <f t="shared" si="351"/>
        <v>CancelCancelRMB</v>
      </c>
      <c r="AR1166" s="206" t="str">
        <f t="shared" si="352"/>
        <v>YAMAHA_Mounter</v>
      </c>
      <c r="AS1166" s="22" t="str">
        <f t="shared" si="353"/>
        <v/>
      </c>
      <c r="AT1166" s="24" t="str">
        <f t="shared" si="354"/>
        <v/>
      </c>
    </row>
    <row r="1167" spans="1:46" s="12" customFormat="1">
      <c r="A1167" s="33" t="str">
        <f t="shared" si="341"/>
        <v>FY 22/23</v>
      </c>
      <c r="B1167" s="152">
        <v>2023</v>
      </c>
      <c r="C1167" s="152">
        <v>1</v>
      </c>
      <c r="D1167" s="33" t="str">
        <f t="shared" si="342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3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44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0"/>
        <v>1.13</v>
      </c>
      <c r="Z1167" s="18">
        <f t="shared" si="357"/>
        <v>1150000</v>
      </c>
      <c r="AA1167" s="13">
        <v>1.095</v>
      </c>
      <c r="AB1167" s="21">
        <f t="shared" si="346"/>
        <v>1114380.5309734514</v>
      </c>
      <c r="AC1167" s="130">
        <f t="shared" si="347"/>
        <v>133725.66371681416</v>
      </c>
      <c r="AD1167" s="169">
        <v>0.12</v>
      </c>
      <c r="AE1167" s="154">
        <f t="shared" si="348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8"/>
        <v>477651199.57437885</v>
      </c>
      <c r="AJ1167" s="19">
        <f t="shared" si="359"/>
        <v>56918800.518691957</v>
      </c>
      <c r="AK1167" s="20">
        <f t="shared" si="349"/>
        <v>0.11916394341605475</v>
      </c>
      <c r="AL1167" s="17"/>
      <c r="AM1167" s="17"/>
      <c r="AN1167" s="17"/>
      <c r="AO1167" s="17"/>
      <c r="AP1167" s="28" t="str">
        <f t="shared" si="350"/>
        <v>CancelCancel</v>
      </c>
      <c r="AQ1167" s="28" t="str">
        <f t="shared" si="351"/>
        <v>CancelCancelRMB</v>
      </c>
      <c r="AR1167" s="206" t="str">
        <f t="shared" si="352"/>
        <v>YAMAHA_Mounter</v>
      </c>
      <c r="AS1167" s="22" t="str">
        <f t="shared" si="353"/>
        <v/>
      </c>
      <c r="AT1167" s="24" t="str">
        <f t="shared" si="354"/>
        <v/>
      </c>
    </row>
    <row r="1168" spans="1:46" s="12" customFormat="1">
      <c r="A1168" s="33" t="str">
        <f t="shared" si="341"/>
        <v>FY 22/23</v>
      </c>
      <c r="B1168" s="152">
        <v>2023</v>
      </c>
      <c r="C1168" s="152">
        <v>1</v>
      </c>
      <c r="D1168" s="33" t="str">
        <f t="shared" si="342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3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44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0"/>
        <v>1.13</v>
      </c>
      <c r="Z1168" s="18">
        <f t="shared" si="357"/>
        <v>1150000</v>
      </c>
      <c r="AA1168" s="13">
        <v>1.095</v>
      </c>
      <c r="AB1168" s="21">
        <f t="shared" si="346"/>
        <v>1114380.5309734514</v>
      </c>
      <c r="AC1168" s="130">
        <f t="shared" si="347"/>
        <v>133725.66371681416</v>
      </c>
      <c r="AD1168" s="169">
        <v>0.12</v>
      </c>
      <c r="AE1168" s="154">
        <f t="shared" si="348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8"/>
        <v>477651199.57437885</v>
      </c>
      <c r="AJ1168" s="19">
        <f t="shared" si="359"/>
        <v>56918800.518691957</v>
      </c>
      <c r="AK1168" s="20">
        <f t="shared" si="349"/>
        <v>0.11916394341605475</v>
      </c>
      <c r="AL1168" s="17"/>
      <c r="AM1168" s="17"/>
      <c r="AN1168" s="17"/>
      <c r="AO1168" s="17"/>
      <c r="AP1168" s="28" t="str">
        <f t="shared" si="350"/>
        <v>CancelCancel</v>
      </c>
      <c r="AQ1168" s="28" t="str">
        <f t="shared" si="351"/>
        <v>CancelCancelRMB</v>
      </c>
      <c r="AR1168" s="206" t="str">
        <f t="shared" si="352"/>
        <v>YAMAHA_Mounter</v>
      </c>
      <c r="AS1168" s="22" t="str">
        <f t="shared" si="353"/>
        <v/>
      </c>
      <c r="AT1168" s="24" t="str">
        <f t="shared" si="354"/>
        <v/>
      </c>
    </row>
    <row r="1169" spans="1:46" s="12" customFormat="1">
      <c r="A1169" s="33" t="str">
        <f t="shared" si="341"/>
        <v>FY 22/23</v>
      </c>
      <c r="B1169" s="152">
        <v>2023</v>
      </c>
      <c r="C1169" s="152">
        <v>1</v>
      </c>
      <c r="D1169" s="33" t="str">
        <f t="shared" si="342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3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44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0"/>
        <v>1.13</v>
      </c>
      <c r="Z1169" s="18">
        <f t="shared" si="357"/>
        <v>1150000</v>
      </c>
      <c r="AA1169" s="13">
        <v>1.095</v>
      </c>
      <c r="AB1169" s="21">
        <f t="shared" si="346"/>
        <v>1114380.5309734514</v>
      </c>
      <c r="AC1169" s="130">
        <f t="shared" si="347"/>
        <v>133725.66371681416</v>
      </c>
      <c r="AD1169" s="169">
        <v>0.12</v>
      </c>
      <c r="AE1169" s="154">
        <f t="shared" si="348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8"/>
        <v>477651199.57437885</v>
      </c>
      <c r="AJ1169" s="19">
        <f t="shared" si="359"/>
        <v>56918800.518691957</v>
      </c>
      <c r="AK1169" s="20">
        <f t="shared" si="349"/>
        <v>0.11916394341605475</v>
      </c>
      <c r="AL1169" s="17"/>
      <c r="AM1169" s="17"/>
      <c r="AN1169" s="17"/>
      <c r="AO1169" s="17"/>
      <c r="AP1169" s="28" t="str">
        <f t="shared" si="350"/>
        <v>CancelCancel</v>
      </c>
      <c r="AQ1169" s="28" t="str">
        <f t="shared" si="351"/>
        <v>CancelCancelRMB</v>
      </c>
      <c r="AR1169" s="206" t="str">
        <f t="shared" si="352"/>
        <v>YAMAHA_Mounter</v>
      </c>
      <c r="AS1169" s="22" t="str">
        <f t="shared" si="353"/>
        <v/>
      </c>
      <c r="AT1169" s="24" t="str">
        <f t="shared" si="354"/>
        <v/>
      </c>
    </row>
    <row r="1170" spans="1:46" s="12" customFormat="1">
      <c r="A1170" s="33" t="str">
        <f t="shared" si="341"/>
        <v>FY 22/23</v>
      </c>
      <c r="B1170" s="152">
        <v>2023</v>
      </c>
      <c r="C1170" s="152">
        <v>1</v>
      </c>
      <c r="D1170" s="33" t="str">
        <f t="shared" si="342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3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44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0"/>
        <v>1.13</v>
      </c>
      <c r="Z1170" s="18">
        <f t="shared" si="357"/>
        <v>1150000</v>
      </c>
      <c r="AA1170" s="13">
        <v>1.095</v>
      </c>
      <c r="AB1170" s="21">
        <f t="shared" si="346"/>
        <v>1114380.5309734514</v>
      </c>
      <c r="AC1170" s="130">
        <f t="shared" si="347"/>
        <v>133725.66371681416</v>
      </c>
      <c r="AD1170" s="169">
        <v>0.12</v>
      </c>
      <c r="AE1170" s="154">
        <f t="shared" si="348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8"/>
        <v>477651199.57437885</v>
      </c>
      <c r="AJ1170" s="19">
        <f t="shared" si="359"/>
        <v>56918800.518691957</v>
      </c>
      <c r="AK1170" s="20">
        <f t="shared" si="349"/>
        <v>0.11916394341605475</v>
      </c>
      <c r="AL1170" s="17"/>
      <c r="AM1170" s="17"/>
      <c r="AN1170" s="17"/>
      <c r="AO1170" s="17"/>
      <c r="AP1170" s="28" t="str">
        <f t="shared" si="350"/>
        <v>CancelCancel</v>
      </c>
      <c r="AQ1170" s="28" t="str">
        <f t="shared" si="351"/>
        <v>CancelCancelRMB</v>
      </c>
      <c r="AR1170" s="206" t="str">
        <f t="shared" si="352"/>
        <v>YAMAHA_Mounter</v>
      </c>
      <c r="AS1170" s="22" t="str">
        <f t="shared" si="353"/>
        <v/>
      </c>
      <c r="AT1170" s="24" t="str">
        <f t="shared" si="354"/>
        <v/>
      </c>
    </row>
    <row r="1171" spans="1:46" s="12" customFormat="1">
      <c r="A1171" s="33" t="str">
        <f t="shared" si="341"/>
        <v>FY 22/23</v>
      </c>
      <c r="B1171" s="152">
        <v>2023</v>
      </c>
      <c r="C1171" s="152">
        <v>1</v>
      </c>
      <c r="D1171" s="33" t="str">
        <f t="shared" si="342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3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44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0"/>
        <v>1.13</v>
      </c>
      <c r="Z1171" s="18">
        <f t="shared" si="357"/>
        <v>1050000</v>
      </c>
      <c r="AA1171" s="13">
        <v>1.095</v>
      </c>
      <c r="AB1171" s="21">
        <f t="shared" si="346"/>
        <v>1017477.8761061948</v>
      </c>
      <c r="AC1171" s="130">
        <f t="shared" si="347"/>
        <v>122097.34513274337</v>
      </c>
      <c r="AD1171" s="169">
        <v>0.12</v>
      </c>
      <c r="AE1171" s="154">
        <f t="shared" si="348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8"/>
        <v>477651199.57437885</v>
      </c>
      <c r="AJ1171" s="19">
        <f t="shared" si="359"/>
        <v>56918800.518691957</v>
      </c>
      <c r="AK1171" s="20">
        <f t="shared" si="349"/>
        <v>0.11916394341605475</v>
      </c>
      <c r="AL1171" s="17"/>
      <c r="AM1171" s="17"/>
      <c r="AN1171" s="17"/>
      <c r="AO1171" s="17"/>
      <c r="AP1171" s="28" t="str">
        <f t="shared" si="350"/>
        <v>CancelCancel</v>
      </c>
      <c r="AQ1171" s="28" t="str">
        <f t="shared" si="351"/>
        <v>CancelCancelRMB</v>
      </c>
      <c r="AR1171" s="206" t="str">
        <f t="shared" si="352"/>
        <v>YAMAHA_Mounter</v>
      </c>
      <c r="AS1171" s="22" t="str">
        <f t="shared" si="353"/>
        <v/>
      </c>
      <c r="AT1171" s="24" t="str">
        <f t="shared" si="354"/>
        <v/>
      </c>
    </row>
    <row r="1172" spans="1:46" s="12" customFormat="1">
      <c r="A1172" s="33" t="str">
        <f t="shared" si="341"/>
        <v>FY 22/23</v>
      </c>
      <c r="B1172" s="152">
        <v>2023</v>
      </c>
      <c r="C1172" s="152">
        <v>1</v>
      </c>
      <c r="D1172" s="33" t="str">
        <f t="shared" si="342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3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44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0"/>
        <v>1.13</v>
      </c>
      <c r="Z1172" s="18">
        <f t="shared" si="357"/>
        <v>1050000</v>
      </c>
      <c r="AA1172" s="13">
        <v>1.095</v>
      </c>
      <c r="AB1172" s="21">
        <f t="shared" si="346"/>
        <v>1017477.8761061948</v>
      </c>
      <c r="AC1172" s="130">
        <f t="shared" si="347"/>
        <v>122097.34513274337</v>
      </c>
      <c r="AD1172" s="169">
        <v>0.12</v>
      </c>
      <c r="AE1172" s="154">
        <f t="shared" si="348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8"/>
        <v>477651199.57437885</v>
      </c>
      <c r="AJ1172" s="19">
        <f t="shared" si="359"/>
        <v>56918800.518691957</v>
      </c>
      <c r="AK1172" s="20">
        <f t="shared" si="349"/>
        <v>0.11916394341605475</v>
      </c>
      <c r="AL1172" s="17"/>
      <c r="AM1172" s="17"/>
      <c r="AN1172" s="17"/>
      <c r="AO1172" s="17"/>
      <c r="AP1172" s="28" t="str">
        <f t="shared" si="350"/>
        <v>CancelCancel</v>
      </c>
      <c r="AQ1172" s="28" t="str">
        <f t="shared" si="351"/>
        <v>CancelCancelRMB</v>
      </c>
      <c r="AR1172" s="206" t="str">
        <f t="shared" si="352"/>
        <v>YAMAHA_Mounter</v>
      </c>
      <c r="AS1172" s="22" t="str">
        <f t="shared" si="353"/>
        <v/>
      </c>
      <c r="AT1172" s="24" t="str">
        <f t="shared" si="354"/>
        <v/>
      </c>
    </row>
    <row r="1173" spans="1:46" s="12" customFormat="1">
      <c r="A1173" s="33" t="str">
        <f t="shared" si="341"/>
        <v>FY 22/23</v>
      </c>
      <c r="B1173" s="152">
        <v>2023</v>
      </c>
      <c r="C1173" s="152">
        <v>1</v>
      </c>
      <c r="D1173" s="33" t="str">
        <f t="shared" si="342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3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44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0"/>
        <v>1.13</v>
      </c>
      <c r="Z1173" s="18">
        <f t="shared" si="357"/>
        <v>1050000</v>
      </c>
      <c r="AA1173" s="13">
        <v>1.095</v>
      </c>
      <c r="AB1173" s="21">
        <f t="shared" si="346"/>
        <v>1017477.8761061948</v>
      </c>
      <c r="AC1173" s="130">
        <f t="shared" si="347"/>
        <v>122097.34513274337</v>
      </c>
      <c r="AD1173" s="169">
        <v>0.12</v>
      </c>
      <c r="AE1173" s="154">
        <f t="shared" si="348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8"/>
        <v>477651199.57437885</v>
      </c>
      <c r="AJ1173" s="19">
        <f t="shared" si="359"/>
        <v>56918800.518691957</v>
      </c>
      <c r="AK1173" s="20">
        <f t="shared" si="349"/>
        <v>0.11916394341605475</v>
      </c>
      <c r="AL1173" s="17"/>
      <c r="AM1173" s="17"/>
      <c r="AN1173" s="17"/>
      <c r="AO1173" s="17"/>
      <c r="AP1173" s="28" t="str">
        <f t="shared" si="350"/>
        <v>CancelCancel</v>
      </c>
      <c r="AQ1173" s="28" t="str">
        <f t="shared" si="351"/>
        <v>CancelCancelRMB</v>
      </c>
      <c r="AR1173" s="206" t="str">
        <f t="shared" si="352"/>
        <v>YAMAHA_Mounter</v>
      </c>
      <c r="AS1173" s="22" t="str">
        <f t="shared" si="353"/>
        <v/>
      </c>
      <c r="AT1173" s="24" t="str">
        <f t="shared" si="354"/>
        <v/>
      </c>
    </row>
    <row r="1174" spans="1:46" s="12" customFormat="1">
      <c r="A1174" s="33" t="str">
        <f t="shared" si="341"/>
        <v>FY 22/23</v>
      </c>
      <c r="B1174" s="152">
        <v>2023</v>
      </c>
      <c r="C1174" s="152">
        <v>1</v>
      </c>
      <c r="D1174" s="33" t="str">
        <f t="shared" si="342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3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44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0"/>
        <v>1.13</v>
      </c>
      <c r="Z1174" s="18">
        <f t="shared" si="357"/>
        <v>900000</v>
      </c>
      <c r="AA1174" s="13">
        <v>1.095</v>
      </c>
      <c r="AB1174" s="21">
        <f t="shared" si="346"/>
        <v>872123.89380530978</v>
      </c>
      <c r="AC1174" s="130">
        <f t="shared" si="347"/>
        <v>104654.86725663717</v>
      </c>
      <c r="AD1174" s="169">
        <v>0.12</v>
      </c>
      <c r="AE1174" s="154">
        <f t="shared" si="348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8"/>
        <v>477651199.57437885</v>
      </c>
      <c r="AJ1174" s="19">
        <f t="shared" si="359"/>
        <v>56918800.518691957</v>
      </c>
      <c r="AK1174" s="20">
        <f t="shared" si="349"/>
        <v>0.11916394341605475</v>
      </c>
      <c r="AL1174" s="17"/>
      <c r="AM1174" s="17"/>
      <c r="AN1174" s="17"/>
      <c r="AO1174" s="17"/>
      <c r="AP1174" s="28" t="str">
        <f t="shared" si="350"/>
        <v>CancelCancel</v>
      </c>
      <c r="AQ1174" s="28" t="str">
        <f t="shared" si="351"/>
        <v>CancelCancelRMB</v>
      </c>
      <c r="AR1174" s="206" t="str">
        <f t="shared" si="352"/>
        <v>YAMAHA_Mounter</v>
      </c>
      <c r="AS1174" s="22" t="str">
        <f t="shared" si="353"/>
        <v/>
      </c>
      <c r="AT1174" s="24" t="str">
        <f t="shared" si="354"/>
        <v/>
      </c>
    </row>
    <row r="1175" spans="1:46" s="12" customFormat="1">
      <c r="A1175" s="33" t="str">
        <f t="shared" si="341"/>
        <v>FY 22/23</v>
      </c>
      <c r="B1175" s="152">
        <v>2023</v>
      </c>
      <c r="C1175" s="152">
        <v>1</v>
      </c>
      <c r="D1175" s="33" t="str">
        <f t="shared" si="342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3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44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0"/>
        <v>1.13</v>
      </c>
      <c r="Z1175" s="18">
        <f t="shared" si="357"/>
        <v>900000</v>
      </c>
      <c r="AA1175" s="13">
        <v>1.095</v>
      </c>
      <c r="AB1175" s="21">
        <f t="shared" si="346"/>
        <v>872123.89380530978</v>
      </c>
      <c r="AC1175" s="130">
        <f t="shared" si="347"/>
        <v>104654.86725663717</v>
      </c>
      <c r="AD1175" s="169">
        <v>0.12</v>
      </c>
      <c r="AE1175" s="154">
        <f t="shared" si="348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8"/>
        <v>477651199.57437885</v>
      </c>
      <c r="AJ1175" s="19">
        <f t="shared" si="359"/>
        <v>56918800.518691957</v>
      </c>
      <c r="AK1175" s="20">
        <f t="shared" si="349"/>
        <v>0.11916394341605475</v>
      </c>
      <c r="AL1175" s="17"/>
      <c r="AM1175" s="17"/>
      <c r="AN1175" s="17"/>
      <c r="AO1175" s="17"/>
      <c r="AP1175" s="28" t="str">
        <f t="shared" si="350"/>
        <v>CancelCancel</v>
      </c>
      <c r="AQ1175" s="28" t="str">
        <f t="shared" si="351"/>
        <v>CancelCancelRMB</v>
      </c>
      <c r="AR1175" s="206" t="str">
        <f t="shared" si="352"/>
        <v>YAMAHA_Mounter</v>
      </c>
      <c r="AS1175" s="22" t="str">
        <f t="shared" si="353"/>
        <v/>
      </c>
      <c r="AT1175" s="24" t="str">
        <f t="shared" si="354"/>
        <v/>
      </c>
    </row>
    <row r="1176" spans="1:46" s="12" customFormat="1">
      <c r="A1176" s="33" t="str">
        <f t="shared" si="341"/>
        <v>FY 22/23</v>
      </c>
      <c r="B1176" s="152">
        <v>2023</v>
      </c>
      <c r="C1176" s="152">
        <v>1</v>
      </c>
      <c r="D1176" s="33" t="str">
        <f t="shared" si="342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3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44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0"/>
        <v>1.13</v>
      </c>
      <c r="Z1176" s="18">
        <f t="shared" si="357"/>
        <v>600000</v>
      </c>
      <c r="AA1176" s="13">
        <v>1.095</v>
      </c>
      <c r="AB1176" s="21">
        <f t="shared" si="346"/>
        <v>581415.92920353985</v>
      </c>
      <c r="AC1176" s="130">
        <f t="shared" si="347"/>
        <v>69769.911504424774</v>
      </c>
      <c r="AD1176" s="169">
        <v>0.12</v>
      </c>
      <c r="AE1176" s="154">
        <f t="shared" si="348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8"/>
        <v>477651199.57437885</v>
      </c>
      <c r="AJ1176" s="19">
        <f t="shared" si="359"/>
        <v>56918800.518691957</v>
      </c>
      <c r="AK1176" s="20">
        <f t="shared" si="349"/>
        <v>0.11916394341605475</v>
      </c>
      <c r="AL1176" s="17"/>
      <c r="AM1176" s="17"/>
      <c r="AN1176" s="17"/>
      <c r="AO1176" s="17"/>
      <c r="AP1176" s="28" t="str">
        <f t="shared" si="350"/>
        <v>CancelCancel</v>
      </c>
      <c r="AQ1176" s="28" t="str">
        <f t="shared" si="351"/>
        <v>CancelCancelRMB</v>
      </c>
      <c r="AR1176" s="206" t="str">
        <f t="shared" si="352"/>
        <v>YAMAHA_Mounter</v>
      </c>
      <c r="AS1176" s="22" t="str">
        <f t="shared" si="353"/>
        <v/>
      </c>
      <c r="AT1176" s="24" t="str">
        <f t="shared" si="354"/>
        <v/>
      </c>
    </row>
    <row r="1177" spans="1:46" s="12" customFormat="1">
      <c r="A1177" s="33" t="str">
        <f t="shared" si="341"/>
        <v>FY 22/23</v>
      </c>
      <c r="B1177" s="152">
        <v>2023</v>
      </c>
      <c r="C1177" s="152">
        <v>1</v>
      </c>
      <c r="D1177" s="33" t="str">
        <f t="shared" si="342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3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44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0"/>
        <v>1.13</v>
      </c>
      <c r="Z1177" s="18">
        <f t="shared" si="357"/>
        <v>600000</v>
      </c>
      <c r="AA1177" s="13">
        <v>1.095</v>
      </c>
      <c r="AB1177" s="21">
        <f t="shared" si="346"/>
        <v>581415.92920353985</v>
      </c>
      <c r="AC1177" s="130">
        <f t="shared" si="347"/>
        <v>69769.911504424774</v>
      </c>
      <c r="AD1177" s="169">
        <v>0.12</v>
      </c>
      <c r="AE1177" s="154">
        <f t="shared" si="348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8"/>
        <v>477651199.57437885</v>
      </c>
      <c r="AJ1177" s="19">
        <f t="shared" si="359"/>
        <v>56918800.518691957</v>
      </c>
      <c r="AK1177" s="20">
        <f t="shared" si="349"/>
        <v>0.11916394341605475</v>
      </c>
      <c r="AL1177" s="17"/>
      <c r="AM1177" s="17"/>
      <c r="AN1177" s="17"/>
      <c r="AO1177" s="17"/>
      <c r="AP1177" s="28" t="str">
        <f t="shared" si="350"/>
        <v>CancelCancel</v>
      </c>
      <c r="AQ1177" s="28" t="str">
        <f t="shared" si="351"/>
        <v>CancelCancelRMB</v>
      </c>
      <c r="AR1177" s="206" t="str">
        <f t="shared" si="352"/>
        <v>YAMAHA_Mounter</v>
      </c>
      <c r="AS1177" s="22" t="str">
        <f t="shared" si="353"/>
        <v/>
      </c>
      <c r="AT1177" s="24" t="str">
        <f t="shared" si="354"/>
        <v/>
      </c>
    </row>
    <row r="1178" spans="1:46" s="12" customFormat="1">
      <c r="A1178" s="33" t="str">
        <f t="shared" si="341"/>
        <v>FY 18/19</v>
      </c>
      <c r="B1178" s="152">
        <v>2018</v>
      </c>
      <c r="C1178" s="152">
        <v>9</v>
      </c>
      <c r="D1178" s="33" t="str">
        <f t="shared" si="342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3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44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57"/>
        <v>9175000</v>
      </c>
      <c r="AA1178" s="13">
        <v>7.2099999999999997E-2</v>
      </c>
      <c r="AB1178" s="21">
        <f t="shared" si="346"/>
        <v>661517.5</v>
      </c>
      <c r="AC1178" s="130">
        <f t="shared" si="347"/>
        <v>94398.547249999989</v>
      </c>
      <c r="AD1178" s="169">
        <v>0.14269999999999999</v>
      </c>
      <c r="AE1178" s="154">
        <f t="shared" si="348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8"/>
        <v>26492741.106427077</v>
      </c>
      <c r="AJ1178" s="19">
        <f t="shared" si="359"/>
        <v>3348032.1325698122</v>
      </c>
      <c r="AK1178" s="20">
        <f t="shared" si="349"/>
        <v>0.12637545201985867</v>
      </c>
      <c r="AL1178" s="17"/>
      <c r="AM1178" s="17"/>
      <c r="AN1178" s="17"/>
      <c r="AO1178" s="17"/>
      <c r="AP1178" s="28" t="str">
        <f t="shared" si="350"/>
        <v>20189</v>
      </c>
      <c r="AQ1178" s="28" t="str">
        <f t="shared" si="351"/>
        <v>20189JPY</v>
      </c>
      <c r="AR1178" s="206" t="str">
        <f t="shared" si="352"/>
        <v>YAMAHA_Mounter</v>
      </c>
      <c r="AS1178" s="22">
        <f t="shared" si="353"/>
        <v>0</v>
      </c>
      <c r="AT1178" s="24" t="str">
        <f t="shared" si="354"/>
        <v>0-3 months</v>
      </c>
    </row>
    <row r="1179" spans="1:46" s="12" customFormat="1">
      <c r="A1179" s="33" t="str">
        <f t="shared" si="341"/>
        <v>FY 23/24</v>
      </c>
      <c r="B1179" s="152">
        <v>2023</v>
      </c>
      <c r="C1179" s="152">
        <v>11</v>
      </c>
      <c r="D1179" s="33" t="str">
        <f t="shared" si="342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3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44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57"/>
        <v>12600000</v>
      </c>
      <c r="AA1179" s="13">
        <v>5.4199999999999998E-2</v>
      </c>
      <c r="AB1179" s="21">
        <f t="shared" si="346"/>
        <v>682920</v>
      </c>
      <c r="AC1179" s="130">
        <f t="shared" si="347"/>
        <v>102506.292</v>
      </c>
      <c r="AD1179" s="173">
        <v>0.15010000000000001</v>
      </c>
      <c r="AE1179" s="154">
        <f t="shared" si="348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8"/>
        <v>10271727.486725664</v>
      </c>
      <c r="AJ1179" s="19">
        <f t="shared" si="359"/>
        <v>1227228.7260761063</v>
      </c>
      <c r="AK1179" s="20">
        <f t="shared" si="349"/>
        <v>0.11947637120066472</v>
      </c>
      <c r="AL1179" s="17"/>
      <c r="AM1179" s="17"/>
      <c r="AN1179" s="17"/>
      <c r="AO1179" s="17"/>
      <c r="AP1179" s="28" t="str">
        <f t="shared" si="350"/>
        <v>202312</v>
      </c>
      <c r="AQ1179" s="28" t="str">
        <f t="shared" si="351"/>
        <v>202312JPY</v>
      </c>
      <c r="AR1179" s="206" t="str">
        <f t="shared" si="352"/>
        <v>YAMAHA_Mounter</v>
      </c>
      <c r="AS1179" s="22">
        <f t="shared" si="353"/>
        <v>1</v>
      </c>
      <c r="AT1179" s="24" t="str">
        <f t="shared" si="354"/>
        <v>0-3 months</v>
      </c>
    </row>
    <row r="1180" spans="1:46" s="12" customFormat="1">
      <c r="A1180" s="33" t="str">
        <f t="shared" si="341"/>
        <v>FY 23/24</v>
      </c>
      <c r="B1180" s="152">
        <v>2023</v>
      </c>
      <c r="C1180" s="152">
        <v>11</v>
      </c>
      <c r="D1180" s="33" t="str">
        <f t="shared" si="342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3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44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57"/>
        <v>9510000</v>
      </c>
      <c r="AA1180" s="13">
        <v>5.4199999999999998E-2</v>
      </c>
      <c r="AB1180" s="21">
        <f t="shared" si="346"/>
        <v>515442</v>
      </c>
      <c r="AC1180" s="130">
        <f t="shared" si="347"/>
        <v>77367.844200000007</v>
      </c>
      <c r="AD1180" s="173">
        <v>0.15010000000000001</v>
      </c>
      <c r="AE1180" s="154">
        <f t="shared" si="348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8"/>
        <v>10271727.486725664</v>
      </c>
      <c r="AJ1180" s="19">
        <f t="shared" si="359"/>
        <v>1227228.7260761063</v>
      </c>
      <c r="AK1180" s="20">
        <f t="shared" si="349"/>
        <v>0.11947637120066472</v>
      </c>
      <c r="AL1180" s="17"/>
      <c r="AM1180" s="17"/>
      <c r="AN1180" s="17"/>
      <c r="AO1180" s="17"/>
      <c r="AP1180" s="28" t="str">
        <f t="shared" si="350"/>
        <v>202312</v>
      </c>
      <c r="AQ1180" s="28" t="str">
        <f t="shared" si="351"/>
        <v>202312JPY</v>
      </c>
      <c r="AR1180" s="206" t="str">
        <f t="shared" si="352"/>
        <v>YAMAHA_Mounter</v>
      </c>
      <c r="AS1180" s="22">
        <f t="shared" si="353"/>
        <v>1</v>
      </c>
      <c r="AT1180" s="24" t="str">
        <f t="shared" si="354"/>
        <v>0-3 months</v>
      </c>
    </row>
    <row r="1181" spans="1:46" s="12" customFormat="1">
      <c r="A1181" s="33" t="str">
        <f t="shared" si="341"/>
        <v>FY 19/20</v>
      </c>
      <c r="B1181" s="152">
        <v>2019</v>
      </c>
      <c r="C1181" s="152">
        <v>8</v>
      </c>
      <c r="D1181" s="33" t="str">
        <f t="shared" si="342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3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44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57"/>
        <v>1020000</v>
      </c>
      <c r="AA1181" s="13">
        <v>1.095</v>
      </c>
      <c r="AB1181" s="21">
        <f t="shared" si="346"/>
        <v>988407.07964601775</v>
      </c>
      <c r="AC1181" s="130">
        <f t="shared" si="347"/>
        <v>68891.973451327431</v>
      </c>
      <c r="AD1181" s="169">
        <v>6.9699999999999998E-2</v>
      </c>
      <c r="AE1181" s="154">
        <f t="shared" si="348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8"/>
        <v>28647263.974455759</v>
      </c>
      <c r="AJ1181" s="19">
        <f t="shared" si="359"/>
        <v>3219855.6912513468</v>
      </c>
      <c r="AK1181" s="20">
        <f t="shared" si="349"/>
        <v>0.11239662168514358</v>
      </c>
      <c r="AL1181" s="17"/>
      <c r="AM1181" s="17"/>
      <c r="AN1181" s="17"/>
      <c r="AO1181" s="17"/>
      <c r="AP1181" s="28" t="str">
        <f t="shared" si="350"/>
        <v>201910</v>
      </c>
      <c r="AQ1181" s="28" t="str">
        <f t="shared" si="351"/>
        <v>201910RMB</v>
      </c>
      <c r="AR1181" s="206" t="str">
        <f t="shared" si="352"/>
        <v>YAMAHA_Mounter</v>
      </c>
      <c r="AS1181" s="22">
        <f t="shared" si="353"/>
        <v>2</v>
      </c>
      <c r="AT1181" s="24" t="str">
        <f t="shared" si="354"/>
        <v>0-3 months</v>
      </c>
    </row>
    <row r="1182" spans="1:46" s="12" customFormat="1">
      <c r="A1182" s="33" t="str">
        <f t="shared" si="341"/>
        <v>FY 19/20</v>
      </c>
      <c r="B1182" s="152">
        <v>2019</v>
      </c>
      <c r="C1182" s="152">
        <v>11</v>
      </c>
      <c r="D1182" s="33" t="str">
        <f t="shared" si="342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3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44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57"/>
        <v>12350000</v>
      </c>
      <c r="AA1182" s="13">
        <v>7.2999999999999995E-2</v>
      </c>
      <c r="AB1182" s="21">
        <f t="shared" si="346"/>
        <v>901550</v>
      </c>
      <c r="AC1182" s="130">
        <f t="shared" si="347"/>
        <v>127929.94499999999</v>
      </c>
      <c r="AD1182" s="169">
        <v>0.1419</v>
      </c>
      <c r="AE1182" s="154">
        <f t="shared" si="348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8"/>
        <v>11620538.477876106</v>
      </c>
      <c r="AJ1182" s="19">
        <f t="shared" si="359"/>
        <v>1598596.3145221241</v>
      </c>
      <c r="AK1182" s="20">
        <f t="shared" si="349"/>
        <v>0.13756645766163331</v>
      </c>
      <c r="AL1182" s="17"/>
      <c r="AM1182" s="17"/>
      <c r="AN1182" s="17"/>
      <c r="AO1182" s="17"/>
      <c r="AP1182" s="28" t="str">
        <f t="shared" si="350"/>
        <v>20201</v>
      </c>
      <c r="AQ1182" s="28" t="str">
        <f t="shared" si="351"/>
        <v>20201JPY</v>
      </c>
      <c r="AR1182" s="206" t="str">
        <f t="shared" si="352"/>
        <v>YAMAHA_Mounter</v>
      </c>
      <c r="AS1182" s="22">
        <f t="shared" si="353"/>
        <v>2</v>
      </c>
      <c r="AT1182" s="24" t="str">
        <f t="shared" si="354"/>
        <v>0-3 months</v>
      </c>
    </row>
    <row r="1183" spans="1:46" s="12" customFormat="1">
      <c r="A1183" s="33" t="str">
        <f t="shared" si="341"/>
        <v>FY 19/20</v>
      </c>
      <c r="B1183" s="152">
        <v>2019</v>
      </c>
      <c r="C1183" s="152">
        <v>11</v>
      </c>
      <c r="D1183" s="33" t="str">
        <f t="shared" si="342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3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44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57"/>
        <v>12350000</v>
      </c>
      <c r="AA1183" s="13">
        <v>7.2999999999999995E-2</v>
      </c>
      <c r="AB1183" s="21">
        <f t="shared" si="346"/>
        <v>901550</v>
      </c>
      <c r="AC1183" s="130">
        <f t="shared" si="347"/>
        <v>127929.94499999999</v>
      </c>
      <c r="AD1183" s="169">
        <v>0.1419</v>
      </c>
      <c r="AE1183" s="154">
        <f t="shared" si="348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8"/>
        <v>11620538.477876106</v>
      </c>
      <c r="AJ1183" s="19">
        <f t="shared" si="359"/>
        <v>1598596.3145221241</v>
      </c>
      <c r="AK1183" s="20">
        <f t="shared" si="349"/>
        <v>0.13756645766163331</v>
      </c>
      <c r="AL1183" s="17"/>
      <c r="AM1183" s="17"/>
      <c r="AN1183" s="17"/>
      <c r="AO1183" s="17"/>
      <c r="AP1183" s="28" t="str">
        <f t="shared" si="350"/>
        <v>20201</v>
      </c>
      <c r="AQ1183" s="28" t="str">
        <f t="shared" si="351"/>
        <v>20201JPY</v>
      </c>
      <c r="AR1183" s="206" t="str">
        <f t="shared" si="352"/>
        <v>YAMAHA_Mounter</v>
      </c>
      <c r="AS1183" s="22">
        <f t="shared" si="353"/>
        <v>2</v>
      </c>
      <c r="AT1183" s="24" t="str">
        <f t="shared" si="354"/>
        <v>0-3 months</v>
      </c>
    </row>
    <row r="1184" spans="1:46" s="12" customFormat="1">
      <c r="A1184" s="33" t="str">
        <f t="shared" ref="A1184:A1247" si="361">IF(C1184="cancel","cancel",IFERROR(IF(D1184="Q4","FY "&amp;RIGHT(B1184,2)-1&amp;"/"&amp;RIGHT(B1184,2),"FY "&amp;RIGHT(B1184,2)&amp;"/"&amp;RIGHT(B1184,2)+1),""))</f>
        <v>FY 19/20</v>
      </c>
      <c r="B1184" s="152">
        <v>2019</v>
      </c>
      <c r="C1184" s="152">
        <v>12</v>
      </c>
      <c r="D1184" s="33" t="str">
        <f t="shared" ref="D1184:D1247" si="362">IF(B1184="","",IF(AND(C1184&gt;=10,C1184&lt;=12),"Q3",IF(AND(C1184&gt;=1,C1184&lt;=3),"Q4",IF(AND(C1184&gt;=7,C1184&lt;=9),"Q2",IF(AND(C1184&gt;=4,C1184&lt;=6),"Q1")))))</f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ref="I1184:I1247" si="363">IFERROR(IF(F1184="","",IF(F1184="TBA","TBA",IF(F1184="Cancel","Cancel",IF(AND(G1184&gt;=10,G1184&lt;=12),"Q3",IF(AND(G1184&gt;=1,G1184&lt;=3),"Q4",IF(AND(G1184&gt;=7,G1184&lt;=9),"Q2",IF(AND(G1184&gt;=4,G1184&lt;=6),"Q1"))))))),"")</f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ref="P1184:P1247" si="364">IF(M1184="","",IF(AND(N1184&gt;0,L1184&lt;&gt;""),"MAIN UNIT",IF(AND(O1184&gt;0,L1184&lt;&gt;""),"SERVICE/ PARTS","C66 SERVICE/OTHERS")))</f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205" si="365">IF(W1184="RMB","1.13", "1")</f>
        <v>1</v>
      </c>
      <c r="Z1184" s="18">
        <f t="shared" ref="Z1184:Z1215" si="366">IF(X1184="","",X1184*MAX(O1184,N1184))</f>
        <v>16200000</v>
      </c>
      <c r="AA1184" s="13">
        <v>7.4899999999999994E-2</v>
      </c>
      <c r="AB1184" s="21">
        <f t="shared" ref="AB1184:AB1247" si="367">IF(AND(R1184&lt;&gt;"C66",R1184&lt;&gt;""),Z1184/Y1184*AA1184,"")</f>
        <v>1213380</v>
      </c>
      <c r="AC1184" s="130">
        <f t="shared" ref="AC1184:AC1247" si="368">IF(R1184&lt;&gt;"",AB1184*AD1184,"")</f>
        <v>154220.598</v>
      </c>
      <c r="AD1184" s="169">
        <v>0.12709999999999999</v>
      </c>
      <c r="AE1184" s="154">
        <f t="shared" ref="AE1184:AE1247" si="369">IF(Q1184="","",IF(Q1184="Yes",1,0))</f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8"/>
        <v>28011162.254106201</v>
      </c>
      <c r="AJ1184" s="19">
        <f t="shared" si="359"/>
        <v>3401347.1124888416</v>
      </c>
      <c r="AK1184" s="20">
        <f t="shared" ref="AK1184:AK1247" si="370">IF(AJ1184&gt;0,AJ1184/AI1184,"")</f>
        <v>0.12142827497242578</v>
      </c>
      <c r="AL1184" s="17"/>
      <c r="AM1184" s="17"/>
      <c r="AN1184" s="17"/>
      <c r="AO1184" s="17"/>
      <c r="AP1184" s="28" t="str">
        <f t="shared" ref="AP1184:AP1247" si="371">IF(F1184="","",F1184&amp;G1184)</f>
        <v>202010</v>
      </c>
      <c r="AQ1184" s="28" t="str">
        <f t="shared" ref="AQ1184:AQ1247" si="372">IF(W1184="","",F1184&amp;G1184&amp;W1184)</f>
        <v>202010JPY</v>
      </c>
      <c r="AR1184" s="206" t="str">
        <f t="shared" ref="AR1184:AR1247" si="373">IFERROR(IF(AND(M1184="YAMAHA", R1184="C28"), "YAMAHA_Non_Mounter", IF(AND(M1184="YAMAHA", R1184="C49"), "YAMAHA_Mounter", M1184)),"")</f>
        <v>YAMAHA_Mounter</v>
      </c>
      <c r="AS1184" s="22">
        <f t="shared" ref="AS1184:AS1247" si="374">IFERROR(IF(OR(G1184="TBA", G1184=""), "", DATEDIF(DATE(B1184, C1184, 1), DATE(F1184, G1184, 1), "M")),"")</f>
        <v>10</v>
      </c>
      <c r="AT1184" s="24" t="str">
        <f t="shared" ref="AT1184:AT1247" si="375">IF(ISNUMBER(AS1184), IF(AS1184&gt;=0, IF(AS1184&lt;=3, "0-3 months", IF(AS1184&lt;=6, "4-6 months", "&gt; 6 months"))), "")</f>
        <v>&gt; 6 months</v>
      </c>
    </row>
    <row r="1185" spans="1:46" s="12" customFormat="1">
      <c r="A1185" s="33" t="str">
        <f t="shared" si="361"/>
        <v>FY 19/20</v>
      </c>
      <c r="B1185" s="152">
        <v>2019</v>
      </c>
      <c r="C1185" s="152">
        <v>12</v>
      </c>
      <c r="D1185" s="33" t="str">
        <f t="shared" si="362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63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64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5"/>
        <v>1</v>
      </c>
      <c r="Z1185" s="18">
        <f t="shared" si="366"/>
        <v>10200000</v>
      </c>
      <c r="AA1185" s="13">
        <v>7.4899999999999994E-2</v>
      </c>
      <c r="AB1185" s="21">
        <f t="shared" si="367"/>
        <v>763980</v>
      </c>
      <c r="AC1185" s="130">
        <f t="shared" si="368"/>
        <v>97101.857999999993</v>
      </c>
      <c r="AD1185" s="169">
        <v>0.12709999999999999</v>
      </c>
      <c r="AE1185" s="154">
        <f t="shared" si="369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8"/>
        <v>28011162.254106201</v>
      </c>
      <c r="AJ1185" s="19">
        <f t="shared" si="359"/>
        <v>3401347.1124888416</v>
      </c>
      <c r="AK1185" s="20">
        <f t="shared" si="370"/>
        <v>0.12142827497242578</v>
      </c>
      <c r="AL1185" s="17"/>
      <c r="AM1185" s="17"/>
      <c r="AN1185" s="17"/>
      <c r="AO1185" s="17"/>
      <c r="AP1185" s="28" t="str">
        <f t="shared" si="371"/>
        <v>202010</v>
      </c>
      <c r="AQ1185" s="28" t="str">
        <f t="shared" si="372"/>
        <v>202010JPY</v>
      </c>
      <c r="AR1185" s="206" t="str">
        <f t="shared" si="373"/>
        <v>YAMAHA_Mounter</v>
      </c>
      <c r="AS1185" s="22">
        <f t="shared" si="374"/>
        <v>10</v>
      </c>
      <c r="AT1185" s="24" t="str">
        <f t="shared" si="375"/>
        <v>&gt; 6 months</v>
      </c>
    </row>
    <row r="1186" spans="1:46" s="12" customFormat="1">
      <c r="A1186" s="33" t="str">
        <f t="shared" si="361"/>
        <v>cancel</v>
      </c>
      <c r="B1186" s="152"/>
      <c r="C1186" s="152" t="s">
        <v>186</v>
      </c>
      <c r="D1186" s="33" t="str">
        <f t="shared" si="362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63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64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5"/>
        <v>1</v>
      </c>
      <c r="Z1186" s="18">
        <f t="shared" si="366"/>
        <v>10600000</v>
      </c>
      <c r="AA1186" s="13">
        <v>7.2999999999999995E-2</v>
      </c>
      <c r="AB1186" s="21">
        <f t="shared" si="367"/>
        <v>773800</v>
      </c>
      <c r="AC1186" s="130">
        <f t="shared" si="368"/>
        <v>92856</v>
      </c>
      <c r="AD1186" s="169">
        <v>0.12</v>
      </c>
      <c r="AE1186" s="154">
        <f t="shared" si="369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8"/>
        <v>477651199.57437885</v>
      </c>
      <c r="AJ1186" s="19">
        <f t="shared" si="359"/>
        <v>56918800.518691957</v>
      </c>
      <c r="AK1186" s="20">
        <f t="shared" si="370"/>
        <v>0.11916394341605475</v>
      </c>
      <c r="AL1186" s="17"/>
      <c r="AM1186" s="17"/>
      <c r="AN1186" s="17"/>
      <c r="AO1186" s="17"/>
      <c r="AP1186" s="28" t="str">
        <f t="shared" si="371"/>
        <v>CancelCancel</v>
      </c>
      <c r="AQ1186" s="28" t="str">
        <f t="shared" si="372"/>
        <v>CancelCancelJPY</v>
      </c>
      <c r="AR1186" s="206" t="str">
        <f t="shared" si="373"/>
        <v>YAMAHA_Mounter</v>
      </c>
      <c r="AS1186" s="22" t="str">
        <f t="shared" si="374"/>
        <v/>
      </c>
      <c r="AT1186" s="24" t="str">
        <f t="shared" si="375"/>
        <v/>
      </c>
    </row>
    <row r="1187" spans="1:46" s="12" customFormat="1">
      <c r="A1187" s="33" t="str">
        <f t="shared" si="361"/>
        <v>cancel</v>
      </c>
      <c r="B1187" s="152"/>
      <c r="C1187" s="152" t="s">
        <v>186</v>
      </c>
      <c r="D1187" s="33" t="str">
        <f t="shared" si="362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63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64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5"/>
        <v>1</v>
      </c>
      <c r="Z1187" s="18">
        <f t="shared" si="366"/>
        <v>8150000</v>
      </c>
      <c r="AA1187" s="13">
        <v>7.2999999999999995E-2</v>
      </c>
      <c r="AB1187" s="21">
        <f t="shared" si="367"/>
        <v>594950</v>
      </c>
      <c r="AC1187" s="130">
        <f t="shared" si="368"/>
        <v>71394</v>
      </c>
      <c r="AD1187" s="169">
        <v>0.12</v>
      </c>
      <c r="AE1187" s="154">
        <f t="shared" si="369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8"/>
        <v>477651199.57437885</v>
      </c>
      <c r="AJ1187" s="19">
        <f t="shared" si="359"/>
        <v>56918800.518691957</v>
      </c>
      <c r="AK1187" s="20">
        <f t="shared" si="370"/>
        <v>0.11916394341605475</v>
      </c>
      <c r="AL1187" s="17"/>
      <c r="AM1187" s="17"/>
      <c r="AN1187" s="17"/>
      <c r="AO1187" s="17"/>
      <c r="AP1187" s="28" t="str">
        <f t="shared" si="371"/>
        <v>CancelCancel</v>
      </c>
      <c r="AQ1187" s="28" t="str">
        <f t="shared" si="372"/>
        <v>CancelCancelJPY</v>
      </c>
      <c r="AR1187" s="206" t="str">
        <f t="shared" si="373"/>
        <v>YAMAHA_Mounter</v>
      </c>
      <c r="AS1187" s="22" t="str">
        <f t="shared" si="374"/>
        <v/>
      </c>
      <c r="AT1187" s="24" t="str">
        <f t="shared" si="375"/>
        <v/>
      </c>
    </row>
    <row r="1188" spans="1:46" s="12" customFormat="1">
      <c r="A1188" s="33" t="str">
        <f t="shared" si="361"/>
        <v>cancel</v>
      </c>
      <c r="B1188" s="152"/>
      <c r="C1188" s="152" t="s">
        <v>186</v>
      </c>
      <c r="D1188" s="33" t="str">
        <f t="shared" si="362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63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64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5"/>
        <v>1</v>
      </c>
      <c r="Z1188" s="18">
        <f t="shared" si="366"/>
        <v>8150000</v>
      </c>
      <c r="AA1188" s="13">
        <v>7.2999999999999995E-2</v>
      </c>
      <c r="AB1188" s="21">
        <f t="shared" si="367"/>
        <v>594950</v>
      </c>
      <c r="AC1188" s="130">
        <f t="shared" si="368"/>
        <v>71394</v>
      </c>
      <c r="AD1188" s="169">
        <v>0.12</v>
      </c>
      <c r="AE1188" s="154">
        <f t="shared" si="369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8"/>
        <v>477651199.57437885</v>
      </c>
      <c r="AJ1188" s="19">
        <f t="shared" si="359"/>
        <v>56918800.518691957</v>
      </c>
      <c r="AK1188" s="20">
        <f t="shared" si="370"/>
        <v>0.11916394341605475</v>
      </c>
      <c r="AL1188" s="17"/>
      <c r="AM1188" s="17"/>
      <c r="AN1188" s="17"/>
      <c r="AO1188" s="17"/>
      <c r="AP1188" s="28" t="str">
        <f t="shared" si="371"/>
        <v>CancelCancel</v>
      </c>
      <c r="AQ1188" s="28" t="str">
        <f t="shared" si="372"/>
        <v>CancelCancelJPY</v>
      </c>
      <c r="AR1188" s="206" t="str">
        <f t="shared" si="373"/>
        <v>YAMAHA_Mounter</v>
      </c>
      <c r="AS1188" s="22" t="str">
        <f t="shared" si="374"/>
        <v/>
      </c>
      <c r="AT1188" s="24" t="str">
        <f t="shared" si="375"/>
        <v/>
      </c>
    </row>
    <row r="1189" spans="1:46" s="12" customFormat="1">
      <c r="A1189" s="33" t="str">
        <f t="shared" si="361"/>
        <v>FY 22/23</v>
      </c>
      <c r="B1189" s="152">
        <v>2022</v>
      </c>
      <c r="C1189" s="152">
        <v>6</v>
      </c>
      <c r="D1189" s="33" t="str">
        <f t="shared" si="362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63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64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5"/>
        <v>1</v>
      </c>
      <c r="Z1189" s="18">
        <f t="shared" si="366"/>
        <v>8300000</v>
      </c>
      <c r="AA1189" s="13">
        <v>5.7500000000000002E-2</v>
      </c>
      <c r="AB1189" s="21">
        <f t="shared" si="367"/>
        <v>477250</v>
      </c>
      <c r="AC1189" s="130">
        <f t="shared" si="368"/>
        <v>123416.84999999999</v>
      </c>
      <c r="AD1189" s="169">
        <v>0.2586</v>
      </c>
      <c r="AE1189" s="154">
        <f t="shared" si="369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8"/>
        <v>17329060.066371687</v>
      </c>
      <c r="AJ1189" s="19">
        <f t="shared" si="359"/>
        <v>2472600.2142256643</v>
      </c>
      <c r="AK1189" s="20">
        <f t="shared" si="370"/>
        <v>0.14268518919984163</v>
      </c>
      <c r="AL1189" s="17"/>
      <c r="AM1189" s="17"/>
      <c r="AN1189" s="17"/>
      <c r="AO1189" s="17"/>
      <c r="AP1189" s="28" t="str">
        <f t="shared" si="371"/>
        <v>202212</v>
      </c>
      <c r="AQ1189" s="28" t="str">
        <f t="shared" si="372"/>
        <v>202212JPY</v>
      </c>
      <c r="AR1189" s="206" t="str">
        <f t="shared" si="373"/>
        <v>YAMAHA_Mounter</v>
      </c>
      <c r="AS1189" s="22">
        <f t="shared" si="374"/>
        <v>6</v>
      </c>
      <c r="AT1189" s="24" t="str">
        <f t="shared" si="375"/>
        <v>4-6 months</v>
      </c>
    </row>
    <row r="1190" spans="1:46" s="12" customFormat="1">
      <c r="A1190" s="33" t="str">
        <f t="shared" si="361"/>
        <v>FY 22/23</v>
      </c>
      <c r="B1190" s="152">
        <v>2022</v>
      </c>
      <c r="C1190" s="152">
        <v>6</v>
      </c>
      <c r="D1190" s="33" t="str">
        <f t="shared" si="362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63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64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5"/>
        <v>1</v>
      </c>
      <c r="Z1190" s="18">
        <f t="shared" si="366"/>
        <v>8300000</v>
      </c>
      <c r="AA1190" s="13">
        <v>5.7500000000000002E-2</v>
      </c>
      <c r="AB1190" s="21">
        <f t="shared" si="367"/>
        <v>477250</v>
      </c>
      <c r="AC1190" s="130">
        <f t="shared" si="368"/>
        <v>123416.84999999999</v>
      </c>
      <c r="AD1190" s="169">
        <v>0.2586</v>
      </c>
      <c r="AE1190" s="154">
        <f t="shared" si="369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8"/>
        <v>17329060.066371687</v>
      </c>
      <c r="AJ1190" s="19">
        <f t="shared" si="359"/>
        <v>2472600.2142256643</v>
      </c>
      <c r="AK1190" s="20">
        <f t="shared" si="370"/>
        <v>0.14268518919984163</v>
      </c>
      <c r="AL1190" s="17"/>
      <c r="AM1190" s="17"/>
      <c r="AN1190" s="17"/>
      <c r="AO1190" s="17"/>
      <c r="AP1190" s="28" t="str">
        <f t="shared" si="371"/>
        <v>202212</v>
      </c>
      <c r="AQ1190" s="28" t="str">
        <f t="shared" si="372"/>
        <v>202212JPY</v>
      </c>
      <c r="AR1190" s="206" t="str">
        <f t="shared" si="373"/>
        <v>YAMAHA_Mounter</v>
      </c>
      <c r="AS1190" s="22">
        <f t="shared" si="374"/>
        <v>6</v>
      </c>
      <c r="AT1190" s="24" t="str">
        <f t="shared" si="375"/>
        <v>4-6 months</v>
      </c>
    </row>
    <row r="1191" spans="1:46" s="12" customFormat="1">
      <c r="A1191" s="33" t="str">
        <f t="shared" si="361"/>
        <v>FY 23/24</v>
      </c>
      <c r="B1191" s="152">
        <v>2023</v>
      </c>
      <c r="C1191" s="152">
        <v>8</v>
      </c>
      <c r="D1191" s="33" t="str">
        <f t="shared" si="362"/>
        <v>Q2</v>
      </c>
      <c r="E1191" s="33" t="str">
        <f>IF(G1191="Cancel","Cancel",IF(G1191="TBA","TBA",IFERROR(IF(I1191="Q4","FY "&amp;RIGHT(F1191,2)-1&amp;"/"&amp;RIGHT(F1191,2),"FY "&amp;RIGHT(F1191,2)&amp;"/"&amp;RIGHT(F1191,2)+1),"")))</f>
        <v>FY 24/25</v>
      </c>
      <c r="F1191" s="152">
        <v>2024</v>
      </c>
      <c r="G1191" s="152">
        <v>7</v>
      </c>
      <c r="H1191" s="155"/>
      <c r="I1191" s="33" t="str">
        <f t="shared" si="363"/>
        <v>Q2</v>
      </c>
      <c r="J1191" s="232" t="s">
        <v>3184</v>
      </c>
      <c r="K1191" s="155" t="s">
        <v>3185</v>
      </c>
      <c r="L1191" s="17" t="s">
        <v>3186</v>
      </c>
      <c r="M1191" s="13" t="s">
        <v>61</v>
      </c>
      <c r="N1191" s="13">
        <v>1</v>
      </c>
      <c r="O1191" s="13"/>
      <c r="P1191" s="33" t="str">
        <f t="shared" si="364"/>
        <v>MAIN UNIT</v>
      </c>
      <c r="Q1191" s="13" t="s">
        <v>62</v>
      </c>
      <c r="R1191" s="13" t="s">
        <v>63</v>
      </c>
      <c r="S1191" s="13" t="s">
        <v>53</v>
      </c>
      <c r="T1191" s="13" t="s">
        <v>2339</v>
      </c>
      <c r="U1191" s="13" t="s">
        <v>2340</v>
      </c>
      <c r="V1191" s="13" t="s">
        <v>81</v>
      </c>
      <c r="W1191" s="13" t="s">
        <v>65</v>
      </c>
      <c r="X1191" s="135">
        <v>740000</v>
      </c>
      <c r="Y1191" s="157" t="str">
        <f t="shared" si="365"/>
        <v>1.13</v>
      </c>
      <c r="Z1191" s="18">
        <f t="shared" si="366"/>
        <v>740000</v>
      </c>
      <c r="AA1191" s="22">
        <v>1.075</v>
      </c>
      <c r="AB1191" s="21">
        <f t="shared" si="367"/>
        <v>703982.3008849558</v>
      </c>
      <c r="AC1191" s="130">
        <f t="shared" si="368"/>
        <v>176910.7522123894</v>
      </c>
      <c r="AD1191" s="172">
        <v>0.25130000000000002</v>
      </c>
      <c r="AE1191" s="154">
        <f t="shared" si="369"/>
        <v>0</v>
      </c>
      <c r="AF1191" s="154" t="str">
        <f>IF(AND(COUNTIFS($J$18:J1191,J1191)=1,AE1191=1),1,"")</f>
        <v/>
      </c>
      <c r="AG1191" s="154">
        <f>IF(C1191="","",IF(AND(COUNTIFS($J$18:J1191,J1191)=1,C1191&lt;&gt;""),1,""))</f>
        <v>1</v>
      </c>
      <c r="AH1191" s="154">
        <f>IF(G1191="","",IF(AND(COUNTIFS($J$18:J1191,J1191)=1,G1191&lt;&gt;""),1,""))</f>
        <v>1</v>
      </c>
      <c r="AI1191" s="19">
        <f t="shared" si="358"/>
        <v>25458266.694690265</v>
      </c>
      <c r="AJ1191" s="19">
        <f t="shared" si="359"/>
        <v>4116526.778578762</v>
      </c>
      <c r="AK1191" s="20">
        <f t="shared" si="370"/>
        <v>0.16169705612508689</v>
      </c>
      <c r="AL1191" s="17"/>
      <c r="AM1191" s="17"/>
      <c r="AN1191" s="17"/>
      <c r="AO1191" s="17"/>
      <c r="AP1191" s="28" t="str">
        <f t="shared" si="371"/>
        <v>20247</v>
      </c>
      <c r="AQ1191" s="28" t="str">
        <f t="shared" si="372"/>
        <v>20247RMB</v>
      </c>
      <c r="AR1191" s="206" t="str">
        <f t="shared" si="373"/>
        <v>YAMAHA_Mounter</v>
      </c>
      <c r="AS1191" s="22">
        <f t="shared" si="374"/>
        <v>11</v>
      </c>
      <c r="AT1191" s="24" t="str">
        <f t="shared" si="375"/>
        <v>&gt; 6 months</v>
      </c>
    </row>
    <row r="1192" spans="1:46" s="12" customFormat="1">
      <c r="A1192" s="33" t="str">
        <f t="shared" si="361"/>
        <v>FY 20/21</v>
      </c>
      <c r="B1192" s="152">
        <v>2020</v>
      </c>
      <c r="C1192" s="152">
        <v>12</v>
      </c>
      <c r="D1192" s="33" t="str">
        <f t="shared" si="362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63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64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si="365"/>
        <v>1</v>
      </c>
      <c r="Z1192" s="18">
        <f t="shared" si="366"/>
        <v>8600000</v>
      </c>
      <c r="AA1192" s="13">
        <v>7.4499999999999997E-2</v>
      </c>
      <c r="AB1192" s="21">
        <f t="shared" si="367"/>
        <v>640700</v>
      </c>
      <c r="AC1192" s="130">
        <f t="shared" si="368"/>
        <v>103024.56</v>
      </c>
      <c r="AD1192" s="169">
        <v>0.1608</v>
      </c>
      <c r="AE1192" s="154">
        <f t="shared" si="369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8"/>
        <v>57778307.282035396</v>
      </c>
      <c r="AJ1192" s="19">
        <f t="shared" si="359"/>
        <v>7259860.7225420559</v>
      </c>
      <c r="AK1192" s="20">
        <f t="shared" si="370"/>
        <v>0.12565028406083667</v>
      </c>
      <c r="AL1192" s="17"/>
      <c r="AM1192" s="17"/>
      <c r="AN1192" s="17"/>
      <c r="AO1192" s="17"/>
      <c r="AP1192" s="28" t="str">
        <f t="shared" si="371"/>
        <v>20213</v>
      </c>
      <c r="AQ1192" s="28" t="str">
        <f t="shared" si="372"/>
        <v>20213JPY</v>
      </c>
      <c r="AR1192" s="206" t="str">
        <f t="shared" si="373"/>
        <v>YAMAHA_Mounter</v>
      </c>
      <c r="AS1192" s="22">
        <f t="shared" si="374"/>
        <v>3</v>
      </c>
      <c r="AT1192" s="24" t="str">
        <f t="shared" si="375"/>
        <v>0-3 months</v>
      </c>
    </row>
    <row r="1193" spans="1:46" s="12" customFormat="1">
      <c r="A1193" s="33" t="str">
        <f t="shared" si="361"/>
        <v>FY 20/21</v>
      </c>
      <c r="B1193" s="152">
        <v>2020</v>
      </c>
      <c r="C1193" s="152">
        <v>12</v>
      </c>
      <c r="D1193" s="33" t="str">
        <f t="shared" si="362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63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64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5"/>
        <v>1</v>
      </c>
      <c r="Z1193" s="18">
        <f t="shared" si="366"/>
        <v>8600000</v>
      </c>
      <c r="AA1193" s="13">
        <v>7.4499999999999997E-2</v>
      </c>
      <c r="AB1193" s="21">
        <f t="shared" si="367"/>
        <v>640700</v>
      </c>
      <c r="AC1193" s="130">
        <f t="shared" si="368"/>
        <v>103024.56</v>
      </c>
      <c r="AD1193" s="169">
        <v>0.1608</v>
      </c>
      <c r="AE1193" s="154">
        <f t="shared" si="369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8"/>
        <v>57778307.282035396</v>
      </c>
      <c r="AJ1193" s="19">
        <f t="shared" si="359"/>
        <v>7259860.7225420559</v>
      </c>
      <c r="AK1193" s="20">
        <f t="shared" si="370"/>
        <v>0.12565028406083667</v>
      </c>
      <c r="AL1193" s="17"/>
      <c r="AM1193" s="17"/>
      <c r="AN1193" s="17"/>
      <c r="AO1193" s="17"/>
      <c r="AP1193" s="28" t="str">
        <f t="shared" si="371"/>
        <v>20213</v>
      </c>
      <c r="AQ1193" s="28" t="str">
        <f t="shared" si="372"/>
        <v>20213JPY</v>
      </c>
      <c r="AR1193" s="206" t="str">
        <f t="shared" si="373"/>
        <v>YAMAHA_Mounter</v>
      </c>
      <c r="AS1193" s="22">
        <f t="shared" si="374"/>
        <v>3</v>
      </c>
      <c r="AT1193" s="24" t="str">
        <f t="shared" si="375"/>
        <v>0-3 months</v>
      </c>
    </row>
    <row r="1194" spans="1:46" s="12" customFormat="1">
      <c r="A1194" s="33" t="str">
        <f t="shared" si="361"/>
        <v>FY 20/21</v>
      </c>
      <c r="B1194" s="152">
        <v>2020</v>
      </c>
      <c r="C1194" s="152">
        <v>12</v>
      </c>
      <c r="D1194" s="33" t="str">
        <f t="shared" si="362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63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64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5"/>
        <v>1</v>
      </c>
      <c r="Z1194" s="18">
        <f t="shared" si="366"/>
        <v>8150000</v>
      </c>
      <c r="AA1194" s="13">
        <v>7.2400000000000006E-2</v>
      </c>
      <c r="AB1194" s="21">
        <f t="shared" si="367"/>
        <v>590060</v>
      </c>
      <c r="AC1194" s="130">
        <f t="shared" si="368"/>
        <v>70807.199999999997</v>
      </c>
      <c r="AD1194" s="169">
        <v>0.12</v>
      </c>
      <c r="AE1194" s="154">
        <f t="shared" si="369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8"/>
        <v>477651199.57437885</v>
      </c>
      <c r="AJ1194" s="19">
        <f t="shared" si="359"/>
        <v>56918800.518691957</v>
      </c>
      <c r="AK1194" s="20">
        <f t="shared" si="370"/>
        <v>0.11916394341605475</v>
      </c>
      <c r="AL1194" s="17"/>
      <c r="AM1194" s="17"/>
      <c r="AN1194" s="17"/>
      <c r="AO1194" s="17"/>
      <c r="AP1194" s="28" t="str">
        <f t="shared" si="371"/>
        <v>CancelCancel</v>
      </c>
      <c r="AQ1194" s="28" t="str">
        <f t="shared" si="372"/>
        <v>CancelCancelJPY</v>
      </c>
      <c r="AR1194" s="206" t="str">
        <f t="shared" si="373"/>
        <v>YAMAHA_Mounter</v>
      </c>
      <c r="AS1194" s="22" t="str">
        <f t="shared" si="374"/>
        <v/>
      </c>
      <c r="AT1194" s="24" t="str">
        <f t="shared" si="375"/>
        <v/>
      </c>
    </row>
    <row r="1195" spans="1:46" s="12" customFormat="1">
      <c r="A1195" s="33" t="str">
        <f t="shared" si="361"/>
        <v>FY 20/21</v>
      </c>
      <c r="B1195" s="152">
        <v>2020</v>
      </c>
      <c r="C1195" s="152">
        <v>12</v>
      </c>
      <c r="D1195" s="33" t="str">
        <f t="shared" si="362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63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64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5"/>
        <v>1</v>
      </c>
      <c r="Z1195" s="18">
        <f t="shared" si="366"/>
        <v>8150000</v>
      </c>
      <c r="AA1195" s="13">
        <v>7.2400000000000006E-2</v>
      </c>
      <c r="AB1195" s="21">
        <f t="shared" si="367"/>
        <v>590060</v>
      </c>
      <c r="AC1195" s="130">
        <f t="shared" si="368"/>
        <v>70807.199999999997</v>
      </c>
      <c r="AD1195" s="169">
        <v>0.12</v>
      </c>
      <c r="AE1195" s="154">
        <f t="shared" si="369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8"/>
        <v>477651199.57437885</v>
      </c>
      <c r="AJ1195" s="19">
        <f t="shared" si="359"/>
        <v>56918800.518691957</v>
      </c>
      <c r="AK1195" s="20">
        <f t="shared" si="370"/>
        <v>0.11916394341605475</v>
      </c>
      <c r="AL1195" s="17"/>
      <c r="AM1195" s="17"/>
      <c r="AN1195" s="17"/>
      <c r="AO1195" s="17"/>
      <c r="AP1195" s="28" t="str">
        <f t="shared" si="371"/>
        <v>CancelCancel</v>
      </c>
      <c r="AQ1195" s="28" t="str">
        <f t="shared" si="372"/>
        <v>CancelCancelJPY</v>
      </c>
      <c r="AR1195" s="206" t="str">
        <f t="shared" si="373"/>
        <v>YAMAHA_Mounter</v>
      </c>
      <c r="AS1195" s="22" t="str">
        <f t="shared" si="374"/>
        <v/>
      </c>
      <c r="AT1195" s="24" t="str">
        <f t="shared" si="375"/>
        <v/>
      </c>
    </row>
    <row r="1196" spans="1:46" s="12" customFormat="1">
      <c r="A1196" s="33" t="str">
        <f t="shared" si="361"/>
        <v>FY 20/21</v>
      </c>
      <c r="B1196" s="152">
        <v>2020</v>
      </c>
      <c r="C1196" s="152">
        <v>12</v>
      </c>
      <c r="D1196" s="33" t="str">
        <f t="shared" si="362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63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64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5"/>
        <v>1</v>
      </c>
      <c r="Z1196" s="18">
        <f t="shared" si="366"/>
        <v>8150000</v>
      </c>
      <c r="AA1196" s="13">
        <v>7.2400000000000006E-2</v>
      </c>
      <c r="AB1196" s="21">
        <f t="shared" si="367"/>
        <v>590060</v>
      </c>
      <c r="AC1196" s="130">
        <f t="shared" si="368"/>
        <v>70807.199999999997</v>
      </c>
      <c r="AD1196" s="169">
        <v>0.12</v>
      </c>
      <c r="AE1196" s="154">
        <f t="shared" si="369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8"/>
        <v>477651199.57437885</v>
      </c>
      <c r="AJ1196" s="19">
        <f t="shared" si="359"/>
        <v>56918800.518691957</v>
      </c>
      <c r="AK1196" s="20">
        <f t="shared" si="370"/>
        <v>0.11916394341605475</v>
      </c>
      <c r="AL1196" s="17"/>
      <c r="AM1196" s="17"/>
      <c r="AN1196" s="17"/>
      <c r="AO1196" s="17"/>
      <c r="AP1196" s="28" t="str">
        <f t="shared" si="371"/>
        <v>CancelCancel</v>
      </c>
      <c r="AQ1196" s="28" t="str">
        <f t="shared" si="372"/>
        <v>CancelCancelJPY</v>
      </c>
      <c r="AR1196" s="206" t="str">
        <f t="shared" si="373"/>
        <v>YAMAHA_Mounter</v>
      </c>
      <c r="AS1196" s="22" t="str">
        <f t="shared" si="374"/>
        <v/>
      </c>
      <c r="AT1196" s="24" t="str">
        <f t="shared" si="375"/>
        <v/>
      </c>
    </row>
    <row r="1197" spans="1:46" s="12" customFormat="1">
      <c r="A1197" s="33" t="str">
        <f t="shared" si="361"/>
        <v>FY 20/21</v>
      </c>
      <c r="B1197" s="152">
        <v>2020</v>
      </c>
      <c r="C1197" s="152">
        <v>12</v>
      </c>
      <c r="D1197" s="33" t="str">
        <f t="shared" si="362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63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64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5"/>
        <v>1</v>
      </c>
      <c r="Z1197" s="18">
        <f t="shared" si="366"/>
        <v>8150000</v>
      </c>
      <c r="AA1197" s="13">
        <v>7.2400000000000006E-2</v>
      </c>
      <c r="AB1197" s="21">
        <f t="shared" si="367"/>
        <v>590060</v>
      </c>
      <c r="AC1197" s="130">
        <f t="shared" si="368"/>
        <v>70807.199999999997</v>
      </c>
      <c r="AD1197" s="169">
        <v>0.12</v>
      </c>
      <c r="AE1197" s="154">
        <f t="shared" si="369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8"/>
        <v>477651199.57437885</v>
      </c>
      <c r="AJ1197" s="19">
        <f t="shared" si="359"/>
        <v>56918800.518691957</v>
      </c>
      <c r="AK1197" s="20">
        <f t="shared" si="370"/>
        <v>0.11916394341605475</v>
      </c>
      <c r="AL1197" s="17"/>
      <c r="AM1197" s="17"/>
      <c r="AN1197" s="17"/>
      <c r="AO1197" s="17"/>
      <c r="AP1197" s="28" t="str">
        <f t="shared" si="371"/>
        <v>CancelCancel</v>
      </c>
      <c r="AQ1197" s="28" t="str">
        <f t="shared" si="372"/>
        <v>CancelCancelJPY</v>
      </c>
      <c r="AR1197" s="206" t="str">
        <f t="shared" si="373"/>
        <v>YAMAHA_Mounter</v>
      </c>
      <c r="AS1197" s="22" t="str">
        <f t="shared" si="374"/>
        <v/>
      </c>
      <c r="AT1197" s="24" t="str">
        <f t="shared" si="375"/>
        <v/>
      </c>
    </row>
    <row r="1198" spans="1:46" s="12" customFormat="1">
      <c r="A1198" s="33" t="str">
        <f t="shared" si="361"/>
        <v>FY 20/21</v>
      </c>
      <c r="B1198" s="152">
        <v>2021</v>
      </c>
      <c r="C1198" s="152">
        <v>3</v>
      </c>
      <c r="D1198" s="33" t="str">
        <f t="shared" si="362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63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64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5"/>
        <v>1</v>
      </c>
      <c r="Z1198" s="18">
        <f t="shared" si="366"/>
        <v>9600000</v>
      </c>
      <c r="AA1198" s="13">
        <v>7.2800000000000004E-2</v>
      </c>
      <c r="AB1198" s="21">
        <f t="shared" si="367"/>
        <v>698880</v>
      </c>
      <c r="AC1198" s="130">
        <f t="shared" si="368"/>
        <v>119718.144</v>
      </c>
      <c r="AD1198" s="169">
        <v>0.17130000000000001</v>
      </c>
      <c r="AE1198" s="154">
        <f t="shared" si="369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8"/>
        <v>63006605.696460173</v>
      </c>
      <c r="AJ1198" s="19">
        <f t="shared" si="359"/>
        <v>8897485.660753984</v>
      </c>
      <c r="AK1198" s="20">
        <f t="shared" si="370"/>
        <v>0.141215124388995</v>
      </c>
      <c r="AL1198" s="17"/>
      <c r="AM1198" s="17"/>
      <c r="AN1198" s="17"/>
      <c r="AO1198" s="17"/>
      <c r="AP1198" s="28" t="str">
        <f t="shared" si="371"/>
        <v>20215</v>
      </c>
      <c r="AQ1198" s="28" t="str">
        <f t="shared" si="372"/>
        <v>20215JPY</v>
      </c>
      <c r="AR1198" s="206" t="str">
        <f t="shared" si="373"/>
        <v>YAMAHA_Mounter</v>
      </c>
      <c r="AS1198" s="22">
        <f t="shared" si="374"/>
        <v>2</v>
      </c>
      <c r="AT1198" s="24" t="str">
        <f t="shared" si="375"/>
        <v>0-3 months</v>
      </c>
    </row>
    <row r="1199" spans="1:46" s="12" customFormat="1">
      <c r="A1199" s="33" t="str">
        <f t="shared" si="361"/>
        <v>FY 21/22</v>
      </c>
      <c r="B1199" s="152">
        <v>2022</v>
      </c>
      <c r="C1199" s="152">
        <v>2</v>
      </c>
      <c r="D1199" s="33" t="str">
        <f t="shared" si="362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63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64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5"/>
        <v>1</v>
      </c>
      <c r="Z1199" s="18">
        <f t="shared" si="366"/>
        <v>9000000</v>
      </c>
      <c r="AA1199" s="13">
        <v>6.2799999999999995E-2</v>
      </c>
      <c r="AB1199" s="21">
        <f t="shared" si="367"/>
        <v>565200</v>
      </c>
      <c r="AC1199" s="130">
        <f t="shared" si="368"/>
        <v>92014.56</v>
      </c>
      <c r="AD1199" s="169">
        <v>0.1628</v>
      </c>
      <c r="AE1199" s="154">
        <f t="shared" si="369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8"/>
        <v>44014086.982070789</v>
      </c>
      <c r="AJ1199" s="19">
        <f t="shared" si="359"/>
        <v>6419974.0221889298</v>
      </c>
      <c r="AK1199" s="20">
        <f t="shared" si="370"/>
        <v>0.14586180158193709</v>
      </c>
      <c r="AL1199" s="17"/>
      <c r="AM1199" s="17"/>
      <c r="AN1199" s="17"/>
      <c r="AO1199" s="17"/>
      <c r="AP1199" s="28" t="str">
        <f t="shared" si="371"/>
        <v>20225</v>
      </c>
      <c r="AQ1199" s="28" t="str">
        <f t="shared" si="372"/>
        <v>20225JPY</v>
      </c>
      <c r="AR1199" s="206" t="str">
        <f t="shared" si="373"/>
        <v>YAMAHA_Mounter</v>
      </c>
      <c r="AS1199" s="22">
        <f t="shared" si="374"/>
        <v>3</v>
      </c>
      <c r="AT1199" s="24" t="str">
        <f t="shared" si="375"/>
        <v>0-3 months</v>
      </c>
    </row>
    <row r="1200" spans="1:46" s="12" customFormat="1">
      <c r="A1200" s="33" t="str">
        <f t="shared" si="361"/>
        <v>FY 21/22</v>
      </c>
      <c r="B1200" s="152">
        <v>2022</v>
      </c>
      <c r="C1200" s="152">
        <v>2</v>
      </c>
      <c r="D1200" s="33" t="str">
        <f t="shared" si="362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63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64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5"/>
        <v>1</v>
      </c>
      <c r="Z1200" s="18">
        <f t="shared" si="366"/>
        <v>9000000</v>
      </c>
      <c r="AA1200" s="13">
        <v>6.2799999999999995E-2</v>
      </c>
      <c r="AB1200" s="21">
        <f t="shared" si="367"/>
        <v>565200</v>
      </c>
      <c r="AC1200" s="130">
        <f t="shared" si="368"/>
        <v>92014.56</v>
      </c>
      <c r="AD1200" s="169">
        <v>0.1628</v>
      </c>
      <c r="AE1200" s="154">
        <f t="shared" si="369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8"/>
        <v>44014086.982070789</v>
      </c>
      <c r="AJ1200" s="19">
        <f t="shared" si="359"/>
        <v>6419974.0221889298</v>
      </c>
      <c r="AK1200" s="20">
        <f t="shared" si="370"/>
        <v>0.14586180158193709</v>
      </c>
      <c r="AL1200" s="17"/>
      <c r="AM1200" s="17"/>
      <c r="AN1200" s="17"/>
      <c r="AO1200" s="17"/>
      <c r="AP1200" s="28" t="str">
        <f t="shared" si="371"/>
        <v>20225</v>
      </c>
      <c r="AQ1200" s="28" t="str">
        <f t="shared" si="372"/>
        <v>20225JPY</v>
      </c>
      <c r="AR1200" s="206" t="str">
        <f t="shared" si="373"/>
        <v>YAMAHA_Mounter</v>
      </c>
      <c r="AS1200" s="22">
        <f t="shared" si="374"/>
        <v>3</v>
      </c>
      <c r="AT1200" s="24" t="str">
        <f t="shared" si="375"/>
        <v>0-3 months</v>
      </c>
    </row>
    <row r="1201" spans="1:46" s="12" customFormat="1">
      <c r="A1201" s="33" t="str">
        <f t="shared" si="361"/>
        <v>FY 20/21</v>
      </c>
      <c r="B1201" s="152">
        <v>2020</v>
      </c>
      <c r="C1201" s="152">
        <v>9</v>
      </c>
      <c r="D1201" s="33" t="str">
        <f t="shared" si="362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63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64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5"/>
        <v>1.13</v>
      </c>
      <c r="Z1201" s="18">
        <f t="shared" si="366"/>
        <v>900000</v>
      </c>
      <c r="AA1201" s="13">
        <v>1.155</v>
      </c>
      <c r="AB1201" s="21">
        <f t="shared" si="367"/>
        <v>919911.50442477886</v>
      </c>
      <c r="AC1201" s="130">
        <f t="shared" si="368"/>
        <v>114620.97345132745</v>
      </c>
      <c r="AD1201" s="169">
        <v>0.1246</v>
      </c>
      <c r="AE1201" s="154">
        <f t="shared" si="369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8"/>
        <v>44078731.611185849</v>
      </c>
      <c r="AJ1201" s="19">
        <f t="shared" si="359"/>
        <v>5508173.2163771465</v>
      </c>
      <c r="AK1201" s="20">
        <f t="shared" si="370"/>
        <v>0.12496215328889679</v>
      </c>
      <c r="AL1201" s="17"/>
      <c r="AM1201" s="17"/>
      <c r="AN1201" s="17"/>
      <c r="AO1201" s="17"/>
      <c r="AP1201" s="28" t="str">
        <f t="shared" si="371"/>
        <v>202011</v>
      </c>
      <c r="AQ1201" s="28" t="str">
        <f t="shared" si="372"/>
        <v>202011RMB</v>
      </c>
      <c r="AR1201" s="206" t="str">
        <f t="shared" si="373"/>
        <v>YAMAHA_Mounter</v>
      </c>
      <c r="AS1201" s="22">
        <f t="shared" si="374"/>
        <v>2</v>
      </c>
      <c r="AT1201" s="24" t="str">
        <f t="shared" si="375"/>
        <v>0-3 months</v>
      </c>
    </row>
    <row r="1202" spans="1:46" s="12" customFormat="1">
      <c r="A1202" s="33" t="str">
        <f t="shared" si="361"/>
        <v>FY 20/21</v>
      </c>
      <c r="B1202" s="152">
        <v>2020</v>
      </c>
      <c r="C1202" s="152">
        <v>9</v>
      </c>
      <c r="D1202" s="33" t="str">
        <f t="shared" si="362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63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64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5"/>
        <v>1.13</v>
      </c>
      <c r="Z1202" s="18">
        <f t="shared" si="366"/>
        <v>900000</v>
      </c>
      <c r="AA1202" s="13">
        <v>1.155</v>
      </c>
      <c r="AB1202" s="21">
        <f t="shared" si="367"/>
        <v>919911.50442477886</v>
      </c>
      <c r="AC1202" s="130">
        <f t="shared" si="368"/>
        <v>114620.97345132745</v>
      </c>
      <c r="AD1202" s="169">
        <v>0.1246</v>
      </c>
      <c r="AE1202" s="154">
        <f t="shared" si="369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8"/>
        <v>44078731.611185849</v>
      </c>
      <c r="AJ1202" s="19">
        <f t="shared" si="359"/>
        <v>5508173.2163771465</v>
      </c>
      <c r="AK1202" s="20">
        <f t="shared" si="370"/>
        <v>0.12496215328889679</v>
      </c>
      <c r="AL1202" s="17"/>
      <c r="AM1202" s="17"/>
      <c r="AN1202" s="17"/>
      <c r="AO1202" s="17"/>
      <c r="AP1202" s="28" t="str">
        <f t="shared" si="371"/>
        <v>202011</v>
      </c>
      <c r="AQ1202" s="28" t="str">
        <f t="shared" si="372"/>
        <v>202011RMB</v>
      </c>
      <c r="AR1202" s="206" t="str">
        <f t="shared" si="373"/>
        <v>YAMAHA_Mounter</v>
      </c>
      <c r="AS1202" s="22">
        <f t="shared" si="374"/>
        <v>2</v>
      </c>
      <c r="AT1202" s="24" t="str">
        <f t="shared" si="375"/>
        <v>0-3 months</v>
      </c>
    </row>
    <row r="1203" spans="1:46" s="12" customFormat="1">
      <c r="A1203" s="33" t="str">
        <f t="shared" si="361"/>
        <v>FY 20/21</v>
      </c>
      <c r="B1203" s="152">
        <v>2020</v>
      </c>
      <c r="C1203" s="152">
        <v>9</v>
      </c>
      <c r="D1203" s="33" t="str">
        <f t="shared" si="362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63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64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5"/>
        <v>1.13</v>
      </c>
      <c r="Z1203" s="18">
        <f t="shared" si="366"/>
        <v>875000</v>
      </c>
      <c r="AA1203" s="13">
        <v>1.155</v>
      </c>
      <c r="AB1203" s="21">
        <f t="shared" si="367"/>
        <v>894358.40707964613</v>
      </c>
      <c r="AC1203" s="130">
        <f t="shared" si="368"/>
        <v>111437.05752212391</v>
      </c>
      <c r="AD1203" s="169">
        <v>0.1246</v>
      </c>
      <c r="AE1203" s="154">
        <f t="shared" si="369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8"/>
        <v>44078731.611185849</v>
      </c>
      <c r="AJ1203" s="19">
        <f t="shared" si="359"/>
        <v>5508173.2163771465</v>
      </c>
      <c r="AK1203" s="20">
        <f t="shared" si="370"/>
        <v>0.12496215328889679</v>
      </c>
      <c r="AL1203" s="17"/>
      <c r="AM1203" s="17"/>
      <c r="AN1203" s="17"/>
      <c r="AO1203" s="17"/>
      <c r="AP1203" s="28" t="str">
        <f t="shared" si="371"/>
        <v>202011</v>
      </c>
      <c r="AQ1203" s="28" t="str">
        <f t="shared" si="372"/>
        <v>202011RMB</v>
      </c>
      <c r="AR1203" s="206" t="str">
        <f t="shared" si="373"/>
        <v>YAMAHA_Mounter</v>
      </c>
      <c r="AS1203" s="22">
        <f t="shared" si="374"/>
        <v>2</v>
      </c>
      <c r="AT1203" s="24" t="str">
        <f t="shared" si="375"/>
        <v>0-3 months</v>
      </c>
    </row>
    <row r="1204" spans="1:46" s="12" customFormat="1">
      <c r="A1204" s="33" t="str">
        <f t="shared" si="361"/>
        <v>FY 20/21</v>
      </c>
      <c r="B1204" s="152">
        <v>2020</v>
      </c>
      <c r="C1204" s="152">
        <v>9</v>
      </c>
      <c r="D1204" s="33" t="str">
        <f t="shared" si="362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63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64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5"/>
        <v>1.13</v>
      </c>
      <c r="Z1204" s="18">
        <f t="shared" si="366"/>
        <v>875000</v>
      </c>
      <c r="AA1204" s="13">
        <v>1.155</v>
      </c>
      <c r="AB1204" s="21">
        <f t="shared" si="367"/>
        <v>894358.40707964613</v>
      </c>
      <c r="AC1204" s="130">
        <f t="shared" si="368"/>
        <v>111437.05752212391</v>
      </c>
      <c r="AD1204" s="169">
        <v>0.1246</v>
      </c>
      <c r="AE1204" s="154">
        <f t="shared" si="369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8"/>
        <v>44078731.611185849</v>
      </c>
      <c r="AJ1204" s="19">
        <f t="shared" si="359"/>
        <v>5508173.2163771465</v>
      </c>
      <c r="AK1204" s="20">
        <f t="shared" si="370"/>
        <v>0.12496215328889679</v>
      </c>
      <c r="AL1204" s="17"/>
      <c r="AM1204" s="17"/>
      <c r="AN1204" s="17"/>
      <c r="AO1204" s="17"/>
      <c r="AP1204" s="28" t="str">
        <f t="shared" si="371"/>
        <v>202011</v>
      </c>
      <c r="AQ1204" s="28" t="str">
        <f t="shared" si="372"/>
        <v>202011RMB</v>
      </c>
      <c r="AR1204" s="206" t="str">
        <f t="shared" si="373"/>
        <v>YAMAHA_Mounter</v>
      </c>
      <c r="AS1204" s="22">
        <f t="shared" si="374"/>
        <v>2</v>
      </c>
      <c r="AT1204" s="24" t="str">
        <f t="shared" si="375"/>
        <v>0-3 months</v>
      </c>
    </row>
    <row r="1205" spans="1:46" s="12" customFormat="1">
      <c r="A1205" s="33" t="str">
        <f t="shared" si="361"/>
        <v>FY 22/23</v>
      </c>
      <c r="B1205" s="152">
        <v>2022</v>
      </c>
      <c r="C1205" s="152">
        <v>4</v>
      </c>
      <c r="D1205" s="33" t="str">
        <f t="shared" si="362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63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64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5"/>
        <v>1.13</v>
      </c>
      <c r="Z1205" s="18">
        <f t="shared" si="366"/>
        <v>490000</v>
      </c>
      <c r="AA1205" s="13">
        <v>1.175</v>
      </c>
      <c r="AB1205" s="21">
        <f t="shared" si="367"/>
        <v>509513.27433628327</v>
      </c>
      <c r="AC1205" s="130">
        <f t="shared" si="368"/>
        <v>105469.24778761063</v>
      </c>
      <c r="AD1205" s="169">
        <v>0.20699999999999999</v>
      </c>
      <c r="AE1205" s="154">
        <f t="shared" si="369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8"/>
        <v>35682787.057522126</v>
      </c>
      <c r="AJ1205" s="19">
        <f t="shared" si="359"/>
        <v>5833368.3789623892</v>
      </c>
      <c r="AK1205" s="20">
        <f t="shared" si="370"/>
        <v>0.16347849649632912</v>
      </c>
      <c r="AL1205" s="17"/>
      <c r="AM1205" s="17"/>
      <c r="AN1205" s="17"/>
      <c r="AO1205" s="17"/>
      <c r="AP1205" s="28" t="str">
        <f t="shared" si="371"/>
        <v>20226</v>
      </c>
      <c r="AQ1205" s="28" t="str">
        <f t="shared" si="372"/>
        <v>20226RMB</v>
      </c>
      <c r="AR1205" s="206" t="str">
        <f t="shared" si="373"/>
        <v>YAMAHA_Mounter</v>
      </c>
      <c r="AS1205" s="22">
        <f t="shared" si="374"/>
        <v>2</v>
      </c>
      <c r="AT1205" s="24" t="str">
        <f t="shared" si="375"/>
        <v>0-3 months</v>
      </c>
    </row>
    <row r="1206" spans="1:46" s="12" customFormat="1">
      <c r="A1206" s="33" t="str">
        <f t="shared" si="361"/>
        <v>FY 19/20</v>
      </c>
      <c r="B1206" s="152">
        <v>2019</v>
      </c>
      <c r="C1206" s="152">
        <v>12</v>
      </c>
      <c r="D1206" s="33" t="str">
        <f t="shared" si="362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63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64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6"/>
        <v>11000000</v>
      </c>
      <c r="AA1206" s="13">
        <v>7.2999999999999995E-2</v>
      </c>
      <c r="AB1206" s="21">
        <f t="shared" si="367"/>
        <v>803000</v>
      </c>
      <c r="AC1206" s="130">
        <f t="shared" si="368"/>
        <v>98367.5</v>
      </c>
      <c r="AD1206" s="169">
        <v>0.1225</v>
      </c>
      <c r="AE1206" s="154">
        <f t="shared" si="369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8"/>
        <v>11620538.477876106</v>
      </c>
      <c r="AJ1206" s="19">
        <f t="shared" si="359"/>
        <v>1598596.3145221241</v>
      </c>
      <c r="AK1206" s="20">
        <f t="shared" si="370"/>
        <v>0.13756645766163331</v>
      </c>
      <c r="AL1206" s="17"/>
      <c r="AM1206" s="17"/>
      <c r="AN1206" s="17"/>
      <c r="AO1206" s="17"/>
      <c r="AP1206" s="28" t="str">
        <f t="shared" si="371"/>
        <v>20201</v>
      </c>
      <c r="AQ1206" s="28" t="str">
        <f t="shared" si="372"/>
        <v>20201JPY</v>
      </c>
      <c r="AR1206" s="206" t="str">
        <f t="shared" si="373"/>
        <v>YAMAHA_Mounter</v>
      </c>
      <c r="AS1206" s="22">
        <f t="shared" si="374"/>
        <v>1</v>
      </c>
      <c r="AT1206" s="24" t="str">
        <f t="shared" si="375"/>
        <v>0-3 months</v>
      </c>
    </row>
    <row r="1207" spans="1:46" s="12" customFormat="1">
      <c r="A1207" s="33" t="str">
        <f t="shared" si="361"/>
        <v>FY 19/20</v>
      </c>
      <c r="B1207" s="152">
        <v>2019</v>
      </c>
      <c r="C1207" s="152">
        <v>12</v>
      </c>
      <c r="D1207" s="33" t="str">
        <f t="shared" si="362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63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64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6"/>
        <v>11000000</v>
      </c>
      <c r="AA1207" s="13">
        <v>7.2999999999999995E-2</v>
      </c>
      <c r="AB1207" s="21">
        <f t="shared" si="367"/>
        <v>803000</v>
      </c>
      <c r="AC1207" s="130">
        <f t="shared" si="368"/>
        <v>98367.5</v>
      </c>
      <c r="AD1207" s="169">
        <v>0.1225</v>
      </c>
      <c r="AE1207" s="154">
        <f t="shared" si="369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8"/>
        <v>11620538.477876106</v>
      </c>
      <c r="AJ1207" s="19">
        <f t="shared" si="359"/>
        <v>1598596.3145221241</v>
      </c>
      <c r="AK1207" s="20">
        <f t="shared" si="370"/>
        <v>0.13756645766163331</v>
      </c>
      <c r="AL1207" s="17"/>
      <c r="AM1207" s="17"/>
      <c r="AN1207" s="17"/>
      <c r="AO1207" s="17"/>
      <c r="AP1207" s="28" t="str">
        <f t="shared" si="371"/>
        <v>20201</v>
      </c>
      <c r="AQ1207" s="28" t="str">
        <f t="shared" si="372"/>
        <v>20201JPY</v>
      </c>
      <c r="AR1207" s="206" t="str">
        <f t="shared" si="373"/>
        <v>YAMAHA_Mounter</v>
      </c>
      <c r="AS1207" s="22">
        <f t="shared" si="374"/>
        <v>1</v>
      </c>
      <c r="AT1207" s="24" t="str">
        <f t="shared" si="375"/>
        <v>0-3 months</v>
      </c>
    </row>
    <row r="1208" spans="1:46" s="12" customFormat="1">
      <c r="A1208" s="33" t="str">
        <f t="shared" si="361"/>
        <v>FY 19/20</v>
      </c>
      <c r="B1208" s="152">
        <v>2019</v>
      </c>
      <c r="C1208" s="152">
        <v>12</v>
      </c>
      <c r="D1208" s="33" t="str">
        <f t="shared" si="362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63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64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6"/>
        <v>11000000</v>
      </c>
      <c r="AA1208" s="13">
        <v>7.2999999999999995E-2</v>
      </c>
      <c r="AB1208" s="21">
        <f t="shared" si="367"/>
        <v>803000</v>
      </c>
      <c r="AC1208" s="130">
        <f t="shared" si="368"/>
        <v>98367.5</v>
      </c>
      <c r="AD1208" s="169">
        <v>0.1225</v>
      </c>
      <c r="AE1208" s="154">
        <f t="shared" si="369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8"/>
        <v>11620538.477876106</v>
      </c>
      <c r="AJ1208" s="19">
        <f t="shared" si="359"/>
        <v>1598596.3145221241</v>
      </c>
      <c r="AK1208" s="20">
        <f t="shared" si="370"/>
        <v>0.13756645766163331</v>
      </c>
      <c r="AL1208" s="17"/>
      <c r="AM1208" s="17"/>
      <c r="AN1208" s="17"/>
      <c r="AO1208" s="17"/>
      <c r="AP1208" s="28" t="str">
        <f t="shared" si="371"/>
        <v>20201</v>
      </c>
      <c r="AQ1208" s="28" t="str">
        <f t="shared" si="372"/>
        <v>20201JPY</v>
      </c>
      <c r="AR1208" s="206" t="str">
        <f t="shared" si="373"/>
        <v>YAMAHA_Mounter</v>
      </c>
      <c r="AS1208" s="22">
        <f t="shared" si="374"/>
        <v>1</v>
      </c>
      <c r="AT1208" s="24" t="str">
        <f t="shared" si="375"/>
        <v>0-3 months</v>
      </c>
    </row>
    <row r="1209" spans="1:46" s="12" customFormat="1">
      <c r="A1209" s="33" t="str">
        <f t="shared" si="361"/>
        <v>FY 19/20</v>
      </c>
      <c r="B1209" s="152">
        <v>2019</v>
      </c>
      <c r="C1209" s="152">
        <v>12</v>
      </c>
      <c r="D1209" s="33" t="str">
        <f t="shared" si="362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63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64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6"/>
        <v>10510000</v>
      </c>
      <c r="AA1209" s="13">
        <v>7.2999999999999995E-2</v>
      </c>
      <c r="AB1209" s="21">
        <f t="shared" si="367"/>
        <v>767230</v>
      </c>
      <c r="AC1209" s="130">
        <f t="shared" si="368"/>
        <v>93985.675000000003</v>
      </c>
      <c r="AD1209" s="169">
        <v>0.1225</v>
      </c>
      <c r="AE1209" s="154">
        <f t="shared" si="369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8"/>
        <v>11620538.477876106</v>
      </c>
      <c r="AJ1209" s="19">
        <f t="shared" si="359"/>
        <v>1598596.3145221241</v>
      </c>
      <c r="AK1209" s="20">
        <f t="shared" si="370"/>
        <v>0.13756645766163331</v>
      </c>
      <c r="AL1209" s="17"/>
      <c r="AM1209" s="17"/>
      <c r="AN1209" s="17"/>
      <c r="AO1209" s="17"/>
      <c r="AP1209" s="28" t="str">
        <f t="shared" si="371"/>
        <v>20201</v>
      </c>
      <c r="AQ1209" s="28" t="str">
        <f t="shared" si="372"/>
        <v>20201JPY</v>
      </c>
      <c r="AR1209" s="206" t="str">
        <f t="shared" si="373"/>
        <v>YAMAHA_Mounter</v>
      </c>
      <c r="AS1209" s="22">
        <f t="shared" si="374"/>
        <v>1</v>
      </c>
      <c r="AT1209" s="24" t="str">
        <f t="shared" si="375"/>
        <v>0-3 months</v>
      </c>
    </row>
    <row r="1210" spans="1:46" s="12" customFormat="1">
      <c r="A1210" s="33" t="str">
        <f t="shared" si="361"/>
        <v>FY 22/23</v>
      </c>
      <c r="B1210" s="152">
        <v>2022</v>
      </c>
      <c r="C1210" s="152">
        <v>4</v>
      </c>
      <c r="D1210" s="33" t="str">
        <f t="shared" si="362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63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64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76">IF(W1210="RMB","1.13", "1")</f>
        <v>1</v>
      </c>
      <c r="Z1210" s="18">
        <f t="shared" si="366"/>
        <v>11300000</v>
      </c>
      <c r="AA1210" s="13">
        <v>6.25E-2</v>
      </c>
      <c r="AB1210" s="21">
        <f t="shared" si="367"/>
        <v>706250</v>
      </c>
      <c r="AC1210" s="130">
        <f t="shared" si="368"/>
        <v>35736.25</v>
      </c>
      <c r="AD1210" s="169">
        <v>5.0599999999999999E-2</v>
      </c>
      <c r="AE1210" s="154">
        <f t="shared" si="369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8"/>
        <v>35682787.057522126</v>
      </c>
      <c r="AJ1210" s="19">
        <f t="shared" si="359"/>
        <v>5833368.3789623892</v>
      </c>
      <c r="AK1210" s="20">
        <f t="shared" si="370"/>
        <v>0.16347849649632912</v>
      </c>
      <c r="AL1210" s="17"/>
      <c r="AM1210" s="17"/>
      <c r="AN1210" s="17"/>
      <c r="AO1210" s="17"/>
      <c r="AP1210" s="28" t="str">
        <f t="shared" si="371"/>
        <v>20226</v>
      </c>
      <c r="AQ1210" s="28" t="str">
        <f t="shared" si="372"/>
        <v>20226JPY</v>
      </c>
      <c r="AR1210" s="206" t="str">
        <f t="shared" si="373"/>
        <v>YAMAHA_Mounter</v>
      </c>
      <c r="AS1210" s="22">
        <f t="shared" si="374"/>
        <v>2</v>
      </c>
      <c r="AT1210" s="24" t="str">
        <f t="shared" si="375"/>
        <v>0-3 months</v>
      </c>
    </row>
    <row r="1211" spans="1:46" s="12" customFormat="1">
      <c r="A1211" s="33" t="str">
        <f t="shared" si="361"/>
        <v>FY 22/23</v>
      </c>
      <c r="B1211" s="152">
        <v>2022</v>
      </c>
      <c r="C1211" s="152">
        <v>4</v>
      </c>
      <c r="D1211" s="33" t="str">
        <f t="shared" si="362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63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64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76"/>
        <v>1</v>
      </c>
      <c r="Z1211" s="18">
        <f t="shared" si="366"/>
        <v>7000000</v>
      </c>
      <c r="AA1211" s="13">
        <v>6.25E-2</v>
      </c>
      <c r="AB1211" s="21">
        <f t="shared" si="367"/>
        <v>437500</v>
      </c>
      <c r="AC1211" s="130">
        <f t="shared" si="368"/>
        <v>22137.5</v>
      </c>
      <c r="AD1211" s="169">
        <v>5.0599999999999999E-2</v>
      </c>
      <c r="AE1211" s="154">
        <f t="shared" si="369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8"/>
        <v>35682787.057522126</v>
      </c>
      <c r="AJ1211" s="19">
        <f t="shared" si="359"/>
        <v>5833368.3789623892</v>
      </c>
      <c r="AK1211" s="20">
        <f t="shared" si="370"/>
        <v>0.16347849649632912</v>
      </c>
      <c r="AL1211" s="17"/>
      <c r="AM1211" s="17"/>
      <c r="AN1211" s="17"/>
      <c r="AO1211" s="17"/>
      <c r="AP1211" s="28" t="str">
        <f t="shared" si="371"/>
        <v>20226</v>
      </c>
      <c r="AQ1211" s="28" t="str">
        <f t="shared" si="372"/>
        <v>20226JPY</v>
      </c>
      <c r="AR1211" s="206" t="str">
        <f t="shared" si="373"/>
        <v>YAMAHA_Mounter</v>
      </c>
      <c r="AS1211" s="22">
        <f t="shared" si="374"/>
        <v>2</v>
      </c>
      <c r="AT1211" s="24" t="str">
        <f t="shared" si="375"/>
        <v>0-3 months</v>
      </c>
    </row>
    <row r="1212" spans="1:46" s="12" customFormat="1">
      <c r="A1212" s="33" t="str">
        <f t="shared" si="361"/>
        <v>FY 22/23</v>
      </c>
      <c r="B1212" s="152">
        <v>2022</v>
      </c>
      <c r="C1212" s="152">
        <v>4</v>
      </c>
      <c r="D1212" s="33" t="str">
        <f t="shared" si="362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63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64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76"/>
        <v>1</v>
      </c>
      <c r="Z1212" s="18">
        <f t="shared" si="366"/>
        <v>11300000</v>
      </c>
      <c r="AA1212" s="13">
        <v>5.96E-2</v>
      </c>
      <c r="AB1212" s="21">
        <f t="shared" si="367"/>
        <v>673480</v>
      </c>
      <c r="AC1212" s="130">
        <f t="shared" si="368"/>
        <v>34078.087999999996</v>
      </c>
      <c r="AD1212" s="169">
        <v>5.0599999999999999E-2</v>
      </c>
      <c r="AE1212" s="154">
        <f t="shared" si="369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8"/>
        <v>35073581.838938057</v>
      </c>
      <c r="AJ1212" s="19">
        <f t="shared" si="359"/>
        <v>5034113.9728989396</v>
      </c>
      <c r="AK1212" s="20">
        <f t="shared" si="370"/>
        <v>0.14353007902118958</v>
      </c>
      <c r="AL1212" s="17"/>
      <c r="AM1212" s="17"/>
      <c r="AN1212" s="17"/>
      <c r="AO1212" s="17"/>
      <c r="AP1212" s="28" t="str">
        <f t="shared" si="371"/>
        <v>20228</v>
      </c>
      <c r="AQ1212" s="28" t="str">
        <f t="shared" si="372"/>
        <v>20228JPY</v>
      </c>
      <c r="AR1212" s="206" t="str">
        <f t="shared" si="373"/>
        <v>YAMAHA_Mounter</v>
      </c>
      <c r="AS1212" s="22">
        <f t="shared" si="374"/>
        <v>4</v>
      </c>
      <c r="AT1212" s="24" t="str">
        <f t="shared" si="375"/>
        <v>4-6 months</v>
      </c>
    </row>
    <row r="1213" spans="1:46" s="12" customFormat="1">
      <c r="A1213" s="33" t="str">
        <f t="shared" si="361"/>
        <v>FY 22/23</v>
      </c>
      <c r="B1213" s="152">
        <v>2022</v>
      </c>
      <c r="C1213" s="152">
        <v>4</v>
      </c>
      <c r="D1213" s="33" t="str">
        <f t="shared" si="362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63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64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76"/>
        <v>1</v>
      </c>
      <c r="Z1213" s="18">
        <f t="shared" si="366"/>
        <v>7000000</v>
      </c>
      <c r="AA1213" s="13">
        <v>5.96E-2</v>
      </c>
      <c r="AB1213" s="21">
        <f t="shared" si="367"/>
        <v>417200</v>
      </c>
      <c r="AC1213" s="130">
        <f t="shared" si="368"/>
        <v>21110.32</v>
      </c>
      <c r="AD1213" s="169">
        <v>5.0599999999999999E-2</v>
      </c>
      <c r="AE1213" s="154">
        <f t="shared" si="369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8"/>
        <v>35073581.838938057</v>
      </c>
      <c r="AJ1213" s="19">
        <f t="shared" si="359"/>
        <v>5034113.9728989396</v>
      </c>
      <c r="AK1213" s="20">
        <f t="shared" si="370"/>
        <v>0.14353007902118958</v>
      </c>
      <c r="AL1213" s="17"/>
      <c r="AM1213" s="17"/>
      <c r="AN1213" s="17"/>
      <c r="AO1213" s="17"/>
      <c r="AP1213" s="28" t="str">
        <f t="shared" si="371"/>
        <v>20228</v>
      </c>
      <c r="AQ1213" s="28" t="str">
        <f t="shared" si="372"/>
        <v>20228JPY</v>
      </c>
      <c r="AR1213" s="206" t="str">
        <f t="shared" si="373"/>
        <v>YAMAHA_Mounter</v>
      </c>
      <c r="AS1213" s="22">
        <f t="shared" si="374"/>
        <v>4</v>
      </c>
      <c r="AT1213" s="24" t="str">
        <f t="shared" si="375"/>
        <v>4-6 months</v>
      </c>
    </row>
    <row r="1214" spans="1:46" s="12" customFormat="1">
      <c r="A1214" s="33" t="str">
        <f t="shared" si="361"/>
        <v>cancel</v>
      </c>
      <c r="B1214" s="152"/>
      <c r="C1214" s="152" t="s">
        <v>186</v>
      </c>
      <c r="D1214" s="33" t="str">
        <f t="shared" si="362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63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64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76"/>
        <v>1</v>
      </c>
      <c r="Z1214" s="18">
        <f t="shared" si="366"/>
        <v>13000000</v>
      </c>
      <c r="AA1214" s="13">
        <v>5.8799999999999998E-2</v>
      </c>
      <c r="AB1214" s="21">
        <f t="shared" si="367"/>
        <v>764400</v>
      </c>
      <c r="AC1214" s="130">
        <f t="shared" si="368"/>
        <v>91728</v>
      </c>
      <c r="AD1214" s="169">
        <v>0.12</v>
      </c>
      <c r="AE1214" s="154">
        <f t="shared" si="369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8"/>
        <v>477651199.57437885</v>
      </c>
      <c r="AJ1214" s="19">
        <f t="shared" si="359"/>
        <v>56918800.518691957</v>
      </c>
      <c r="AK1214" s="20">
        <f t="shared" si="370"/>
        <v>0.11916394341605475</v>
      </c>
      <c r="AL1214" s="17"/>
      <c r="AM1214" s="17"/>
      <c r="AN1214" s="17"/>
      <c r="AO1214" s="17"/>
      <c r="AP1214" s="28" t="str">
        <f t="shared" si="371"/>
        <v>CancelCancel</v>
      </c>
      <c r="AQ1214" s="28" t="str">
        <f t="shared" si="372"/>
        <v>CancelCancelJPY</v>
      </c>
      <c r="AR1214" s="206" t="str">
        <f t="shared" si="373"/>
        <v>YAMAHA_Mounter</v>
      </c>
      <c r="AS1214" s="22" t="str">
        <f t="shared" si="374"/>
        <v/>
      </c>
      <c r="AT1214" s="24" t="str">
        <f t="shared" si="375"/>
        <v/>
      </c>
    </row>
    <row r="1215" spans="1:46" s="12" customFormat="1">
      <c r="A1215" s="33" t="str">
        <f t="shared" si="361"/>
        <v>cancel</v>
      </c>
      <c r="B1215" s="152"/>
      <c r="C1215" s="152" t="s">
        <v>186</v>
      </c>
      <c r="D1215" s="33" t="str">
        <f t="shared" si="362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63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64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76"/>
        <v>1</v>
      </c>
      <c r="Z1215" s="18">
        <f t="shared" si="366"/>
        <v>13000000</v>
      </c>
      <c r="AA1215" s="13">
        <v>5.8799999999999998E-2</v>
      </c>
      <c r="AB1215" s="21">
        <f t="shared" si="367"/>
        <v>764400</v>
      </c>
      <c r="AC1215" s="130">
        <f t="shared" si="368"/>
        <v>91728</v>
      </c>
      <c r="AD1215" s="169">
        <v>0.12</v>
      </c>
      <c r="AE1215" s="154">
        <f t="shared" si="369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8"/>
        <v>477651199.57437885</v>
      </c>
      <c r="AJ1215" s="19">
        <f t="shared" si="359"/>
        <v>56918800.518691957</v>
      </c>
      <c r="AK1215" s="20">
        <f t="shared" si="370"/>
        <v>0.11916394341605475</v>
      </c>
      <c r="AL1215" s="17"/>
      <c r="AM1215" s="17"/>
      <c r="AN1215" s="17"/>
      <c r="AO1215" s="17"/>
      <c r="AP1215" s="28" t="str">
        <f t="shared" si="371"/>
        <v>CancelCancel</v>
      </c>
      <c r="AQ1215" s="28" t="str">
        <f t="shared" si="372"/>
        <v>CancelCancelJPY</v>
      </c>
      <c r="AR1215" s="206" t="str">
        <f t="shared" si="373"/>
        <v>YAMAHA_Mounter</v>
      </c>
      <c r="AS1215" s="22" t="str">
        <f t="shared" si="374"/>
        <v/>
      </c>
      <c r="AT1215" s="24" t="str">
        <f t="shared" si="375"/>
        <v/>
      </c>
    </row>
    <row r="1216" spans="1:46" s="12" customFormat="1">
      <c r="A1216" s="33" t="str">
        <f t="shared" si="361"/>
        <v>cancel</v>
      </c>
      <c r="B1216" s="152"/>
      <c r="C1216" s="152" t="s">
        <v>186</v>
      </c>
      <c r="D1216" s="33" t="str">
        <f t="shared" si="362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63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64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76"/>
        <v>1</v>
      </c>
      <c r="Z1216" s="18">
        <f t="shared" ref="Z1216:Z1247" si="377">IF(X1216="","",X1216*MAX(O1216,N1216))</f>
        <v>8300000</v>
      </c>
      <c r="AA1216" s="13">
        <v>5.8799999999999998E-2</v>
      </c>
      <c r="AB1216" s="21">
        <f t="shared" si="367"/>
        <v>488040</v>
      </c>
      <c r="AC1216" s="130">
        <f t="shared" si="368"/>
        <v>58564.799999999996</v>
      </c>
      <c r="AD1216" s="169">
        <v>0.12</v>
      </c>
      <c r="AE1216" s="154">
        <f t="shared" si="369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8"/>
        <v>477651199.57437885</v>
      </c>
      <c r="AJ1216" s="19">
        <f t="shared" si="359"/>
        <v>56918800.518691957</v>
      </c>
      <c r="AK1216" s="20">
        <f t="shared" si="370"/>
        <v>0.11916394341605475</v>
      </c>
      <c r="AL1216" s="17"/>
      <c r="AM1216" s="17"/>
      <c r="AN1216" s="17"/>
      <c r="AO1216" s="17"/>
      <c r="AP1216" s="28" t="str">
        <f t="shared" si="371"/>
        <v>CancelCancel</v>
      </c>
      <c r="AQ1216" s="28" t="str">
        <f t="shared" si="372"/>
        <v>CancelCancelJPY</v>
      </c>
      <c r="AR1216" s="206" t="str">
        <f t="shared" si="373"/>
        <v>YAMAHA_Mounter</v>
      </c>
      <c r="AS1216" s="22" t="str">
        <f t="shared" si="374"/>
        <v/>
      </c>
      <c r="AT1216" s="24" t="str">
        <f t="shared" si="375"/>
        <v/>
      </c>
    </row>
    <row r="1217" spans="1:46" s="12" customFormat="1">
      <c r="A1217" s="33" t="str">
        <f t="shared" si="361"/>
        <v>cancel</v>
      </c>
      <c r="B1217" s="152"/>
      <c r="C1217" s="152" t="s">
        <v>186</v>
      </c>
      <c r="D1217" s="33" t="str">
        <f t="shared" si="362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63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64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76"/>
        <v>1</v>
      </c>
      <c r="Z1217" s="18">
        <f t="shared" si="377"/>
        <v>8300000</v>
      </c>
      <c r="AA1217" s="13">
        <v>5.8799999999999998E-2</v>
      </c>
      <c r="AB1217" s="21">
        <f t="shared" si="367"/>
        <v>488040</v>
      </c>
      <c r="AC1217" s="130">
        <f t="shared" si="368"/>
        <v>58564.799999999996</v>
      </c>
      <c r="AD1217" s="169">
        <v>0.12</v>
      </c>
      <c r="AE1217" s="154">
        <f t="shared" si="369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8"/>
        <v>477651199.57437885</v>
      </c>
      <c r="AJ1217" s="19">
        <f t="shared" si="359"/>
        <v>56918800.518691957</v>
      </c>
      <c r="AK1217" s="20">
        <f t="shared" si="370"/>
        <v>0.11916394341605475</v>
      </c>
      <c r="AL1217" s="17"/>
      <c r="AM1217" s="17"/>
      <c r="AN1217" s="17"/>
      <c r="AO1217" s="17"/>
      <c r="AP1217" s="28" t="str">
        <f t="shared" si="371"/>
        <v>CancelCancel</v>
      </c>
      <c r="AQ1217" s="28" t="str">
        <f t="shared" si="372"/>
        <v>CancelCancelJPY</v>
      </c>
      <c r="AR1217" s="206" t="str">
        <f t="shared" si="373"/>
        <v>YAMAHA_Mounter</v>
      </c>
      <c r="AS1217" s="22" t="str">
        <f t="shared" si="374"/>
        <v/>
      </c>
      <c r="AT1217" s="24" t="str">
        <f t="shared" si="375"/>
        <v/>
      </c>
    </row>
    <row r="1218" spans="1:46" s="12" customFormat="1">
      <c r="A1218" s="33" t="str">
        <f t="shared" si="361"/>
        <v>FY 22/23</v>
      </c>
      <c r="B1218" s="152">
        <v>2022</v>
      </c>
      <c r="C1218" s="152">
        <v>7</v>
      </c>
      <c r="D1218" s="33" t="str">
        <f t="shared" si="362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63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64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76"/>
        <v>1.13</v>
      </c>
      <c r="Z1218" s="18">
        <f t="shared" si="377"/>
        <v>640000</v>
      </c>
      <c r="AA1218" s="13">
        <v>1.17</v>
      </c>
      <c r="AB1218" s="21">
        <f t="shared" si="367"/>
        <v>662654.8672566372</v>
      </c>
      <c r="AC1218" s="130">
        <f t="shared" si="368"/>
        <v>71765.52212389381</v>
      </c>
      <c r="AD1218" s="169">
        <v>0.10829999999999999</v>
      </c>
      <c r="AE1218" s="154">
        <f t="shared" si="369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78">IF(P1218="C66 SERVICE","",SUMIFS(AB:AB,F:F,F1218,G:G,G1218,E:E,E1218))</f>
        <v>36480247.665929198</v>
      </c>
      <c r="AJ1218" s="19">
        <f t="shared" ref="AJ1218:AJ1281" si="379">IF(P1218="C66 SERVICE","",SUMIFS(AC:AC,F:F,F1218,G:G,G1218,E:E,E1218))</f>
        <v>5330996.6372757526</v>
      </c>
      <c r="AK1218" s="20">
        <f t="shared" si="370"/>
        <v>0.14613378412599562</v>
      </c>
      <c r="AL1218" s="17"/>
      <c r="AM1218" s="17"/>
      <c r="AN1218" s="17"/>
      <c r="AO1218" s="17"/>
      <c r="AP1218" s="28" t="str">
        <f t="shared" si="371"/>
        <v>20227</v>
      </c>
      <c r="AQ1218" s="28" t="str">
        <f t="shared" si="372"/>
        <v>20227RMB</v>
      </c>
      <c r="AR1218" s="206" t="str">
        <f t="shared" si="373"/>
        <v>YAMAHA_Mounter</v>
      </c>
      <c r="AS1218" s="22">
        <f t="shared" si="374"/>
        <v>0</v>
      </c>
      <c r="AT1218" s="24" t="str">
        <f t="shared" si="375"/>
        <v>0-3 months</v>
      </c>
    </row>
    <row r="1219" spans="1:46" s="12" customFormat="1">
      <c r="A1219" s="33" t="str">
        <f t="shared" si="361"/>
        <v>FY 23/24</v>
      </c>
      <c r="B1219" s="152">
        <v>2023</v>
      </c>
      <c r="C1219" s="152">
        <v>4</v>
      </c>
      <c r="D1219" s="33" t="str">
        <f t="shared" si="362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63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64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76"/>
        <v>1.13</v>
      </c>
      <c r="Z1219" s="18">
        <f t="shared" si="377"/>
        <v>767000</v>
      </c>
      <c r="AA1219" s="13">
        <v>1.135</v>
      </c>
      <c r="AB1219" s="21">
        <f t="shared" si="367"/>
        <v>770393.80530973466</v>
      </c>
      <c r="AC1219" s="130">
        <f t="shared" si="368"/>
        <v>125420.1115044248</v>
      </c>
      <c r="AD1219" s="169">
        <v>0.1628</v>
      </c>
      <c r="AE1219" s="154">
        <f t="shared" si="369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78"/>
        <v>28177779.013274338</v>
      </c>
      <c r="AJ1219" s="19">
        <f t="shared" si="379"/>
        <v>4727216.6376190251</v>
      </c>
      <c r="AK1219" s="20">
        <f t="shared" si="370"/>
        <v>0.1677639900359808</v>
      </c>
      <c r="AL1219" s="17"/>
      <c r="AM1219" s="17"/>
      <c r="AN1219" s="17"/>
      <c r="AO1219" s="17"/>
      <c r="AP1219" s="28" t="str">
        <f t="shared" si="371"/>
        <v>20235</v>
      </c>
      <c r="AQ1219" s="28" t="str">
        <f t="shared" si="372"/>
        <v>20235RMB</v>
      </c>
      <c r="AR1219" s="206" t="str">
        <f t="shared" si="373"/>
        <v>YAMAHA_Mounter</v>
      </c>
      <c r="AS1219" s="22">
        <f t="shared" si="374"/>
        <v>1</v>
      </c>
      <c r="AT1219" s="24" t="str">
        <f t="shared" si="375"/>
        <v>0-3 months</v>
      </c>
    </row>
    <row r="1220" spans="1:46" s="12" customFormat="1">
      <c r="A1220" s="33" t="str">
        <f t="shared" si="361"/>
        <v>cancel</v>
      </c>
      <c r="B1220" s="152"/>
      <c r="C1220" s="152" t="s">
        <v>186</v>
      </c>
      <c r="D1220" s="33" t="str">
        <f t="shared" si="362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63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64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76"/>
        <v>1.13</v>
      </c>
      <c r="Z1220" s="18">
        <f t="shared" si="377"/>
        <v>652100</v>
      </c>
      <c r="AA1220" s="13">
        <v>1.1950000000000001</v>
      </c>
      <c r="AB1220" s="21">
        <f t="shared" si="367"/>
        <v>689610.17699115048</v>
      </c>
      <c r="AC1220" s="130">
        <f t="shared" si="368"/>
        <v>82753.221238938058</v>
      </c>
      <c r="AD1220" s="169">
        <v>0.12</v>
      </c>
      <c r="AE1220" s="154">
        <f t="shared" si="369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78"/>
        <v>477651199.57437885</v>
      </c>
      <c r="AJ1220" s="19">
        <f t="shared" si="379"/>
        <v>56918800.518691957</v>
      </c>
      <c r="AK1220" s="20">
        <f t="shared" si="370"/>
        <v>0.11916394341605475</v>
      </c>
      <c r="AL1220" s="17"/>
      <c r="AM1220" s="17"/>
      <c r="AN1220" s="17"/>
      <c r="AO1220" s="17"/>
      <c r="AP1220" s="28" t="str">
        <f t="shared" si="371"/>
        <v>Cancelcancel</v>
      </c>
      <c r="AQ1220" s="28" t="str">
        <f t="shared" si="372"/>
        <v>CancelcancelRMB</v>
      </c>
      <c r="AR1220" s="206" t="str">
        <f t="shared" si="373"/>
        <v>YAMAHA_Mounter</v>
      </c>
      <c r="AS1220" s="22" t="str">
        <f t="shared" si="374"/>
        <v/>
      </c>
      <c r="AT1220" s="24" t="str">
        <f t="shared" si="375"/>
        <v/>
      </c>
    </row>
    <row r="1221" spans="1:46" s="12" customFormat="1">
      <c r="A1221" s="33" t="str">
        <f t="shared" si="361"/>
        <v>FY 21/22</v>
      </c>
      <c r="B1221" s="152">
        <v>2021</v>
      </c>
      <c r="C1221" s="152">
        <v>4</v>
      </c>
      <c r="D1221" s="33" t="str">
        <f t="shared" si="362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63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64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76"/>
        <v>1</v>
      </c>
      <c r="Z1221" s="18">
        <f t="shared" si="377"/>
        <v>25000000</v>
      </c>
      <c r="AA1221" s="13">
        <v>7.17E-2</v>
      </c>
      <c r="AB1221" s="21">
        <f t="shared" si="367"/>
        <v>1792500</v>
      </c>
      <c r="AC1221" s="130">
        <f t="shared" si="368"/>
        <v>382340.25</v>
      </c>
      <c r="AD1221" s="169">
        <v>0.21329999999999999</v>
      </c>
      <c r="AE1221" s="154">
        <f t="shared" si="369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78"/>
        <v>41443303.53761062</v>
      </c>
      <c r="AJ1221" s="19">
        <f t="shared" si="379"/>
        <v>6194988.76643031</v>
      </c>
      <c r="AK1221" s="20">
        <f t="shared" si="370"/>
        <v>0.1494810557466355</v>
      </c>
      <c r="AL1221" s="17"/>
      <c r="AM1221" s="17"/>
      <c r="AN1221" s="17"/>
      <c r="AO1221" s="17"/>
      <c r="AP1221" s="28" t="str">
        <f t="shared" si="371"/>
        <v>20217</v>
      </c>
      <c r="AQ1221" s="28" t="str">
        <f t="shared" si="372"/>
        <v>20217JPY</v>
      </c>
      <c r="AR1221" s="206" t="str">
        <f t="shared" si="373"/>
        <v>YAMAHA_Mounter</v>
      </c>
      <c r="AS1221" s="22">
        <f t="shared" si="374"/>
        <v>3</v>
      </c>
      <c r="AT1221" s="24" t="str">
        <f t="shared" si="375"/>
        <v>0-3 months</v>
      </c>
    </row>
    <row r="1222" spans="1:46" s="12" customFormat="1">
      <c r="A1222" s="33" t="str">
        <f t="shared" si="361"/>
        <v>FY 21/22</v>
      </c>
      <c r="B1222" s="152">
        <v>2021</v>
      </c>
      <c r="C1222" s="152">
        <v>4</v>
      </c>
      <c r="D1222" s="33" t="str">
        <f t="shared" si="362"/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si="363"/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si="364"/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76"/>
        <v>1</v>
      </c>
      <c r="Z1222" s="18">
        <f t="shared" si="377"/>
        <v>15710000</v>
      </c>
      <c r="AA1222" s="13">
        <v>7.17E-2</v>
      </c>
      <c r="AB1222" s="21">
        <f t="shared" si="367"/>
        <v>1126407</v>
      </c>
      <c r="AC1222" s="130">
        <f t="shared" si="368"/>
        <v>240262.61309999999</v>
      </c>
      <c r="AD1222" s="169">
        <v>0.21329999999999999</v>
      </c>
      <c r="AE1222" s="154">
        <f t="shared" si="369"/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78"/>
        <v>41443303.53761062</v>
      </c>
      <c r="AJ1222" s="19">
        <f t="shared" si="379"/>
        <v>6194988.76643031</v>
      </c>
      <c r="AK1222" s="20">
        <f t="shared" si="370"/>
        <v>0.1494810557466355</v>
      </c>
      <c r="AL1222" s="17"/>
      <c r="AM1222" s="17"/>
      <c r="AN1222" s="17"/>
      <c r="AO1222" s="17"/>
      <c r="AP1222" s="28" t="str">
        <f t="shared" si="371"/>
        <v>20217</v>
      </c>
      <c r="AQ1222" s="28" t="str">
        <f t="shared" si="372"/>
        <v>20217JPY</v>
      </c>
      <c r="AR1222" s="206" t="str">
        <f t="shared" si="373"/>
        <v>YAMAHA_Mounter</v>
      </c>
      <c r="AS1222" s="22">
        <f t="shared" si="374"/>
        <v>3</v>
      </c>
      <c r="AT1222" s="24" t="str">
        <f t="shared" si="375"/>
        <v>0-3 months</v>
      </c>
    </row>
    <row r="1223" spans="1:46" s="12" customFormat="1">
      <c r="A1223" s="33" t="str">
        <f t="shared" si="361"/>
        <v>FY 21/22</v>
      </c>
      <c r="B1223" s="152">
        <v>2021</v>
      </c>
      <c r="C1223" s="152">
        <v>4</v>
      </c>
      <c r="D1223" s="33" t="str">
        <f t="shared" si="362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3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64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76"/>
        <v>1</v>
      </c>
      <c r="Z1223" s="18">
        <f t="shared" si="377"/>
        <v>20300000</v>
      </c>
      <c r="AA1223" s="13">
        <v>7.17E-2</v>
      </c>
      <c r="AB1223" s="21">
        <f t="shared" si="367"/>
        <v>1455510</v>
      </c>
      <c r="AC1223" s="130">
        <f t="shared" si="368"/>
        <v>310460.283</v>
      </c>
      <c r="AD1223" s="169">
        <v>0.21329999999999999</v>
      </c>
      <c r="AE1223" s="154">
        <f t="shared" si="369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8"/>
        <v>41443303.53761062</v>
      </c>
      <c r="AJ1223" s="19">
        <f t="shared" si="379"/>
        <v>6194988.76643031</v>
      </c>
      <c r="AK1223" s="20">
        <f t="shared" si="370"/>
        <v>0.1494810557466355</v>
      </c>
      <c r="AL1223" s="17"/>
      <c r="AM1223" s="17"/>
      <c r="AN1223" s="17"/>
      <c r="AO1223" s="17"/>
      <c r="AP1223" s="28" t="str">
        <f t="shared" si="371"/>
        <v>20217</v>
      </c>
      <c r="AQ1223" s="28" t="str">
        <f t="shared" si="372"/>
        <v>20217JPY</v>
      </c>
      <c r="AR1223" s="206" t="str">
        <f t="shared" si="373"/>
        <v>YAMAHA_Mounter</v>
      </c>
      <c r="AS1223" s="22">
        <f t="shared" si="374"/>
        <v>3</v>
      </c>
      <c r="AT1223" s="24" t="str">
        <f t="shared" si="375"/>
        <v>0-3 months</v>
      </c>
    </row>
    <row r="1224" spans="1:46" s="12" customFormat="1">
      <c r="A1224" s="33" t="str">
        <f t="shared" si="361"/>
        <v>FY 21/22</v>
      </c>
      <c r="B1224" s="152">
        <v>2021</v>
      </c>
      <c r="C1224" s="152">
        <v>4</v>
      </c>
      <c r="D1224" s="33" t="str">
        <f t="shared" si="362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3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64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76"/>
        <v>1</v>
      </c>
      <c r="Z1224" s="18">
        <f t="shared" si="377"/>
        <v>20300000</v>
      </c>
      <c r="AA1224" s="13">
        <v>7.17E-2</v>
      </c>
      <c r="AB1224" s="21">
        <f t="shared" si="367"/>
        <v>1455510</v>
      </c>
      <c r="AC1224" s="130">
        <f t="shared" si="368"/>
        <v>310460.283</v>
      </c>
      <c r="AD1224" s="169">
        <v>0.21329999999999999</v>
      </c>
      <c r="AE1224" s="154">
        <f t="shared" si="369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8"/>
        <v>41443303.53761062</v>
      </c>
      <c r="AJ1224" s="19">
        <f t="shared" si="379"/>
        <v>6194988.76643031</v>
      </c>
      <c r="AK1224" s="20">
        <f t="shared" si="370"/>
        <v>0.1494810557466355</v>
      </c>
      <c r="AL1224" s="17"/>
      <c r="AM1224" s="17"/>
      <c r="AN1224" s="17"/>
      <c r="AO1224" s="17"/>
      <c r="AP1224" s="28" t="str">
        <f t="shared" si="371"/>
        <v>20217</v>
      </c>
      <c r="AQ1224" s="28" t="str">
        <f t="shared" si="372"/>
        <v>20217JPY</v>
      </c>
      <c r="AR1224" s="206" t="str">
        <f t="shared" si="373"/>
        <v>YAMAHA_Mounter</v>
      </c>
      <c r="AS1224" s="22">
        <f t="shared" si="374"/>
        <v>3</v>
      </c>
      <c r="AT1224" s="24" t="str">
        <f t="shared" si="375"/>
        <v>0-3 months</v>
      </c>
    </row>
    <row r="1225" spans="1:46" s="12" customFormat="1">
      <c r="A1225" s="33" t="str">
        <f t="shared" si="361"/>
        <v>FY 21/22</v>
      </c>
      <c r="B1225" s="152">
        <v>2021</v>
      </c>
      <c r="C1225" s="152">
        <v>4</v>
      </c>
      <c r="D1225" s="33" t="str">
        <f t="shared" si="362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3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64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76"/>
        <v>1</v>
      </c>
      <c r="Z1225" s="18">
        <f t="shared" si="377"/>
        <v>20300000</v>
      </c>
      <c r="AA1225" s="13">
        <v>7.17E-2</v>
      </c>
      <c r="AB1225" s="21">
        <f t="shared" si="367"/>
        <v>1455510</v>
      </c>
      <c r="AC1225" s="130">
        <f t="shared" si="368"/>
        <v>310460.283</v>
      </c>
      <c r="AD1225" s="169">
        <v>0.21329999999999999</v>
      </c>
      <c r="AE1225" s="154">
        <f t="shared" si="369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8"/>
        <v>41443303.53761062</v>
      </c>
      <c r="AJ1225" s="19">
        <f t="shared" si="379"/>
        <v>6194988.76643031</v>
      </c>
      <c r="AK1225" s="20">
        <f t="shared" si="370"/>
        <v>0.1494810557466355</v>
      </c>
      <c r="AL1225" s="17"/>
      <c r="AM1225" s="17"/>
      <c r="AN1225" s="17"/>
      <c r="AO1225" s="17"/>
      <c r="AP1225" s="28" t="str">
        <f t="shared" si="371"/>
        <v>20217</v>
      </c>
      <c r="AQ1225" s="28" t="str">
        <f t="shared" si="372"/>
        <v>20217JPY</v>
      </c>
      <c r="AR1225" s="206" t="str">
        <f t="shared" si="373"/>
        <v>YAMAHA_Mounter</v>
      </c>
      <c r="AS1225" s="22">
        <f t="shared" si="374"/>
        <v>3</v>
      </c>
      <c r="AT1225" s="24" t="str">
        <f t="shared" si="375"/>
        <v>0-3 months</v>
      </c>
    </row>
    <row r="1226" spans="1:46" s="12" customFormat="1">
      <c r="A1226" s="33" t="str">
        <f t="shared" si="361"/>
        <v>FY 21/22</v>
      </c>
      <c r="B1226" s="152">
        <v>2021</v>
      </c>
      <c r="C1226" s="152">
        <v>4</v>
      </c>
      <c r="D1226" s="33" t="str">
        <f t="shared" si="362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3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64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76"/>
        <v>1</v>
      </c>
      <c r="Z1226" s="18">
        <f t="shared" si="377"/>
        <v>20300000</v>
      </c>
      <c r="AA1226" s="13">
        <v>7.17E-2</v>
      </c>
      <c r="AB1226" s="21">
        <f t="shared" si="367"/>
        <v>1455510</v>
      </c>
      <c r="AC1226" s="130">
        <f t="shared" si="368"/>
        <v>310460.283</v>
      </c>
      <c r="AD1226" s="169">
        <v>0.21329999999999999</v>
      </c>
      <c r="AE1226" s="154">
        <f t="shared" si="369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8"/>
        <v>41443303.53761062</v>
      </c>
      <c r="AJ1226" s="19">
        <f t="shared" si="379"/>
        <v>6194988.76643031</v>
      </c>
      <c r="AK1226" s="20">
        <f t="shared" si="370"/>
        <v>0.1494810557466355</v>
      </c>
      <c r="AL1226" s="17"/>
      <c r="AM1226" s="17"/>
      <c r="AN1226" s="17"/>
      <c r="AO1226" s="17"/>
      <c r="AP1226" s="28" t="str">
        <f t="shared" si="371"/>
        <v>20217</v>
      </c>
      <c r="AQ1226" s="28" t="str">
        <f t="shared" si="372"/>
        <v>20217JPY</v>
      </c>
      <c r="AR1226" s="206" t="str">
        <f t="shared" si="373"/>
        <v>YAMAHA_Mounter</v>
      </c>
      <c r="AS1226" s="22">
        <f t="shared" si="374"/>
        <v>3</v>
      </c>
      <c r="AT1226" s="24" t="str">
        <f t="shared" si="375"/>
        <v>0-3 months</v>
      </c>
    </row>
    <row r="1227" spans="1:46" s="12" customFormat="1">
      <c r="A1227" s="33" t="str">
        <f t="shared" si="361"/>
        <v>FY 21/22</v>
      </c>
      <c r="B1227" s="152">
        <v>2021</v>
      </c>
      <c r="C1227" s="152">
        <v>4</v>
      </c>
      <c r="D1227" s="33" t="str">
        <f t="shared" si="362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3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64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76"/>
        <v>1</v>
      </c>
      <c r="Z1227" s="18">
        <f t="shared" si="377"/>
        <v>20300000</v>
      </c>
      <c r="AA1227" s="13">
        <v>7.17E-2</v>
      </c>
      <c r="AB1227" s="21">
        <f t="shared" si="367"/>
        <v>1455510</v>
      </c>
      <c r="AC1227" s="130">
        <f t="shared" si="368"/>
        <v>310460.283</v>
      </c>
      <c r="AD1227" s="169">
        <v>0.21329999999999999</v>
      </c>
      <c r="AE1227" s="154">
        <f t="shared" si="369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8"/>
        <v>41443303.53761062</v>
      </c>
      <c r="AJ1227" s="19">
        <f t="shared" si="379"/>
        <v>6194988.76643031</v>
      </c>
      <c r="AK1227" s="20">
        <f t="shared" si="370"/>
        <v>0.1494810557466355</v>
      </c>
      <c r="AL1227" s="17"/>
      <c r="AM1227" s="17"/>
      <c r="AN1227" s="17"/>
      <c r="AO1227" s="17"/>
      <c r="AP1227" s="28" t="str">
        <f t="shared" si="371"/>
        <v>20217</v>
      </c>
      <c r="AQ1227" s="28" t="str">
        <f t="shared" si="372"/>
        <v>20217JPY</v>
      </c>
      <c r="AR1227" s="206" t="str">
        <f t="shared" si="373"/>
        <v>YAMAHA_Mounter</v>
      </c>
      <c r="AS1227" s="22">
        <f t="shared" si="374"/>
        <v>3</v>
      </c>
      <c r="AT1227" s="24" t="str">
        <f t="shared" si="375"/>
        <v>0-3 months</v>
      </c>
    </row>
    <row r="1228" spans="1:46" s="12" customFormat="1">
      <c r="A1228" s="33" t="str">
        <f t="shared" si="361"/>
        <v>FY 21/22</v>
      </c>
      <c r="B1228" s="152">
        <v>2021</v>
      </c>
      <c r="C1228" s="152">
        <v>4</v>
      </c>
      <c r="D1228" s="33" t="str">
        <f t="shared" si="362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3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64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76"/>
        <v>1</v>
      </c>
      <c r="Z1228" s="18">
        <f t="shared" si="377"/>
        <v>20300000</v>
      </c>
      <c r="AA1228" s="13">
        <v>7.17E-2</v>
      </c>
      <c r="AB1228" s="21">
        <f t="shared" si="367"/>
        <v>1455510</v>
      </c>
      <c r="AC1228" s="130">
        <f t="shared" si="368"/>
        <v>310460.283</v>
      </c>
      <c r="AD1228" s="169">
        <v>0.21329999999999999</v>
      </c>
      <c r="AE1228" s="154">
        <f t="shared" si="369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8"/>
        <v>41443303.53761062</v>
      </c>
      <c r="AJ1228" s="19">
        <f t="shared" si="379"/>
        <v>6194988.76643031</v>
      </c>
      <c r="AK1228" s="20">
        <f t="shared" si="370"/>
        <v>0.1494810557466355</v>
      </c>
      <c r="AL1228" s="17"/>
      <c r="AM1228" s="17"/>
      <c r="AN1228" s="17"/>
      <c r="AO1228" s="17"/>
      <c r="AP1228" s="28" t="str">
        <f t="shared" si="371"/>
        <v>20217</v>
      </c>
      <c r="AQ1228" s="28" t="str">
        <f t="shared" si="372"/>
        <v>20217JPY</v>
      </c>
      <c r="AR1228" s="206" t="str">
        <f t="shared" si="373"/>
        <v>YAMAHA_Mounter</v>
      </c>
      <c r="AS1228" s="22">
        <f t="shared" si="374"/>
        <v>3</v>
      </c>
      <c r="AT1228" s="24" t="str">
        <f t="shared" si="375"/>
        <v>0-3 months</v>
      </c>
    </row>
    <row r="1229" spans="1:46" s="12" customFormat="1">
      <c r="A1229" s="33" t="str">
        <f t="shared" si="361"/>
        <v>FY 21/22</v>
      </c>
      <c r="B1229" s="152">
        <v>2021</v>
      </c>
      <c r="C1229" s="152">
        <v>4</v>
      </c>
      <c r="D1229" s="33" t="str">
        <f t="shared" si="362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3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64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76"/>
        <v>1</v>
      </c>
      <c r="Z1229" s="18">
        <f t="shared" si="377"/>
        <v>25000000</v>
      </c>
      <c r="AA1229" s="13">
        <v>7.2400000000000006E-2</v>
      </c>
      <c r="AB1229" s="21">
        <f t="shared" si="367"/>
        <v>1810000.0000000002</v>
      </c>
      <c r="AC1229" s="130">
        <f t="shared" si="368"/>
        <v>386073.00000000006</v>
      </c>
      <c r="AD1229" s="169">
        <v>0.21329999999999999</v>
      </c>
      <c r="AE1229" s="154">
        <f t="shared" si="369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8"/>
        <v>47458373.787610628</v>
      </c>
      <c r="AJ1229" s="19">
        <f t="shared" si="379"/>
        <v>7436880.1411522133</v>
      </c>
      <c r="AK1229" s="20">
        <f t="shared" si="370"/>
        <v>0.15670322321692506</v>
      </c>
      <c r="AL1229" s="17"/>
      <c r="AM1229" s="17"/>
      <c r="AN1229" s="17"/>
      <c r="AO1229" s="17"/>
      <c r="AP1229" s="28" t="str">
        <f t="shared" si="371"/>
        <v>20218</v>
      </c>
      <c r="AQ1229" s="28" t="str">
        <f t="shared" si="372"/>
        <v>20218JPY</v>
      </c>
      <c r="AR1229" s="206" t="str">
        <f t="shared" si="373"/>
        <v>YAMAHA_Mounter</v>
      </c>
      <c r="AS1229" s="22">
        <f t="shared" si="374"/>
        <v>4</v>
      </c>
      <c r="AT1229" s="24" t="str">
        <f t="shared" si="375"/>
        <v>4-6 months</v>
      </c>
    </row>
    <row r="1230" spans="1:46" s="12" customFormat="1">
      <c r="A1230" s="33" t="str">
        <f t="shared" si="361"/>
        <v>FY 21/22</v>
      </c>
      <c r="B1230" s="152">
        <v>2021</v>
      </c>
      <c r="C1230" s="152">
        <v>4</v>
      </c>
      <c r="D1230" s="33" t="str">
        <f t="shared" si="362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3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64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76"/>
        <v>1</v>
      </c>
      <c r="Z1230" s="18">
        <f t="shared" si="377"/>
        <v>25000000</v>
      </c>
      <c r="AA1230" s="13">
        <v>7.2400000000000006E-2</v>
      </c>
      <c r="AB1230" s="21">
        <f t="shared" si="367"/>
        <v>1810000.0000000002</v>
      </c>
      <c r="AC1230" s="130">
        <f t="shared" si="368"/>
        <v>386073.00000000006</v>
      </c>
      <c r="AD1230" s="169">
        <v>0.21329999999999999</v>
      </c>
      <c r="AE1230" s="154">
        <f t="shared" si="369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8"/>
        <v>47458373.787610628</v>
      </c>
      <c r="AJ1230" s="19">
        <f t="shared" si="379"/>
        <v>7436880.1411522133</v>
      </c>
      <c r="AK1230" s="20">
        <f t="shared" si="370"/>
        <v>0.15670322321692506</v>
      </c>
      <c r="AL1230" s="17"/>
      <c r="AM1230" s="17"/>
      <c r="AN1230" s="17"/>
      <c r="AO1230" s="17"/>
      <c r="AP1230" s="28" t="str">
        <f t="shared" si="371"/>
        <v>20218</v>
      </c>
      <c r="AQ1230" s="28" t="str">
        <f t="shared" si="372"/>
        <v>20218JPY</v>
      </c>
      <c r="AR1230" s="206" t="str">
        <f t="shared" si="373"/>
        <v>YAMAHA_Mounter</v>
      </c>
      <c r="AS1230" s="22">
        <f t="shared" si="374"/>
        <v>4</v>
      </c>
      <c r="AT1230" s="24" t="str">
        <f t="shared" si="375"/>
        <v>4-6 months</v>
      </c>
    </row>
    <row r="1231" spans="1:46" s="12" customFormat="1">
      <c r="A1231" s="33" t="str">
        <f t="shared" si="361"/>
        <v>FY 21/22</v>
      </c>
      <c r="B1231" s="152">
        <v>2021</v>
      </c>
      <c r="C1231" s="152">
        <v>4</v>
      </c>
      <c r="D1231" s="33" t="str">
        <f t="shared" si="362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3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64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76"/>
        <v>1</v>
      </c>
      <c r="Z1231" s="18">
        <f t="shared" si="377"/>
        <v>20300000</v>
      </c>
      <c r="AA1231" s="13">
        <v>7.2400000000000006E-2</v>
      </c>
      <c r="AB1231" s="21">
        <f t="shared" si="367"/>
        <v>1469720.0000000002</v>
      </c>
      <c r="AC1231" s="130">
        <f t="shared" si="368"/>
        <v>313491.27600000001</v>
      </c>
      <c r="AD1231" s="169">
        <v>0.21329999999999999</v>
      </c>
      <c r="AE1231" s="154">
        <f t="shared" si="369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8"/>
        <v>47458373.787610628</v>
      </c>
      <c r="AJ1231" s="19">
        <f t="shared" si="379"/>
        <v>7436880.1411522133</v>
      </c>
      <c r="AK1231" s="20">
        <f t="shared" si="370"/>
        <v>0.15670322321692506</v>
      </c>
      <c r="AL1231" s="17"/>
      <c r="AM1231" s="17"/>
      <c r="AN1231" s="17"/>
      <c r="AO1231" s="17"/>
      <c r="AP1231" s="28" t="str">
        <f t="shared" si="371"/>
        <v>20218</v>
      </c>
      <c r="AQ1231" s="28" t="str">
        <f t="shared" si="372"/>
        <v>20218JPY</v>
      </c>
      <c r="AR1231" s="206" t="str">
        <f t="shared" si="373"/>
        <v>YAMAHA_Mounter</v>
      </c>
      <c r="AS1231" s="22">
        <f t="shared" si="374"/>
        <v>4</v>
      </c>
      <c r="AT1231" s="24" t="str">
        <f t="shared" si="375"/>
        <v>4-6 months</v>
      </c>
    </row>
    <row r="1232" spans="1:46" s="12" customFormat="1">
      <c r="A1232" s="33" t="str">
        <f t="shared" si="361"/>
        <v>FY 21/22</v>
      </c>
      <c r="B1232" s="152">
        <v>2021</v>
      </c>
      <c r="C1232" s="152">
        <v>4</v>
      </c>
      <c r="D1232" s="33" t="str">
        <f t="shared" si="362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3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64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76"/>
        <v>1</v>
      </c>
      <c r="Z1232" s="18">
        <f t="shared" si="377"/>
        <v>20300000</v>
      </c>
      <c r="AA1232" s="13">
        <v>7.2400000000000006E-2</v>
      </c>
      <c r="AB1232" s="21">
        <f t="shared" si="367"/>
        <v>1469720.0000000002</v>
      </c>
      <c r="AC1232" s="130">
        <f t="shared" si="368"/>
        <v>313491.27600000001</v>
      </c>
      <c r="AD1232" s="169">
        <v>0.21329999999999999</v>
      </c>
      <c r="AE1232" s="154">
        <f t="shared" si="369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8"/>
        <v>47458373.787610628</v>
      </c>
      <c r="AJ1232" s="19">
        <f t="shared" si="379"/>
        <v>7436880.1411522133</v>
      </c>
      <c r="AK1232" s="20">
        <f t="shared" si="370"/>
        <v>0.15670322321692506</v>
      </c>
      <c r="AL1232" s="17"/>
      <c r="AM1232" s="17"/>
      <c r="AN1232" s="17"/>
      <c r="AO1232" s="17"/>
      <c r="AP1232" s="28" t="str">
        <f t="shared" si="371"/>
        <v>20218</v>
      </c>
      <c r="AQ1232" s="28" t="str">
        <f t="shared" si="372"/>
        <v>20218JPY</v>
      </c>
      <c r="AR1232" s="206" t="str">
        <f t="shared" si="373"/>
        <v>YAMAHA_Mounter</v>
      </c>
      <c r="AS1232" s="22">
        <f t="shared" si="374"/>
        <v>4</v>
      </c>
      <c r="AT1232" s="24" t="str">
        <f t="shared" si="375"/>
        <v>4-6 months</v>
      </c>
    </row>
    <row r="1233" spans="1:46" s="12" customFormat="1">
      <c r="A1233" s="33" t="str">
        <f t="shared" si="361"/>
        <v>FY 21/22</v>
      </c>
      <c r="B1233" s="152">
        <v>2021</v>
      </c>
      <c r="C1233" s="152">
        <v>4</v>
      </c>
      <c r="D1233" s="33" t="str">
        <f t="shared" si="362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3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64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76"/>
        <v>1</v>
      </c>
      <c r="Z1233" s="18">
        <f t="shared" si="377"/>
        <v>20300000</v>
      </c>
      <c r="AA1233" s="13">
        <v>7.2400000000000006E-2</v>
      </c>
      <c r="AB1233" s="21">
        <f t="shared" si="367"/>
        <v>1469720.0000000002</v>
      </c>
      <c r="AC1233" s="130">
        <f t="shared" si="368"/>
        <v>313491.27600000001</v>
      </c>
      <c r="AD1233" s="169">
        <v>0.21329999999999999</v>
      </c>
      <c r="AE1233" s="154">
        <f t="shared" si="369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8"/>
        <v>47458373.787610628</v>
      </c>
      <c r="AJ1233" s="19">
        <f t="shared" si="379"/>
        <v>7436880.1411522133</v>
      </c>
      <c r="AK1233" s="20">
        <f t="shared" si="370"/>
        <v>0.15670322321692506</v>
      </c>
      <c r="AL1233" s="17"/>
      <c r="AM1233" s="17"/>
      <c r="AN1233" s="17"/>
      <c r="AO1233" s="17"/>
      <c r="AP1233" s="28" t="str">
        <f t="shared" si="371"/>
        <v>20218</v>
      </c>
      <c r="AQ1233" s="28" t="str">
        <f t="shared" si="372"/>
        <v>20218JPY</v>
      </c>
      <c r="AR1233" s="206" t="str">
        <f t="shared" si="373"/>
        <v>YAMAHA_Mounter</v>
      </c>
      <c r="AS1233" s="22">
        <f t="shared" si="374"/>
        <v>4</v>
      </c>
      <c r="AT1233" s="24" t="str">
        <f t="shared" si="375"/>
        <v>4-6 months</v>
      </c>
    </row>
    <row r="1234" spans="1:46" s="12" customFormat="1">
      <c r="A1234" s="33" t="str">
        <f t="shared" si="361"/>
        <v>FY 21/22</v>
      </c>
      <c r="B1234" s="152">
        <v>2021</v>
      </c>
      <c r="C1234" s="152">
        <v>4</v>
      </c>
      <c r="D1234" s="33" t="str">
        <f t="shared" si="362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3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64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76"/>
        <v>1</v>
      </c>
      <c r="Z1234" s="18">
        <f t="shared" si="377"/>
        <v>20300000</v>
      </c>
      <c r="AA1234" s="13">
        <v>7.2400000000000006E-2</v>
      </c>
      <c r="AB1234" s="21">
        <f t="shared" si="367"/>
        <v>1469720.0000000002</v>
      </c>
      <c r="AC1234" s="130">
        <f t="shared" si="368"/>
        <v>313491.27600000001</v>
      </c>
      <c r="AD1234" s="169">
        <v>0.21329999999999999</v>
      </c>
      <c r="AE1234" s="154">
        <f t="shared" si="369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8"/>
        <v>47458373.787610628</v>
      </c>
      <c r="AJ1234" s="19">
        <f t="shared" si="379"/>
        <v>7436880.1411522133</v>
      </c>
      <c r="AK1234" s="20">
        <f t="shared" si="370"/>
        <v>0.15670322321692506</v>
      </c>
      <c r="AL1234" s="17"/>
      <c r="AM1234" s="17"/>
      <c r="AN1234" s="17"/>
      <c r="AO1234" s="17"/>
      <c r="AP1234" s="28" t="str">
        <f t="shared" si="371"/>
        <v>20218</v>
      </c>
      <c r="AQ1234" s="28" t="str">
        <f t="shared" si="372"/>
        <v>20218JPY</v>
      </c>
      <c r="AR1234" s="206" t="str">
        <f t="shared" si="373"/>
        <v>YAMAHA_Mounter</v>
      </c>
      <c r="AS1234" s="22">
        <f t="shared" si="374"/>
        <v>4</v>
      </c>
      <c r="AT1234" s="24" t="str">
        <f t="shared" si="375"/>
        <v>4-6 months</v>
      </c>
    </row>
    <row r="1235" spans="1:46" s="12" customFormat="1">
      <c r="A1235" s="33" t="str">
        <f t="shared" si="361"/>
        <v>FY 21/22</v>
      </c>
      <c r="B1235" s="152">
        <v>2021</v>
      </c>
      <c r="C1235" s="152">
        <v>4</v>
      </c>
      <c r="D1235" s="33" t="str">
        <f t="shared" si="362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3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64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76"/>
        <v>1</v>
      </c>
      <c r="Z1235" s="18">
        <f t="shared" si="377"/>
        <v>20300000</v>
      </c>
      <c r="AA1235" s="13">
        <v>7.2400000000000006E-2</v>
      </c>
      <c r="AB1235" s="21">
        <f t="shared" si="367"/>
        <v>1469720.0000000002</v>
      </c>
      <c r="AC1235" s="130">
        <f t="shared" si="368"/>
        <v>313491.27600000001</v>
      </c>
      <c r="AD1235" s="169">
        <v>0.21329999999999999</v>
      </c>
      <c r="AE1235" s="154">
        <f t="shared" si="369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8"/>
        <v>47458373.787610628</v>
      </c>
      <c r="AJ1235" s="19">
        <f t="shared" si="379"/>
        <v>7436880.1411522133</v>
      </c>
      <c r="AK1235" s="20">
        <f t="shared" si="370"/>
        <v>0.15670322321692506</v>
      </c>
      <c r="AL1235" s="17"/>
      <c r="AM1235" s="17"/>
      <c r="AN1235" s="17"/>
      <c r="AO1235" s="17"/>
      <c r="AP1235" s="28" t="str">
        <f t="shared" si="371"/>
        <v>20218</v>
      </c>
      <c r="AQ1235" s="28" t="str">
        <f t="shared" si="372"/>
        <v>20218JPY</v>
      </c>
      <c r="AR1235" s="206" t="str">
        <f t="shared" si="373"/>
        <v>YAMAHA_Mounter</v>
      </c>
      <c r="AS1235" s="22">
        <f t="shared" si="374"/>
        <v>4</v>
      </c>
      <c r="AT1235" s="24" t="str">
        <f t="shared" si="375"/>
        <v>4-6 months</v>
      </c>
    </row>
    <row r="1236" spans="1:46" s="12" customFormat="1">
      <c r="A1236" s="33" t="str">
        <f t="shared" si="361"/>
        <v>FY 21/22</v>
      </c>
      <c r="B1236" s="152">
        <v>2021</v>
      </c>
      <c r="C1236" s="152">
        <v>4</v>
      </c>
      <c r="D1236" s="33" t="str">
        <f t="shared" si="362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3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64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76"/>
        <v>1</v>
      </c>
      <c r="Z1236" s="18">
        <f t="shared" si="377"/>
        <v>20300000</v>
      </c>
      <c r="AA1236" s="13">
        <v>7.2400000000000006E-2</v>
      </c>
      <c r="AB1236" s="21">
        <f t="shared" si="367"/>
        <v>1469720.0000000002</v>
      </c>
      <c r="AC1236" s="130">
        <f t="shared" si="368"/>
        <v>313491.27600000001</v>
      </c>
      <c r="AD1236" s="169">
        <v>0.21329999999999999</v>
      </c>
      <c r="AE1236" s="154">
        <f t="shared" si="369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8"/>
        <v>47458373.787610628</v>
      </c>
      <c r="AJ1236" s="19">
        <f t="shared" si="379"/>
        <v>7436880.1411522133</v>
      </c>
      <c r="AK1236" s="20">
        <f t="shared" si="370"/>
        <v>0.15670322321692506</v>
      </c>
      <c r="AL1236" s="17"/>
      <c r="AM1236" s="17"/>
      <c r="AN1236" s="17"/>
      <c r="AO1236" s="17"/>
      <c r="AP1236" s="28" t="str">
        <f t="shared" si="371"/>
        <v>20218</v>
      </c>
      <c r="AQ1236" s="28" t="str">
        <f t="shared" si="372"/>
        <v>20218JPY</v>
      </c>
      <c r="AR1236" s="206" t="str">
        <f t="shared" si="373"/>
        <v>YAMAHA_Mounter</v>
      </c>
      <c r="AS1236" s="22">
        <f t="shared" si="374"/>
        <v>4</v>
      </c>
      <c r="AT1236" s="24" t="str">
        <f t="shared" si="375"/>
        <v>4-6 months</v>
      </c>
    </row>
    <row r="1237" spans="1:46" s="12" customFormat="1">
      <c r="A1237" s="33" t="str">
        <f t="shared" si="361"/>
        <v>FY 19/20</v>
      </c>
      <c r="B1237" s="152">
        <v>2019</v>
      </c>
      <c r="C1237" s="152">
        <v>4</v>
      </c>
      <c r="D1237" s="33" t="str">
        <f t="shared" si="362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3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64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77"/>
        <v>15920000</v>
      </c>
      <c r="AA1237" s="13">
        <v>7.2300000000000003E-2</v>
      </c>
      <c r="AB1237" s="21">
        <f t="shared" si="367"/>
        <v>1151016</v>
      </c>
      <c r="AC1237" s="130">
        <f t="shared" si="368"/>
        <v>154466.34720000002</v>
      </c>
      <c r="AD1237" s="169">
        <v>0.13420000000000001</v>
      </c>
      <c r="AE1237" s="154">
        <f t="shared" si="369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8"/>
        <v>32843736.557277881</v>
      </c>
      <c r="AJ1237" s="19">
        <f t="shared" si="379"/>
        <v>3921470.6822663117</v>
      </c>
      <c r="AK1237" s="20">
        <f t="shared" si="370"/>
        <v>0.11939782416131177</v>
      </c>
      <c r="AL1237" s="17"/>
      <c r="AM1237" s="17"/>
      <c r="AN1237" s="17"/>
      <c r="AO1237" s="17"/>
      <c r="AP1237" s="28" t="str">
        <f t="shared" si="371"/>
        <v>20194</v>
      </c>
      <c r="AQ1237" s="28" t="str">
        <f t="shared" si="372"/>
        <v>20194JPY</v>
      </c>
      <c r="AR1237" s="206" t="str">
        <f t="shared" si="373"/>
        <v>YAMAHA_Mounter</v>
      </c>
      <c r="AS1237" s="22">
        <f t="shared" si="374"/>
        <v>0</v>
      </c>
      <c r="AT1237" s="24" t="str">
        <f t="shared" si="375"/>
        <v>0-3 months</v>
      </c>
    </row>
    <row r="1238" spans="1:46" s="12" customFormat="1">
      <c r="A1238" s="33" t="str">
        <f t="shared" si="361"/>
        <v>FY 19/20</v>
      </c>
      <c r="B1238" s="152">
        <v>2019</v>
      </c>
      <c r="C1238" s="152">
        <v>7</v>
      </c>
      <c r="D1238" s="33" t="str">
        <f t="shared" si="362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3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64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77"/>
        <v>14000000</v>
      </c>
      <c r="AA1238" s="13">
        <v>7.3999999999999996E-2</v>
      </c>
      <c r="AB1238" s="21">
        <f t="shared" si="367"/>
        <v>1036000</v>
      </c>
      <c r="AC1238" s="130">
        <f t="shared" si="368"/>
        <v>173737.19999999998</v>
      </c>
      <c r="AD1238" s="169">
        <v>0.16769999999999999</v>
      </c>
      <c r="AE1238" s="154">
        <f t="shared" si="369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8"/>
        <v>34015877.71150443</v>
      </c>
      <c r="AJ1238" s="19">
        <f t="shared" si="379"/>
        <v>4446292.375441948</v>
      </c>
      <c r="AK1238" s="20">
        <f t="shared" si="370"/>
        <v>0.13071226364205143</v>
      </c>
      <c r="AL1238" s="17"/>
      <c r="AM1238" s="17"/>
      <c r="AN1238" s="17"/>
      <c r="AO1238" s="17"/>
      <c r="AP1238" s="28" t="str">
        <f t="shared" si="371"/>
        <v>20197</v>
      </c>
      <c r="AQ1238" s="28" t="str">
        <f t="shared" si="372"/>
        <v>20197JPY</v>
      </c>
      <c r="AR1238" s="206" t="str">
        <f t="shared" si="373"/>
        <v>YAMAHA_Mounter</v>
      </c>
      <c r="AS1238" s="22">
        <f t="shared" si="374"/>
        <v>0</v>
      </c>
      <c r="AT1238" s="24" t="str">
        <f t="shared" si="375"/>
        <v>0-3 months</v>
      </c>
    </row>
    <row r="1239" spans="1:46" s="12" customFormat="1">
      <c r="A1239" s="33" t="str">
        <f t="shared" si="361"/>
        <v>FY 19/20</v>
      </c>
      <c r="B1239" s="152">
        <v>2019</v>
      </c>
      <c r="C1239" s="152">
        <v>7</v>
      </c>
      <c r="D1239" s="33" t="str">
        <f t="shared" si="362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3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64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77"/>
        <v>14000000</v>
      </c>
      <c r="AA1239" s="13">
        <v>7.3999999999999996E-2</v>
      </c>
      <c r="AB1239" s="21">
        <f t="shared" si="367"/>
        <v>1036000</v>
      </c>
      <c r="AC1239" s="130">
        <f t="shared" si="368"/>
        <v>173737.19999999998</v>
      </c>
      <c r="AD1239" s="169">
        <v>0.16769999999999999</v>
      </c>
      <c r="AE1239" s="154">
        <f t="shared" si="369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8"/>
        <v>34015877.71150443</v>
      </c>
      <c r="AJ1239" s="19">
        <f t="shared" si="379"/>
        <v>4446292.375441948</v>
      </c>
      <c r="AK1239" s="20">
        <f t="shared" si="370"/>
        <v>0.13071226364205143</v>
      </c>
      <c r="AL1239" s="17"/>
      <c r="AM1239" s="17"/>
      <c r="AN1239" s="17"/>
      <c r="AO1239" s="17"/>
      <c r="AP1239" s="28" t="str">
        <f t="shared" si="371"/>
        <v>20197</v>
      </c>
      <c r="AQ1239" s="28" t="str">
        <f t="shared" si="372"/>
        <v>20197JPY</v>
      </c>
      <c r="AR1239" s="206" t="str">
        <f t="shared" si="373"/>
        <v>YAMAHA_Mounter</v>
      </c>
      <c r="AS1239" s="22">
        <f t="shared" si="374"/>
        <v>0</v>
      </c>
      <c r="AT1239" s="24" t="str">
        <f t="shared" si="375"/>
        <v>0-3 months</v>
      </c>
    </row>
    <row r="1240" spans="1:46" s="12" customFormat="1">
      <c r="A1240" s="33" t="str">
        <f t="shared" si="361"/>
        <v>FY 19/20</v>
      </c>
      <c r="B1240" s="152">
        <v>2019</v>
      </c>
      <c r="C1240" s="152">
        <v>7</v>
      </c>
      <c r="D1240" s="33" t="str">
        <f t="shared" si="362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3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64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77"/>
        <v>10000000</v>
      </c>
      <c r="AA1240" s="13">
        <v>7.3999999999999996E-2</v>
      </c>
      <c r="AB1240" s="21">
        <f t="shared" si="367"/>
        <v>740000</v>
      </c>
      <c r="AC1240" s="130">
        <f t="shared" si="368"/>
        <v>124097.99999999999</v>
      </c>
      <c r="AD1240" s="169">
        <v>0.16769999999999999</v>
      </c>
      <c r="AE1240" s="154">
        <f t="shared" si="369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8"/>
        <v>34015877.71150443</v>
      </c>
      <c r="AJ1240" s="19">
        <f t="shared" si="379"/>
        <v>4446292.375441948</v>
      </c>
      <c r="AK1240" s="20">
        <f t="shared" si="370"/>
        <v>0.13071226364205143</v>
      </c>
      <c r="AL1240" s="17"/>
      <c r="AM1240" s="17"/>
      <c r="AN1240" s="17"/>
      <c r="AO1240" s="17"/>
      <c r="AP1240" s="28" t="str">
        <f t="shared" si="371"/>
        <v>20197</v>
      </c>
      <c r="AQ1240" s="28" t="str">
        <f t="shared" si="372"/>
        <v>20197JPY</v>
      </c>
      <c r="AR1240" s="206" t="str">
        <f t="shared" si="373"/>
        <v>YAMAHA_Mounter</v>
      </c>
      <c r="AS1240" s="22">
        <f t="shared" si="374"/>
        <v>0</v>
      </c>
      <c r="AT1240" s="24" t="str">
        <f t="shared" si="375"/>
        <v>0-3 months</v>
      </c>
    </row>
    <row r="1241" spans="1:46" s="12" customFormat="1">
      <c r="A1241" s="33" t="str">
        <f t="shared" si="361"/>
        <v>FY 19/20</v>
      </c>
      <c r="B1241" s="152">
        <v>2019</v>
      </c>
      <c r="C1241" s="152">
        <v>7</v>
      </c>
      <c r="D1241" s="33" t="str">
        <f t="shared" si="362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3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64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77"/>
        <v>10000000</v>
      </c>
      <c r="AA1241" s="13">
        <v>7.3999999999999996E-2</v>
      </c>
      <c r="AB1241" s="21">
        <f t="shared" si="367"/>
        <v>740000</v>
      </c>
      <c r="AC1241" s="130">
        <f t="shared" si="368"/>
        <v>124097.99999999999</v>
      </c>
      <c r="AD1241" s="169">
        <v>0.16769999999999999</v>
      </c>
      <c r="AE1241" s="154">
        <f t="shared" si="369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8"/>
        <v>34015877.71150443</v>
      </c>
      <c r="AJ1241" s="19">
        <f t="shared" si="379"/>
        <v>4446292.375441948</v>
      </c>
      <c r="AK1241" s="20">
        <f t="shared" si="370"/>
        <v>0.13071226364205143</v>
      </c>
      <c r="AL1241" s="17"/>
      <c r="AM1241" s="17"/>
      <c r="AN1241" s="17"/>
      <c r="AO1241" s="17"/>
      <c r="AP1241" s="28" t="str">
        <f t="shared" si="371"/>
        <v>20197</v>
      </c>
      <c r="AQ1241" s="28" t="str">
        <f t="shared" si="372"/>
        <v>20197JPY</v>
      </c>
      <c r="AR1241" s="206" t="str">
        <f t="shared" si="373"/>
        <v>YAMAHA_Mounter</v>
      </c>
      <c r="AS1241" s="22">
        <f t="shared" si="374"/>
        <v>0</v>
      </c>
      <c r="AT1241" s="24" t="str">
        <f t="shared" si="375"/>
        <v>0-3 months</v>
      </c>
    </row>
    <row r="1242" spans="1:46" s="12" customFormat="1">
      <c r="A1242" s="33" t="str">
        <f t="shared" si="361"/>
        <v>FY 19/20</v>
      </c>
      <c r="B1242" s="152">
        <v>2019</v>
      </c>
      <c r="C1242" s="152">
        <v>9</v>
      </c>
      <c r="D1242" s="33" t="str">
        <f t="shared" si="362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3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64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77"/>
        <v>1160000</v>
      </c>
      <c r="AA1242" s="13">
        <v>1.095</v>
      </c>
      <c r="AB1242" s="21">
        <f t="shared" si="367"/>
        <v>1124070.7964601771</v>
      </c>
      <c r="AC1242" s="130">
        <f t="shared" si="368"/>
        <v>180525.76991150444</v>
      </c>
      <c r="AD1242" s="169">
        <v>0.16059999999999999</v>
      </c>
      <c r="AE1242" s="154">
        <f t="shared" si="369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8"/>
        <v>37599388.802345134</v>
      </c>
      <c r="AJ1242" s="19">
        <f t="shared" si="379"/>
        <v>4866784.3630338367</v>
      </c>
      <c r="AK1242" s="20">
        <f t="shared" si="370"/>
        <v>0.12943785838163113</v>
      </c>
      <c r="AL1242" s="17"/>
      <c r="AM1242" s="17"/>
      <c r="AN1242" s="17"/>
      <c r="AO1242" s="17"/>
      <c r="AP1242" s="28" t="str">
        <f t="shared" si="371"/>
        <v>20199</v>
      </c>
      <c r="AQ1242" s="28" t="str">
        <f t="shared" si="372"/>
        <v>20199RMB</v>
      </c>
      <c r="AR1242" s="206" t="str">
        <f t="shared" si="373"/>
        <v>YAMAHA_Mounter</v>
      </c>
      <c r="AS1242" s="22">
        <f t="shared" si="374"/>
        <v>0</v>
      </c>
      <c r="AT1242" s="24" t="str">
        <f t="shared" si="375"/>
        <v>0-3 months</v>
      </c>
    </row>
    <row r="1243" spans="1:46" s="12" customFormat="1">
      <c r="A1243" s="33" t="str">
        <f t="shared" si="361"/>
        <v>FY 19/20</v>
      </c>
      <c r="B1243" s="152">
        <v>2019</v>
      </c>
      <c r="C1243" s="152">
        <v>9</v>
      </c>
      <c r="D1243" s="33" t="str">
        <f t="shared" si="362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3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64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77"/>
        <v>1090000</v>
      </c>
      <c r="AA1243" s="13">
        <v>1.095</v>
      </c>
      <c r="AB1243" s="21">
        <f t="shared" si="367"/>
        <v>1056238.9380530973</v>
      </c>
      <c r="AC1243" s="130">
        <f t="shared" si="368"/>
        <v>169631.97345132742</v>
      </c>
      <c r="AD1243" s="169">
        <v>0.16059999999999999</v>
      </c>
      <c r="AE1243" s="154">
        <f t="shared" si="369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8"/>
        <v>37599388.802345134</v>
      </c>
      <c r="AJ1243" s="19">
        <f t="shared" si="379"/>
        <v>4866784.3630338367</v>
      </c>
      <c r="AK1243" s="20">
        <f t="shared" si="370"/>
        <v>0.12943785838163113</v>
      </c>
      <c r="AL1243" s="17"/>
      <c r="AM1243" s="17"/>
      <c r="AN1243" s="17"/>
      <c r="AO1243" s="17"/>
      <c r="AP1243" s="28" t="str">
        <f t="shared" si="371"/>
        <v>20199</v>
      </c>
      <c r="AQ1243" s="28" t="str">
        <f t="shared" si="372"/>
        <v>20199RMB</v>
      </c>
      <c r="AR1243" s="206" t="str">
        <f t="shared" si="373"/>
        <v>YAMAHA_Mounter</v>
      </c>
      <c r="AS1243" s="22">
        <f t="shared" si="374"/>
        <v>0</v>
      </c>
      <c r="AT1243" s="24" t="str">
        <f t="shared" si="375"/>
        <v>0-3 months</v>
      </c>
    </row>
    <row r="1244" spans="1:46" s="12" customFormat="1">
      <c r="A1244" s="33" t="str">
        <f t="shared" si="361"/>
        <v>FY 19/20</v>
      </c>
      <c r="B1244" s="152">
        <v>2019</v>
      </c>
      <c r="C1244" s="152">
        <v>9</v>
      </c>
      <c r="D1244" s="33" t="str">
        <f t="shared" si="362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3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64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77"/>
        <v>1090000</v>
      </c>
      <c r="AA1244" s="13">
        <v>1.095</v>
      </c>
      <c r="AB1244" s="21">
        <f t="shared" si="367"/>
        <v>1056238.9380530973</v>
      </c>
      <c r="AC1244" s="130">
        <f t="shared" si="368"/>
        <v>169631.97345132742</v>
      </c>
      <c r="AD1244" s="169">
        <v>0.16059999999999999</v>
      </c>
      <c r="AE1244" s="154">
        <f t="shared" si="369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8"/>
        <v>37599388.802345134</v>
      </c>
      <c r="AJ1244" s="19">
        <f t="shared" si="379"/>
        <v>4866784.3630338367</v>
      </c>
      <c r="AK1244" s="20">
        <f t="shared" si="370"/>
        <v>0.12943785838163113</v>
      </c>
      <c r="AL1244" s="17"/>
      <c r="AM1244" s="17"/>
      <c r="AN1244" s="17"/>
      <c r="AO1244" s="17"/>
      <c r="AP1244" s="28" t="str">
        <f t="shared" si="371"/>
        <v>20199</v>
      </c>
      <c r="AQ1244" s="28" t="str">
        <f t="shared" si="372"/>
        <v>20199RMB</v>
      </c>
      <c r="AR1244" s="206" t="str">
        <f t="shared" si="373"/>
        <v>YAMAHA_Mounter</v>
      </c>
      <c r="AS1244" s="22">
        <f t="shared" si="374"/>
        <v>0</v>
      </c>
      <c r="AT1244" s="24" t="str">
        <f t="shared" si="375"/>
        <v>0-3 months</v>
      </c>
    </row>
    <row r="1245" spans="1:46" s="12" customFormat="1">
      <c r="A1245" s="33" t="str">
        <f t="shared" si="361"/>
        <v>cancel</v>
      </c>
      <c r="B1245" s="152"/>
      <c r="C1245" s="152" t="s">
        <v>186</v>
      </c>
      <c r="D1245" s="33" t="str">
        <f t="shared" si="362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3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64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77"/>
        <v>14000000</v>
      </c>
      <c r="AA1245" s="13">
        <v>7.5700000000000003E-2</v>
      </c>
      <c r="AB1245" s="21">
        <f t="shared" si="367"/>
        <v>1059800</v>
      </c>
      <c r="AC1245" s="130">
        <f t="shared" si="368"/>
        <v>127176</v>
      </c>
      <c r="AD1245" s="169">
        <v>0.12</v>
      </c>
      <c r="AE1245" s="154">
        <f t="shared" si="369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8"/>
        <v>477651199.57437885</v>
      </c>
      <c r="AJ1245" s="19">
        <f t="shared" si="379"/>
        <v>56918800.518691957</v>
      </c>
      <c r="AK1245" s="20">
        <f t="shared" si="370"/>
        <v>0.11916394341605475</v>
      </c>
      <c r="AL1245" s="17"/>
      <c r="AM1245" s="17"/>
      <c r="AN1245" s="17"/>
      <c r="AO1245" s="17"/>
      <c r="AP1245" s="28" t="str">
        <f t="shared" si="371"/>
        <v>CancelCancel</v>
      </c>
      <c r="AQ1245" s="28" t="str">
        <f t="shared" si="372"/>
        <v>CancelCancelJPY</v>
      </c>
      <c r="AR1245" s="206" t="str">
        <f t="shared" si="373"/>
        <v>YAMAHA_Mounter</v>
      </c>
      <c r="AS1245" s="22" t="str">
        <f t="shared" si="374"/>
        <v/>
      </c>
      <c r="AT1245" s="24" t="str">
        <f t="shared" si="375"/>
        <v/>
      </c>
    </row>
    <row r="1246" spans="1:46" s="12" customFormat="1">
      <c r="A1246" s="33" t="str">
        <f t="shared" si="361"/>
        <v>cancel</v>
      </c>
      <c r="B1246" s="152"/>
      <c r="C1246" s="152" t="s">
        <v>186</v>
      </c>
      <c r="D1246" s="33" t="str">
        <f t="shared" si="362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3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64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77"/>
        <v>14000000</v>
      </c>
      <c r="AA1246" s="13">
        <v>7.5700000000000003E-2</v>
      </c>
      <c r="AB1246" s="21">
        <f t="shared" si="367"/>
        <v>1059800</v>
      </c>
      <c r="AC1246" s="130">
        <f t="shared" si="368"/>
        <v>127176</v>
      </c>
      <c r="AD1246" s="169">
        <v>0.12</v>
      </c>
      <c r="AE1246" s="154">
        <f t="shared" si="369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8"/>
        <v>477651199.57437885</v>
      </c>
      <c r="AJ1246" s="19">
        <f t="shared" si="379"/>
        <v>56918800.518691957</v>
      </c>
      <c r="AK1246" s="20">
        <f t="shared" si="370"/>
        <v>0.11916394341605475</v>
      </c>
      <c r="AL1246" s="17"/>
      <c r="AM1246" s="17"/>
      <c r="AN1246" s="17"/>
      <c r="AO1246" s="17"/>
      <c r="AP1246" s="28" t="str">
        <f t="shared" si="371"/>
        <v>CancelCancel</v>
      </c>
      <c r="AQ1246" s="28" t="str">
        <f t="shared" si="372"/>
        <v>CancelCancelJPY</v>
      </c>
      <c r="AR1246" s="206" t="str">
        <f t="shared" si="373"/>
        <v>YAMAHA_Mounter</v>
      </c>
      <c r="AS1246" s="22" t="str">
        <f t="shared" si="374"/>
        <v/>
      </c>
      <c r="AT1246" s="24" t="str">
        <f t="shared" si="375"/>
        <v/>
      </c>
    </row>
    <row r="1247" spans="1:46" s="12" customFormat="1">
      <c r="A1247" s="33" t="str">
        <f t="shared" si="361"/>
        <v>cancel</v>
      </c>
      <c r="B1247" s="152"/>
      <c r="C1247" s="152" t="s">
        <v>186</v>
      </c>
      <c r="D1247" s="33" t="str">
        <f t="shared" si="362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3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64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77"/>
        <v>14000000</v>
      </c>
      <c r="AA1247" s="13">
        <v>7.5700000000000003E-2</v>
      </c>
      <c r="AB1247" s="21">
        <f t="shared" si="367"/>
        <v>1059800</v>
      </c>
      <c r="AC1247" s="130">
        <f t="shared" si="368"/>
        <v>127176</v>
      </c>
      <c r="AD1247" s="169">
        <v>0.12</v>
      </c>
      <c r="AE1247" s="154">
        <f t="shared" si="369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8"/>
        <v>477651199.57437885</v>
      </c>
      <c r="AJ1247" s="19">
        <f t="shared" si="379"/>
        <v>56918800.518691957</v>
      </c>
      <c r="AK1247" s="20">
        <f t="shared" si="370"/>
        <v>0.11916394341605475</v>
      </c>
      <c r="AL1247" s="17"/>
      <c r="AM1247" s="17"/>
      <c r="AN1247" s="17"/>
      <c r="AO1247" s="17"/>
      <c r="AP1247" s="28" t="str">
        <f t="shared" si="371"/>
        <v>CancelCancel</v>
      </c>
      <c r="AQ1247" s="28" t="str">
        <f t="shared" si="372"/>
        <v>CancelCancelJPY</v>
      </c>
      <c r="AR1247" s="206" t="str">
        <f t="shared" si="373"/>
        <v>YAMAHA_Mounter</v>
      </c>
      <c r="AS1247" s="22" t="str">
        <f t="shared" si="374"/>
        <v/>
      </c>
      <c r="AT1247" s="24" t="str">
        <f t="shared" si="375"/>
        <v/>
      </c>
    </row>
    <row r="1248" spans="1:46" s="12" customFormat="1">
      <c r="A1248" s="33" t="str">
        <f t="shared" ref="A1248:A1311" si="380">IF(C1248="cancel","cancel",IFERROR(IF(D1248="Q4","FY "&amp;RIGHT(B1248,2)-1&amp;"/"&amp;RIGHT(B1248,2),"FY "&amp;RIGHT(B1248,2)&amp;"/"&amp;RIGHT(B1248,2)+1),""))</f>
        <v>cancel</v>
      </c>
      <c r="B1248" s="152"/>
      <c r="C1248" s="152" t="s">
        <v>186</v>
      </c>
      <c r="D1248" s="33" t="str">
        <f t="shared" ref="D1248:D1311" si="381">IF(B1248="","",IF(AND(C1248&gt;=10,C1248&lt;=12),"Q3",IF(AND(C1248&gt;=1,C1248&lt;=3),"Q4",IF(AND(C1248&gt;=7,C1248&lt;=9),"Q2",IF(AND(C1248&gt;=4,C1248&lt;=6),"Q1")))))</f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ref="I1248:I1311" si="382">IFERROR(IF(F1248="","",IF(F1248="TBA","TBA",IF(F1248="Cancel","Cancel",IF(AND(G1248&gt;=10,G1248&lt;=12),"Q3",IF(AND(G1248&gt;=1,G1248&lt;=3),"Q4",IF(AND(G1248&gt;=7,G1248&lt;=9),"Q2",IF(AND(G1248&gt;=4,G1248&lt;=6),"Q1"))))))),"")</f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ref="P1248:P1311" si="383">IF(M1248="","",IF(AND(N1248&gt;0,L1248&lt;&gt;""),"MAIN UNIT",IF(AND(O1248&gt;0,L1248&lt;&gt;""),"SERVICE/ PARTS","C66 SERVICE/OTHERS")))</f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ref="Z1248:Z1273" si="384">IF(X1248="","",X1248*MAX(O1248,N1248))</f>
        <v>14000000</v>
      </c>
      <c r="AA1248" s="13">
        <v>7.5700000000000003E-2</v>
      </c>
      <c r="AB1248" s="21">
        <f t="shared" ref="AB1248:AB1311" si="385">IF(AND(R1248&lt;&gt;"C66",R1248&lt;&gt;""),Z1248/Y1248*AA1248,"")</f>
        <v>1059800</v>
      </c>
      <c r="AC1248" s="130">
        <f t="shared" ref="AC1248:AC1311" si="386">IF(R1248&lt;&gt;"",AB1248*AD1248,"")</f>
        <v>127176</v>
      </c>
      <c r="AD1248" s="169">
        <v>0.12</v>
      </c>
      <c r="AE1248" s="154">
        <f t="shared" ref="AE1248:AE1311" si="387">IF(Q1248="","",IF(Q1248="Yes",1,0))</f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8"/>
        <v>477651199.57437885</v>
      </c>
      <c r="AJ1248" s="19">
        <f t="shared" si="379"/>
        <v>56918800.518691957</v>
      </c>
      <c r="AK1248" s="20">
        <f t="shared" ref="AK1248:AK1311" si="388">IF(AJ1248&gt;0,AJ1248/AI1248,"")</f>
        <v>0.11916394341605475</v>
      </c>
      <c r="AL1248" s="17"/>
      <c r="AM1248" s="17"/>
      <c r="AN1248" s="17"/>
      <c r="AO1248" s="17"/>
      <c r="AP1248" s="28" t="str">
        <f t="shared" ref="AP1248:AP1311" si="389">IF(F1248="","",F1248&amp;G1248)</f>
        <v>CancelCancel</v>
      </c>
      <c r="AQ1248" s="28" t="str">
        <f t="shared" ref="AQ1248:AQ1311" si="390">IF(W1248="","",F1248&amp;G1248&amp;W1248)</f>
        <v>CancelCancelJPY</v>
      </c>
      <c r="AR1248" s="206" t="str">
        <f t="shared" ref="AR1248:AR1311" si="391">IFERROR(IF(AND(M1248="YAMAHA", R1248="C28"), "YAMAHA_Non_Mounter", IF(AND(M1248="YAMAHA", R1248="C49"), "YAMAHA_Mounter", M1248)),"")</f>
        <v>YAMAHA_Mounter</v>
      </c>
      <c r="AS1248" s="22" t="str">
        <f t="shared" ref="AS1248:AS1311" si="392">IFERROR(IF(OR(G1248="TBA", G1248=""), "", DATEDIF(DATE(B1248, C1248, 1), DATE(F1248, G1248, 1), "M")),"")</f>
        <v/>
      </c>
      <c r="AT1248" s="24" t="str">
        <f t="shared" ref="AT1248:AT1311" si="393">IF(ISNUMBER(AS1248), IF(AS1248&gt;=0, IF(AS1248&lt;=3, "0-3 months", IF(AS1248&lt;=6, "4-6 months", "&gt; 6 months"))), "")</f>
        <v/>
      </c>
    </row>
    <row r="1249" spans="1:46" s="12" customFormat="1">
      <c r="A1249" s="33" t="str">
        <f t="shared" si="380"/>
        <v>cancel</v>
      </c>
      <c r="B1249" s="152"/>
      <c r="C1249" s="152" t="s">
        <v>186</v>
      </c>
      <c r="D1249" s="33" t="str">
        <f t="shared" si="381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82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83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84"/>
        <v>24000000</v>
      </c>
      <c r="AA1249" s="13">
        <v>7.5700000000000003E-2</v>
      </c>
      <c r="AB1249" s="21">
        <f t="shared" si="385"/>
        <v>1816800</v>
      </c>
      <c r="AC1249" s="130">
        <f t="shared" si="386"/>
        <v>218016</v>
      </c>
      <c r="AD1249" s="169">
        <v>0.12</v>
      </c>
      <c r="AE1249" s="154">
        <f t="shared" si="387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8"/>
        <v>477651199.57437885</v>
      </c>
      <c r="AJ1249" s="19">
        <f t="shared" si="379"/>
        <v>56918800.518691957</v>
      </c>
      <c r="AK1249" s="20">
        <f t="shared" si="388"/>
        <v>0.11916394341605475</v>
      </c>
      <c r="AL1249" s="17"/>
      <c r="AM1249" s="17"/>
      <c r="AN1249" s="17"/>
      <c r="AO1249" s="17"/>
      <c r="AP1249" s="28" t="str">
        <f t="shared" si="389"/>
        <v>CancelCancel</v>
      </c>
      <c r="AQ1249" s="28" t="str">
        <f t="shared" si="390"/>
        <v>CancelCancelJPY</v>
      </c>
      <c r="AR1249" s="206" t="str">
        <f t="shared" si="391"/>
        <v>YAMAHA_Mounter</v>
      </c>
      <c r="AS1249" s="22" t="str">
        <f t="shared" si="392"/>
        <v/>
      </c>
      <c r="AT1249" s="24" t="str">
        <f t="shared" si="393"/>
        <v/>
      </c>
    </row>
    <row r="1250" spans="1:46" s="12" customFormat="1">
      <c r="A1250" s="33" t="str">
        <f t="shared" si="380"/>
        <v>FY 19/20</v>
      </c>
      <c r="B1250" s="152">
        <v>2019</v>
      </c>
      <c r="C1250" s="152">
        <v>11</v>
      </c>
      <c r="D1250" s="33" t="str">
        <f t="shared" si="381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82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83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84"/>
        <v>11000000</v>
      </c>
      <c r="AA1250" s="13">
        <v>7.2900000000000006E-2</v>
      </c>
      <c r="AB1250" s="21">
        <f t="shared" si="385"/>
        <v>801900.00000000012</v>
      </c>
      <c r="AC1250" s="130">
        <f t="shared" si="386"/>
        <v>82034.37000000001</v>
      </c>
      <c r="AD1250" s="169">
        <v>0.1023</v>
      </c>
      <c r="AE1250" s="154">
        <f t="shared" si="387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8"/>
        <v>27318180.088495575</v>
      </c>
      <c r="AJ1250" s="19">
        <f t="shared" si="379"/>
        <v>3014099.212353982</v>
      </c>
      <c r="AK1250" s="20">
        <f t="shared" si="388"/>
        <v>0.11033308963444827</v>
      </c>
      <c r="AL1250" s="17"/>
      <c r="AM1250" s="17"/>
      <c r="AN1250" s="17"/>
      <c r="AO1250" s="17"/>
      <c r="AP1250" s="28" t="str">
        <f t="shared" si="389"/>
        <v>201912</v>
      </c>
      <c r="AQ1250" s="28" t="str">
        <f t="shared" si="390"/>
        <v>201912JPY</v>
      </c>
      <c r="AR1250" s="206" t="str">
        <f t="shared" si="391"/>
        <v>YAMAHA_Mounter</v>
      </c>
      <c r="AS1250" s="22">
        <f t="shared" si="392"/>
        <v>1</v>
      </c>
      <c r="AT1250" s="24" t="str">
        <f t="shared" si="393"/>
        <v>0-3 months</v>
      </c>
    </row>
    <row r="1251" spans="1:46" s="12" customFormat="1">
      <c r="A1251" s="33" t="str">
        <f t="shared" si="380"/>
        <v>FY 19/20</v>
      </c>
      <c r="B1251" s="152">
        <v>2019</v>
      </c>
      <c r="C1251" s="152">
        <v>11</v>
      </c>
      <c r="D1251" s="33" t="str">
        <f t="shared" si="381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82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83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84"/>
        <v>11000000</v>
      </c>
      <c r="AA1251" s="13">
        <v>7.2900000000000006E-2</v>
      </c>
      <c r="AB1251" s="21">
        <f t="shared" si="385"/>
        <v>801900.00000000012</v>
      </c>
      <c r="AC1251" s="130">
        <f t="shared" si="386"/>
        <v>82034.37000000001</v>
      </c>
      <c r="AD1251" s="169">
        <v>0.1023</v>
      </c>
      <c r="AE1251" s="154">
        <f t="shared" si="387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8"/>
        <v>27318180.088495575</v>
      </c>
      <c r="AJ1251" s="19">
        <f t="shared" si="379"/>
        <v>3014099.212353982</v>
      </c>
      <c r="AK1251" s="20">
        <f t="shared" si="388"/>
        <v>0.11033308963444827</v>
      </c>
      <c r="AL1251" s="17"/>
      <c r="AM1251" s="17"/>
      <c r="AN1251" s="17"/>
      <c r="AO1251" s="17"/>
      <c r="AP1251" s="28" t="str">
        <f t="shared" si="389"/>
        <v>201912</v>
      </c>
      <c r="AQ1251" s="28" t="str">
        <f t="shared" si="390"/>
        <v>201912JPY</v>
      </c>
      <c r="AR1251" s="206" t="str">
        <f t="shared" si="391"/>
        <v>YAMAHA_Mounter</v>
      </c>
      <c r="AS1251" s="22">
        <f t="shared" si="392"/>
        <v>1</v>
      </c>
      <c r="AT1251" s="24" t="str">
        <f t="shared" si="393"/>
        <v>0-3 months</v>
      </c>
    </row>
    <row r="1252" spans="1:46" s="12" customFormat="1">
      <c r="A1252" s="33" t="str">
        <f t="shared" si="380"/>
        <v>FY 19/20</v>
      </c>
      <c r="B1252" s="152">
        <v>2019</v>
      </c>
      <c r="C1252" s="152">
        <v>11</v>
      </c>
      <c r="D1252" s="33" t="str">
        <f t="shared" si="381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82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83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84"/>
        <v>11000000</v>
      </c>
      <c r="AA1252" s="13">
        <v>7.2900000000000006E-2</v>
      </c>
      <c r="AB1252" s="21">
        <f t="shared" si="385"/>
        <v>801900.00000000012</v>
      </c>
      <c r="AC1252" s="130">
        <f t="shared" si="386"/>
        <v>82034.37000000001</v>
      </c>
      <c r="AD1252" s="169">
        <v>0.1023</v>
      </c>
      <c r="AE1252" s="154">
        <f t="shared" si="387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8"/>
        <v>27318180.088495575</v>
      </c>
      <c r="AJ1252" s="19">
        <f t="shared" si="379"/>
        <v>3014099.212353982</v>
      </c>
      <c r="AK1252" s="20">
        <f t="shared" si="388"/>
        <v>0.11033308963444827</v>
      </c>
      <c r="AL1252" s="17"/>
      <c r="AM1252" s="17"/>
      <c r="AN1252" s="17"/>
      <c r="AO1252" s="17"/>
      <c r="AP1252" s="28" t="str">
        <f t="shared" si="389"/>
        <v>201912</v>
      </c>
      <c r="AQ1252" s="28" t="str">
        <f t="shared" si="390"/>
        <v>201912JPY</v>
      </c>
      <c r="AR1252" s="206" t="str">
        <f t="shared" si="391"/>
        <v>YAMAHA_Mounter</v>
      </c>
      <c r="AS1252" s="22">
        <f t="shared" si="392"/>
        <v>1</v>
      </c>
      <c r="AT1252" s="24" t="str">
        <f t="shared" si="393"/>
        <v>0-3 months</v>
      </c>
    </row>
    <row r="1253" spans="1:46" s="12" customFormat="1">
      <c r="A1253" s="33" t="str">
        <f t="shared" si="380"/>
        <v>FY 19/20</v>
      </c>
      <c r="B1253" s="152">
        <v>2019</v>
      </c>
      <c r="C1253" s="152">
        <v>11</v>
      </c>
      <c r="D1253" s="33" t="str">
        <f t="shared" si="381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82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83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84"/>
        <v>11000000</v>
      </c>
      <c r="AA1253" s="13">
        <v>7.2900000000000006E-2</v>
      </c>
      <c r="AB1253" s="21">
        <f t="shared" si="385"/>
        <v>801900.00000000012</v>
      </c>
      <c r="AC1253" s="130">
        <f t="shared" si="386"/>
        <v>82034.37000000001</v>
      </c>
      <c r="AD1253" s="169">
        <v>0.1023</v>
      </c>
      <c r="AE1253" s="154">
        <f t="shared" si="387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8"/>
        <v>27318180.088495575</v>
      </c>
      <c r="AJ1253" s="19">
        <f t="shared" si="379"/>
        <v>3014099.212353982</v>
      </c>
      <c r="AK1253" s="20">
        <f t="shared" si="388"/>
        <v>0.11033308963444827</v>
      </c>
      <c r="AL1253" s="17"/>
      <c r="AM1253" s="17"/>
      <c r="AN1253" s="17"/>
      <c r="AO1253" s="17"/>
      <c r="AP1253" s="28" t="str">
        <f t="shared" si="389"/>
        <v>201912</v>
      </c>
      <c r="AQ1253" s="28" t="str">
        <f t="shared" si="390"/>
        <v>201912JPY</v>
      </c>
      <c r="AR1253" s="206" t="str">
        <f t="shared" si="391"/>
        <v>YAMAHA_Mounter</v>
      </c>
      <c r="AS1253" s="22">
        <f t="shared" si="392"/>
        <v>1</v>
      </c>
      <c r="AT1253" s="24" t="str">
        <f t="shared" si="393"/>
        <v>0-3 months</v>
      </c>
    </row>
    <row r="1254" spans="1:46" s="12" customFormat="1">
      <c r="A1254" s="33" t="str">
        <f t="shared" si="380"/>
        <v>FY 19/20</v>
      </c>
      <c r="B1254" s="152">
        <v>2019</v>
      </c>
      <c r="C1254" s="152">
        <v>11</v>
      </c>
      <c r="D1254" s="33" t="str">
        <f t="shared" si="381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82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83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84"/>
        <v>11000000</v>
      </c>
      <c r="AA1254" s="13">
        <v>7.2900000000000006E-2</v>
      </c>
      <c r="AB1254" s="21">
        <f t="shared" si="385"/>
        <v>801900.00000000012</v>
      </c>
      <c r="AC1254" s="130">
        <f t="shared" si="386"/>
        <v>82034.37000000001</v>
      </c>
      <c r="AD1254" s="169">
        <v>0.1023</v>
      </c>
      <c r="AE1254" s="154">
        <f t="shared" si="387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8"/>
        <v>27318180.088495575</v>
      </c>
      <c r="AJ1254" s="19">
        <f t="shared" si="379"/>
        <v>3014099.212353982</v>
      </c>
      <c r="AK1254" s="20">
        <f t="shared" si="388"/>
        <v>0.11033308963444827</v>
      </c>
      <c r="AL1254" s="17"/>
      <c r="AM1254" s="17"/>
      <c r="AN1254" s="17"/>
      <c r="AO1254" s="17"/>
      <c r="AP1254" s="28" t="str">
        <f t="shared" si="389"/>
        <v>201912</v>
      </c>
      <c r="AQ1254" s="28" t="str">
        <f t="shared" si="390"/>
        <v>201912JPY</v>
      </c>
      <c r="AR1254" s="206" t="str">
        <f t="shared" si="391"/>
        <v>YAMAHA_Mounter</v>
      </c>
      <c r="AS1254" s="22">
        <f t="shared" si="392"/>
        <v>1</v>
      </c>
      <c r="AT1254" s="24" t="str">
        <f t="shared" si="393"/>
        <v>0-3 months</v>
      </c>
    </row>
    <row r="1255" spans="1:46" s="12" customFormat="1">
      <c r="A1255" s="33" t="str">
        <f t="shared" si="380"/>
        <v>FY 19/20</v>
      </c>
      <c r="B1255" s="152">
        <v>2019</v>
      </c>
      <c r="C1255" s="152">
        <v>11</v>
      </c>
      <c r="D1255" s="33" t="str">
        <f t="shared" si="381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82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83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84"/>
        <v>7750000</v>
      </c>
      <c r="AA1255" s="13">
        <v>7.2900000000000006E-2</v>
      </c>
      <c r="AB1255" s="21">
        <f t="shared" si="385"/>
        <v>564975</v>
      </c>
      <c r="AC1255" s="130">
        <f t="shared" si="386"/>
        <v>57796.942500000005</v>
      </c>
      <c r="AD1255" s="169">
        <v>0.1023</v>
      </c>
      <c r="AE1255" s="154">
        <f t="shared" si="387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8"/>
        <v>27318180.088495575</v>
      </c>
      <c r="AJ1255" s="19">
        <f t="shared" si="379"/>
        <v>3014099.212353982</v>
      </c>
      <c r="AK1255" s="20">
        <f t="shared" si="388"/>
        <v>0.11033308963444827</v>
      </c>
      <c r="AL1255" s="17"/>
      <c r="AM1255" s="17"/>
      <c r="AN1255" s="17"/>
      <c r="AO1255" s="17"/>
      <c r="AP1255" s="28" t="str">
        <f t="shared" si="389"/>
        <v>201912</v>
      </c>
      <c r="AQ1255" s="28" t="str">
        <f t="shared" si="390"/>
        <v>201912JPY</v>
      </c>
      <c r="AR1255" s="206" t="str">
        <f t="shared" si="391"/>
        <v>YAMAHA_Mounter</v>
      </c>
      <c r="AS1255" s="22">
        <f t="shared" si="392"/>
        <v>1</v>
      </c>
      <c r="AT1255" s="24" t="str">
        <f t="shared" si="393"/>
        <v>0-3 months</v>
      </c>
    </row>
    <row r="1256" spans="1:46" s="12" customFormat="1">
      <c r="A1256" s="33" t="str">
        <f t="shared" si="380"/>
        <v>FY 19/20</v>
      </c>
      <c r="B1256" s="152">
        <v>2019</v>
      </c>
      <c r="C1256" s="152">
        <v>11</v>
      </c>
      <c r="D1256" s="33" t="str">
        <f t="shared" si="381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82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83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84"/>
        <v>7750000</v>
      </c>
      <c r="AA1256" s="13">
        <v>7.2900000000000006E-2</v>
      </c>
      <c r="AB1256" s="21">
        <f t="shared" si="385"/>
        <v>564975</v>
      </c>
      <c r="AC1256" s="130">
        <f t="shared" si="386"/>
        <v>57796.942500000005</v>
      </c>
      <c r="AD1256" s="169">
        <v>0.1023</v>
      </c>
      <c r="AE1256" s="154">
        <f t="shared" si="387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8"/>
        <v>27318180.088495575</v>
      </c>
      <c r="AJ1256" s="19">
        <f t="shared" si="379"/>
        <v>3014099.212353982</v>
      </c>
      <c r="AK1256" s="20">
        <f t="shared" si="388"/>
        <v>0.11033308963444827</v>
      </c>
      <c r="AL1256" s="17"/>
      <c r="AM1256" s="17"/>
      <c r="AN1256" s="17"/>
      <c r="AO1256" s="17"/>
      <c r="AP1256" s="28" t="str">
        <f t="shared" si="389"/>
        <v>201912</v>
      </c>
      <c r="AQ1256" s="28" t="str">
        <f t="shared" si="390"/>
        <v>201912JPY</v>
      </c>
      <c r="AR1256" s="206" t="str">
        <f t="shared" si="391"/>
        <v>YAMAHA_Mounter</v>
      </c>
      <c r="AS1256" s="22">
        <f t="shared" si="392"/>
        <v>1</v>
      </c>
      <c r="AT1256" s="24" t="str">
        <f t="shared" si="393"/>
        <v>0-3 months</v>
      </c>
    </row>
    <row r="1257" spans="1:46" s="12" customFormat="1">
      <c r="A1257" s="33" t="str">
        <f t="shared" si="380"/>
        <v>FY 19/20</v>
      </c>
      <c r="B1257" s="152">
        <v>2019</v>
      </c>
      <c r="C1257" s="152">
        <v>11</v>
      </c>
      <c r="D1257" s="33" t="str">
        <f t="shared" si="381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82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83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84"/>
        <v>7750000</v>
      </c>
      <c r="AA1257" s="13">
        <v>7.2900000000000006E-2</v>
      </c>
      <c r="AB1257" s="21">
        <f t="shared" si="385"/>
        <v>564975</v>
      </c>
      <c r="AC1257" s="130">
        <f t="shared" si="386"/>
        <v>57796.942500000005</v>
      </c>
      <c r="AD1257" s="169">
        <v>0.1023</v>
      </c>
      <c r="AE1257" s="154">
        <f t="shared" si="387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8"/>
        <v>27318180.088495575</v>
      </c>
      <c r="AJ1257" s="19">
        <f t="shared" si="379"/>
        <v>3014099.212353982</v>
      </c>
      <c r="AK1257" s="20">
        <f t="shared" si="388"/>
        <v>0.11033308963444827</v>
      </c>
      <c r="AL1257" s="17"/>
      <c r="AM1257" s="17"/>
      <c r="AN1257" s="17"/>
      <c r="AO1257" s="17"/>
      <c r="AP1257" s="28" t="str">
        <f t="shared" si="389"/>
        <v>201912</v>
      </c>
      <c r="AQ1257" s="28" t="str">
        <f t="shared" si="390"/>
        <v>201912JPY</v>
      </c>
      <c r="AR1257" s="206" t="str">
        <f t="shared" si="391"/>
        <v>YAMAHA_Mounter</v>
      </c>
      <c r="AS1257" s="22">
        <f t="shared" si="392"/>
        <v>1</v>
      </c>
      <c r="AT1257" s="24" t="str">
        <f t="shared" si="393"/>
        <v>0-3 months</v>
      </c>
    </row>
    <row r="1258" spans="1:46" s="12" customFormat="1">
      <c r="A1258" s="33" t="str">
        <f t="shared" si="380"/>
        <v>FY 19/20</v>
      </c>
      <c r="B1258" s="152">
        <v>2019</v>
      </c>
      <c r="C1258" s="152">
        <v>11</v>
      </c>
      <c r="D1258" s="33" t="str">
        <f t="shared" si="381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82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83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84"/>
        <v>7750000</v>
      </c>
      <c r="AA1258" s="13">
        <v>7.2900000000000006E-2</v>
      </c>
      <c r="AB1258" s="21">
        <f t="shared" si="385"/>
        <v>564975</v>
      </c>
      <c r="AC1258" s="130">
        <f t="shared" si="386"/>
        <v>57796.942500000005</v>
      </c>
      <c r="AD1258" s="169">
        <v>0.1023</v>
      </c>
      <c r="AE1258" s="154">
        <f t="shared" si="387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8"/>
        <v>27318180.088495575</v>
      </c>
      <c r="AJ1258" s="19">
        <f t="shared" si="379"/>
        <v>3014099.212353982</v>
      </c>
      <c r="AK1258" s="20">
        <f t="shared" si="388"/>
        <v>0.11033308963444827</v>
      </c>
      <c r="AL1258" s="17"/>
      <c r="AM1258" s="17"/>
      <c r="AN1258" s="17"/>
      <c r="AO1258" s="17"/>
      <c r="AP1258" s="28" t="str">
        <f t="shared" si="389"/>
        <v>201912</v>
      </c>
      <c r="AQ1258" s="28" t="str">
        <f t="shared" si="390"/>
        <v>201912JPY</v>
      </c>
      <c r="AR1258" s="206" t="str">
        <f t="shared" si="391"/>
        <v>YAMAHA_Mounter</v>
      </c>
      <c r="AS1258" s="22">
        <f t="shared" si="392"/>
        <v>1</v>
      </c>
      <c r="AT1258" s="24" t="str">
        <f t="shared" si="393"/>
        <v>0-3 months</v>
      </c>
    </row>
    <row r="1259" spans="1:46" s="12" customFormat="1">
      <c r="A1259" s="33" t="str">
        <f t="shared" si="380"/>
        <v>FY 20/21</v>
      </c>
      <c r="B1259" s="152">
        <v>2021</v>
      </c>
      <c r="C1259" s="152">
        <v>2</v>
      </c>
      <c r="D1259" s="33" t="str">
        <f t="shared" si="381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82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83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94">IF(W1259="RMB","1.13", "1")</f>
        <v>1</v>
      </c>
      <c r="Z1259" s="18">
        <f t="shared" si="384"/>
        <v>7800000</v>
      </c>
      <c r="AA1259" s="13">
        <v>7.2800000000000004E-2</v>
      </c>
      <c r="AB1259" s="21">
        <f t="shared" si="385"/>
        <v>567840</v>
      </c>
      <c r="AC1259" s="130">
        <f t="shared" si="386"/>
        <v>118735.344</v>
      </c>
      <c r="AD1259" s="169">
        <v>0.20910000000000001</v>
      </c>
      <c r="AE1259" s="154">
        <f t="shared" si="387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8"/>
        <v>63006605.696460173</v>
      </c>
      <c r="AJ1259" s="19">
        <f t="shared" si="379"/>
        <v>8897485.660753984</v>
      </c>
      <c r="AK1259" s="20">
        <f t="shared" si="388"/>
        <v>0.141215124388995</v>
      </c>
      <c r="AL1259" s="17"/>
      <c r="AM1259" s="17"/>
      <c r="AN1259" s="17"/>
      <c r="AO1259" s="17"/>
      <c r="AP1259" s="28" t="str">
        <f t="shared" si="389"/>
        <v>20215</v>
      </c>
      <c r="AQ1259" s="28" t="str">
        <f t="shared" si="390"/>
        <v>20215JPY</v>
      </c>
      <c r="AR1259" s="206" t="str">
        <f t="shared" si="391"/>
        <v>YAMAHA_Mounter</v>
      </c>
      <c r="AS1259" s="22">
        <f t="shared" si="392"/>
        <v>3</v>
      </c>
      <c r="AT1259" s="24" t="str">
        <f t="shared" si="393"/>
        <v>0-3 months</v>
      </c>
    </row>
    <row r="1260" spans="1:46" s="12" customFormat="1">
      <c r="A1260" s="33" t="str">
        <f t="shared" si="380"/>
        <v>FY 20/21</v>
      </c>
      <c r="B1260" s="152">
        <v>2021</v>
      </c>
      <c r="C1260" s="152">
        <v>2</v>
      </c>
      <c r="D1260" s="33" t="str">
        <f t="shared" si="381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82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83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94"/>
        <v>1</v>
      </c>
      <c r="Z1260" s="18">
        <f t="shared" si="384"/>
        <v>15000000</v>
      </c>
      <c r="AA1260" s="13">
        <v>7.2800000000000004E-2</v>
      </c>
      <c r="AB1260" s="21">
        <f t="shared" si="385"/>
        <v>1092000</v>
      </c>
      <c r="AC1260" s="130">
        <f t="shared" si="386"/>
        <v>228337.2</v>
      </c>
      <c r="AD1260" s="169">
        <v>0.20910000000000001</v>
      </c>
      <c r="AE1260" s="154">
        <f t="shared" si="387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8"/>
        <v>63006605.696460173</v>
      </c>
      <c r="AJ1260" s="19">
        <f t="shared" si="379"/>
        <v>8897485.660753984</v>
      </c>
      <c r="AK1260" s="20">
        <f t="shared" si="388"/>
        <v>0.141215124388995</v>
      </c>
      <c r="AL1260" s="17"/>
      <c r="AM1260" s="17"/>
      <c r="AN1260" s="17"/>
      <c r="AO1260" s="17"/>
      <c r="AP1260" s="28" t="str">
        <f t="shared" si="389"/>
        <v>20215</v>
      </c>
      <c r="AQ1260" s="28" t="str">
        <f t="shared" si="390"/>
        <v>20215JPY</v>
      </c>
      <c r="AR1260" s="206" t="str">
        <f t="shared" si="391"/>
        <v>YAMAHA_Mounter</v>
      </c>
      <c r="AS1260" s="22">
        <f t="shared" si="392"/>
        <v>3</v>
      </c>
      <c r="AT1260" s="24" t="str">
        <f t="shared" si="393"/>
        <v>0-3 months</v>
      </c>
    </row>
    <row r="1261" spans="1:46" s="12" customFormat="1">
      <c r="A1261" s="33" t="str">
        <f t="shared" si="380"/>
        <v>FY 20/21</v>
      </c>
      <c r="B1261" s="152">
        <v>2021</v>
      </c>
      <c r="C1261" s="152">
        <v>2</v>
      </c>
      <c r="D1261" s="33" t="str">
        <f t="shared" si="381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82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83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94"/>
        <v>1</v>
      </c>
      <c r="Z1261" s="18">
        <f t="shared" si="384"/>
        <v>15000000</v>
      </c>
      <c r="AA1261" s="13">
        <v>7.2800000000000004E-2</v>
      </c>
      <c r="AB1261" s="21">
        <f t="shared" si="385"/>
        <v>1092000</v>
      </c>
      <c r="AC1261" s="130">
        <f t="shared" si="386"/>
        <v>228337.2</v>
      </c>
      <c r="AD1261" s="169">
        <v>0.20910000000000001</v>
      </c>
      <c r="AE1261" s="154">
        <f t="shared" si="387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8"/>
        <v>63006605.696460173</v>
      </c>
      <c r="AJ1261" s="19">
        <f t="shared" si="379"/>
        <v>8897485.660753984</v>
      </c>
      <c r="AK1261" s="20">
        <f t="shared" si="388"/>
        <v>0.141215124388995</v>
      </c>
      <c r="AL1261" s="17"/>
      <c r="AM1261" s="17"/>
      <c r="AN1261" s="17"/>
      <c r="AO1261" s="17"/>
      <c r="AP1261" s="28" t="str">
        <f t="shared" si="389"/>
        <v>20215</v>
      </c>
      <c r="AQ1261" s="28" t="str">
        <f t="shared" si="390"/>
        <v>20215JPY</v>
      </c>
      <c r="AR1261" s="206" t="str">
        <f t="shared" si="391"/>
        <v>YAMAHA_Mounter</v>
      </c>
      <c r="AS1261" s="22">
        <f t="shared" si="392"/>
        <v>3</v>
      </c>
      <c r="AT1261" s="24" t="str">
        <f t="shared" si="393"/>
        <v>0-3 months</v>
      </c>
    </row>
    <row r="1262" spans="1:46" s="12" customFormat="1">
      <c r="A1262" s="33" t="str">
        <f t="shared" si="380"/>
        <v>FY 21/22</v>
      </c>
      <c r="B1262" s="152">
        <v>2021</v>
      </c>
      <c r="C1262" s="152">
        <v>6</v>
      </c>
      <c r="D1262" s="33" t="str">
        <f t="shared" si="381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82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83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94"/>
        <v>1</v>
      </c>
      <c r="Z1262" s="18">
        <f t="shared" si="384"/>
        <v>8989000</v>
      </c>
      <c r="AA1262" s="13">
        <v>7.2099999999999997E-2</v>
      </c>
      <c r="AB1262" s="21">
        <f t="shared" si="385"/>
        <v>648106.9</v>
      </c>
      <c r="AC1262" s="130">
        <f t="shared" si="386"/>
        <v>129426.94792999999</v>
      </c>
      <c r="AD1262" s="169">
        <v>0.19969999999999999</v>
      </c>
      <c r="AE1262" s="154">
        <f t="shared" si="387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8"/>
        <v>54700260.692079648</v>
      </c>
      <c r="AJ1262" s="19">
        <f t="shared" si="379"/>
        <v>7482899.5749188727</v>
      </c>
      <c r="AK1262" s="20">
        <f t="shared" si="388"/>
        <v>0.13679824337660537</v>
      </c>
      <c r="AL1262" s="17"/>
      <c r="AM1262" s="17"/>
      <c r="AN1262" s="17"/>
      <c r="AO1262" s="17"/>
      <c r="AP1262" s="28" t="str">
        <f t="shared" si="389"/>
        <v>20216</v>
      </c>
      <c r="AQ1262" s="28" t="str">
        <f t="shared" si="390"/>
        <v>20216JPY</v>
      </c>
      <c r="AR1262" s="206" t="str">
        <f t="shared" si="391"/>
        <v>YAMAHA_Mounter</v>
      </c>
      <c r="AS1262" s="22">
        <f t="shared" si="392"/>
        <v>0</v>
      </c>
      <c r="AT1262" s="24" t="str">
        <f t="shared" si="393"/>
        <v>0-3 months</v>
      </c>
    </row>
    <row r="1263" spans="1:46" s="12" customFormat="1">
      <c r="A1263" s="33" t="str">
        <f t="shared" si="380"/>
        <v>FY 21/22</v>
      </c>
      <c r="B1263" s="152">
        <v>2021</v>
      </c>
      <c r="C1263" s="152">
        <v>6</v>
      </c>
      <c r="D1263" s="33" t="str">
        <f t="shared" si="381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82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83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94"/>
        <v>1</v>
      </c>
      <c r="Z1263" s="18">
        <f t="shared" si="384"/>
        <v>14345000</v>
      </c>
      <c r="AA1263" s="13">
        <v>5.4199999999999998E-2</v>
      </c>
      <c r="AB1263" s="21">
        <f t="shared" si="385"/>
        <v>777499</v>
      </c>
      <c r="AC1263" s="130">
        <f t="shared" si="386"/>
        <v>93299.87999999999</v>
      </c>
      <c r="AD1263" s="169">
        <v>0.12</v>
      </c>
      <c r="AE1263" s="154">
        <f t="shared" si="387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8"/>
        <v>477651199.57437885</v>
      </c>
      <c r="AJ1263" s="19">
        <f t="shared" si="379"/>
        <v>56918800.518691957</v>
      </c>
      <c r="AK1263" s="20">
        <f t="shared" si="388"/>
        <v>0.11916394341605475</v>
      </c>
      <c r="AL1263" s="17"/>
      <c r="AM1263" s="17"/>
      <c r="AN1263" s="17"/>
      <c r="AO1263" s="17"/>
      <c r="AP1263" s="28" t="str">
        <f t="shared" si="389"/>
        <v>CancelCancel</v>
      </c>
      <c r="AQ1263" s="28" t="str">
        <f t="shared" si="390"/>
        <v>CancelCancelJPY</v>
      </c>
      <c r="AR1263" s="206" t="str">
        <f t="shared" si="391"/>
        <v>YAMAHA_Mounter</v>
      </c>
      <c r="AS1263" s="22" t="str">
        <f t="shared" si="392"/>
        <v/>
      </c>
      <c r="AT1263" s="24" t="str">
        <f t="shared" si="393"/>
        <v/>
      </c>
    </row>
    <row r="1264" spans="1:46" s="12" customFormat="1">
      <c r="A1264" s="33" t="str">
        <f t="shared" si="380"/>
        <v>FY 21/22</v>
      </c>
      <c r="B1264" s="152">
        <v>2021</v>
      </c>
      <c r="C1264" s="152">
        <v>6</v>
      </c>
      <c r="D1264" s="33" t="str">
        <f t="shared" si="381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82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83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94"/>
        <v>1</v>
      </c>
      <c r="Z1264" s="18">
        <f t="shared" si="384"/>
        <v>14345000</v>
      </c>
      <c r="AA1264" s="13">
        <v>5.4199999999999998E-2</v>
      </c>
      <c r="AB1264" s="21">
        <f t="shared" si="385"/>
        <v>777499</v>
      </c>
      <c r="AC1264" s="130">
        <f t="shared" si="386"/>
        <v>93299.87999999999</v>
      </c>
      <c r="AD1264" s="169">
        <v>0.12</v>
      </c>
      <c r="AE1264" s="154">
        <f t="shared" si="387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8"/>
        <v>477651199.57437885</v>
      </c>
      <c r="AJ1264" s="19">
        <f t="shared" si="379"/>
        <v>56918800.518691957</v>
      </c>
      <c r="AK1264" s="20">
        <f t="shared" si="388"/>
        <v>0.11916394341605475</v>
      </c>
      <c r="AL1264" s="17"/>
      <c r="AM1264" s="17"/>
      <c r="AN1264" s="17"/>
      <c r="AO1264" s="17"/>
      <c r="AP1264" s="28" t="str">
        <f t="shared" si="389"/>
        <v>CancelCancel</v>
      </c>
      <c r="AQ1264" s="28" t="str">
        <f t="shared" si="390"/>
        <v>CancelCancelJPY</v>
      </c>
      <c r="AR1264" s="206" t="str">
        <f t="shared" si="391"/>
        <v>YAMAHA_Mounter</v>
      </c>
      <c r="AS1264" s="22" t="str">
        <f t="shared" si="392"/>
        <v/>
      </c>
      <c r="AT1264" s="24" t="str">
        <f t="shared" si="393"/>
        <v/>
      </c>
    </row>
    <row r="1265" spans="1:46" s="12" customFormat="1">
      <c r="A1265" s="33" t="str">
        <f t="shared" si="380"/>
        <v>FY 21/22</v>
      </c>
      <c r="B1265" s="152">
        <v>2021</v>
      </c>
      <c r="C1265" s="152">
        <v>6</v>
      </c>
      <c r="D1265" s="33" t="str">
        <f t="shared" si="381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82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83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94"/>
        <v>1</v>
      </c>
      <c r="Z1265" s="18">
        <f t="shared" si="384"/>
        <v>8989000</v>
      </c>
      <c r="AA1265" s="13">
        <v>5.4199999999999998E-2</v>
      </c>
      <c r="AB1265" s="21">
        <f t="shared" si="385"/>
        <v>487203.8</v>
      </c>
      <c r="AC1265" s="130">
        <f t="shared" si="386"/>
        <v>58464.455999999998</v>
      </c>
      <c r="AD1265" s="169">
        <v>0.12</v>
      </c>
      <c r="AE1265" s="154">
        <f t="shared" si="387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8"/>
        <v>477651199.57437885</v>
      </c>
      <c r="AJ1265" s="19">
        <f t="shared" si="379"/>
        <v>56918800.518691957</v>
      </c>
      <c r="AK1265" s="20">
        <f t="shared" si="388"/>
        <v>0.11916394341605475</v>
      </c>
      <c r="AL1265" s="17"/>
      <c r="AM1265" s="17"/>
      <c r="AN1265" s="17"/>
      <c r="AO1265" s="17"/>
      <c r="AP1265" s="28" t="str">
        <f t="shared" si="389"/>
        <v>CancelCancel</v>
      </c>
      <c r="AQ1265" s="28" t="str">
        <f t="shared" si="390"/>
        <v>CancelCancelJPY</v>
      </c>
      <c r="AR1265" s="206" t="str">
        <f t="shared" si="391"/>
        <v>YAMAHA_Mounter</v>
      </c>
      <c r="AS1265" s="22" t="str">
        <f t="shared" si="392"/>
        <v/>
      </c>
      <c r="AT1265" s="24" t="str">
        <f t="shared" si="393"/>
        <v/>
      </c>
    </row>
    <row r="1266" spans="1:46" s="12" customFormat="1">
      <c r="A1266" s="33" t="str">
        <f t="shared" si="380"/>
        <v>FY 21/22</v>
      </c>
      <c r="B1266" s="152">
        <v>2021</v>
      </c>
      <c r="C1266" s="152">
        <v>6</v>
      </c>
      <c r="D1266" s="33" t="str">
        <f t="shared" si="381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82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83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94"/>
        <v>1</v>
      </c>
      <c r="Z1266" s="18">
        <f t="shared" si="384"/>
        <v>8989000</v>
      </c>
      <c r="AA1266" s="13">
        <v>5.4199999999999998E-2</v>
      </c>
      <c r="AB1266" s="21">
        <f t="shared" si="385"/>
        <v>487203.8</v>
      </c>
      <c r="AC1266" s="130">
        <f t="shared" si="386"/>
        <v>58464.455999999998</v>
      </c>
      <c r="AD1266" s="169">
        <v>0.12</v>
      </c>
      <c r="AE1266" s="154">
        <f t="shared" si="387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8"/>
        <v>477651199.57437885</v>
      </c>
      <c r="AJ1266" s="19">
        <f t="shared" si="379"/>
        <v>56918800.518691957</v>
      </c>
      <c r="AK1266" s="20">
        <f t="shared" si="388"/>
        <v>0.11916394341605475</v>
      </c>
      <c r="AL1266" s="17"/>
      <c r="AM1266" s="17"/>
      <c r="AN1266" s="17"/>
      <c r="AO1266" s="17"/>
      <c r="AP1266" s="28" t="str">
        <f t="shared" si="389"/>
        <v>CancelCancel</v>
      </c>
      <c r="AQ1266" s="28" t="str">
        <f t="shared" si="390"/>
        <v>CancelCancelJPY</v>
      </c>
      <c r="AR1266" s="206" t="str">
        <f t="shared" si="391"/>
        <v>YAMAHA_Mounter</v>
      </c>
      <c r="AS1266" s="22" t="str">
        <f t="shared" si="392"/>
        <v/>
      </c>
      <c r="AT1266" s="24" t="str">
        <f t="shared" si="393"/>
        <v/>
      </c>
    </row>
    <row r="1267" spans="1:46" s="12" customFormat="1">
      <c r="A1267" s="33" t="str">
        <f t="shared" si="380"/>
        <v>FY 21/22</v>
      </c>
      <c r="B1267" s="152">
        <v>2021</v>
      </c>
      <c r="C1267" s="152">
        <v>5</v>
      </c>
      <c r="D1267" s="33" t="str">
        <f t="shared" si="381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82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83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94"/>
        <v>1</v>
      </c>
      <c r="Z1267" s="18">
        <f t="shared" si="384"/>
        <v>12165000</v>
      </c>
      <c r="AA1267" s="13">
        <v>7.0000000000000007E-2</v>
      </c>
      <c r="AB1267" s="21">
        <f t="shared" si="385"/>
        <v>851550.00000000012</v>
      </c>
      <c r="AC1267" s="130">
        <f t="shared" si="386"/>
        <v>53903.115000000005</v>
      </c>
      <c r="AD1267" s="169">
        <v>6.3299999999999995E-2</v>
      </c>
      <c r="AE1267" s="154">
        <f t="shared" si="387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8"/>
        <v>29500529.005044252</v>
      </c>
      <c r="AJ1267" s="19">
        <f t="shared" si="379"/>
        <v>3253064.846231177</v>
      </c>
      <c r="AK1267" s="20">
        <f t="shared" si="388"/>
        <v>0.11027140718984871</v>
      </c>
      <c r="AL1267" s="17"/>
      <c r="AM1267" s="17"/>
      <c r="AN1267" s="17"/>
      <c r="AO1267" s="17"/>
      <c r="AP1267" s="28" t="str">
        <f t="shared" si="389"/>
        <v>202111</v>
      </c>
      <c r="AQ1267" s="28" t="str">
        <f t="shared" si="390"/>
        <v>202111JPY</v>
      </c>
      <c r="AR1267" s="206" t="str">
        <f t="shared" si="391"/>
        <v>YAMAHA_Mounter</v>
      </c>
      <c r="AS1267" s="22">
        <f t="shared" si="392"/>
        <v>6</v>
      </c>
      <c r="AT1267" s="24" t="str">
        <f t="shared" si="393"/>
        <v>4-6 months</v>
      </c>
    </row>
    <row r="1268" spans="1:46" s="12" customFormat="1">
      <c r="A1268" s="33" t="str">
        <f t="shared" si="380"/>
        <v>FY 19/20</v>
      </c>
      <c r="B1268" s="152">
        <v>2019</v>
      </c>
      <c r="C1268" s="152">
        <v>7</v>
      </c>
      <c r="D1268" s="33" t="str">
        <f t="shared" si="381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82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83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4"/>
        <v>563500</v>
      </c>
      <c r="AA1268" s="13">
        <v>1.135</v>
      </c>
      <c r="AB1268" s="21">
        <f t="shared" si="385"/>
        <v>565993.36283185845</v>
      </c>
      <c r="AC1268" s="130">
        <f t="shared" si="386"/>
        <v>34808.591814159292</v>
      </c>
      <c r="AD1268" s="169">
        <v>6.1499999999999999E-2</v>
      </c>
      <c r="AE1268" s="154">
        <f t="shared" si="387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8"/>
        <v>31296887.037898075</v>
      </c>
      <c r="AJ1268" s="19">
        <f t="shared" si="379"/>
        <v>3588873.9502021763</v>
      </c>
      <c r="AK1268" s="20">
        <f t="shared" si="388"/>
        <v>0.11467191436184473</v>
      </c>
      <c r="AL1268" s="17"/>
      <c r="AM1268" s="17"/>
      <c r="AN1268" s="17"/>
      <c r="AO1268" s="17"/>
      <c r="AP1268" s="28" t="str">
        <f t="shared" si="389"/>
        <v>20196</v>
      </c>
      <c r="AQ1268" s="28" t="str">
        <f t="shared" si="390"/>
        <v>20196RMB</v>
      </c>
      <c r="AR1268" s="206" t="str">
        <f t="shared" si="391"/>
        <v>YAMAHA_Mounter</v>
      </c>
      <c r="AS1268" s="22" t="str">
        <f t="shared" si="392"/>
        <v/>
      </c>
      <c r="AT1268" s="24" t="str">
        <f t="shared" si="393"/>
        <v/>
      </c>
    </row>
    <row r="1269" spans="1:46" s="12" customFormat="1">
      <c r="A1269" s="33" t="str">
        <f t="shared" si="380"/>
        <v>FY 19/20</v>
      </c>
      <c r="B1269" s="152">
        <v>2019</v>
      </c>
      <c r="C1269" s="152">
        <v>7</v>
      </c>
      <c r="D1269" s="33" t="str">
        <f t="shared" si="381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82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83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4"/>
        <v>563500</v>
      </c>
      <c r="AA1269" s="13">
        <v>1.135</v>
      </c>
      <c r="AB1269" s="21">
        <f t="shared" si="385"/>
        <v>565993.36283185845</v>
      </c>
      <c r="AC1269" s="130">
        <f t="shared" si="386"/>
        <v>34808.591814159292</v>
      </c>
      <c r="AD1269" s="169">
        <v>6.1499999999999999E-2</v>
      </c>
      <c r="AE1269" s="154">
        <f t="shared" si="387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8"/>
        <v>31296887.037898075</v>
      </c>
      <c r="AJ1269" s="19">
        <f t="shared" si="379"/>
        <v>3588873.9502021763</v>
      </c>
      <c r="AK1269" s="20">
        <f t="shared" si="388"/>
        <v>0.11467191436184473</v>
      </c>
      <c r="AL1269" s="17"/>
      <c r="AM1269" s="17"/>
      <c r="AN1269" s="17"/>
      <c r="AO1269" s="17"/>
      <c r="AP1269" s="28" t="str">
        <f t="shared" si="389"/>
        <v>20196</v>
      </c>
      <c r="AQ1269" s="28" t="str">
        <f t="shared" si="390"/>
        <v>20196RMB</v>
      </c>
      <c r="AR1269" s="206" t="str">
        <f t="shared" si="391"/>
        <v>YAMAHA_Mounter</v>
      </c>
      <c r="AS1269" s="22" t="str">
        <f t="shared" si="392"/>
        <v/>
      </c>
      <c r="AT1269" s="24" t="str">
        <f t="shared" si="393"/>
        <v/>
      </c>
    </row>
    <row r="1270" spans="1:46" s="12" customFormat="1">
      <c r="A1270" s="33" t="str">
        <f t="shared" si="380"/>
        <v>FY 20/21</v>
      </c>
      <c r="B1270" s="152">
        <v>2020</v>
      </c>
      <c r="C1270" s="152">
        <v>6</v>
      </c>
      <c r="D1270" s="33" t="str">
        <f t="shared" si="381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82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83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4"/>
        <v>577500</v>
      </c>
      <c r="AA1270" s="13">
        <v>1.095</v>
      </c>
      <c r="AB1270" s="21">
        <f t="shared" si="385"/>
        <v>559612.83185840712</v>
      </c>
      <c r="AC1270" s="130">
        <f t="shared" si="386"/>
        <v>89649.975663716832</v>
      </c>
      <c r="AD1270" s="169">
        <v>0.16020000000000001</v>
      </c>
      <c r="AE1270" s="154">
        <f t="shared" si="387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8"/>
        <v>35384300.169380538</v>
      </c>
      <c r="AJ1270" s="19">
        <f t="shared" si="379"/>
        <v>5044538.8896988509</v>
      </c>
      <c r="AK1270" s="20">
        <f t="shared" si="388"/>
        <v>0.14256432557804533</v>
      </c>
      <c r="AL1270" s="17"/>
      <c r="AM1270" s="17"/>
      <c r="AN1270" s="17"/>
      <c r="AO1270" s="17"/>
      <c r="AP1270" s="28" t="str">
        <f t="shared" si="389"/>
        <v>20207</v>
      </c>
      <c r="AQ1270" s="28" t="str">
        <f t="shared" si="390"/>
        <v>20207RMB</v>
      </c>
      <c r="AR1270" s="206" t="str">
        <f t="shared" si="391"/>
        <v>YAMAHA_Mounter</v>
      </c>
      <c r="AS1270" s="22">
        <f t="shared" si="392"/>
        <v>1</v>
      </c>
      <c r="AT1270" s="24" t="str">
        <f t="shared" si="393"/>
        <v>0-3 months</v>
      </c>
    </row>
    <row r="1271" spans="1:46" s="12" customFormat="1">
      <c r="A1271" s="33" t="str">
        <f t="shared" si="380"/>
        <v>FY 20/21</v>
      </c>
      <c r="B1271" s="152">
        <v>2020</v>
      </c>
      <c r="C1271" s="152">
        <v>6</v>
      </c>
      <c r="D1271" s="33" t="str">
        <f t="shared" si="381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82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83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4"/>
        <v>577500</v>
      </c>
      <c r="AA1271" s="13">
        <v>1.095</v>
      </c>
      <c r="AB1271" s="21">
        <f t="shared" si="385"/>
        <v>559612.83185840712</v>
      </c>
      <c r="AC1271" s="130">
        <f t="shared" si="386"/>
        <v>89649.975663716832</v>
      </c>
      <c r="AD1271" s="169">
        <v>0.16020000000000001</v>
      </c>
      <c r="AE1271" s="154">
        <f t="shared" si="387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8"/>
        <v>35384300.169380538</v>
      </c>
      <c r="AJ1271" s="19">
        <f t="shared" si="379"/>
        <v>5044538.8896988509</v>
      </c>
      <c r="AK1271" s="20">
        <f t="shared" si="388"/>
        <v>0.14256432557804533</v>
      </c>
      <c r="AL1271" s="17"/>
      <c r="AM1271" s="17"/>
      <c r="AN1271" s="17"/>
      <c r="AO1271" s="17"/>
      <c r="AP1271" s="28" t="str">
        <f t="shared" si="389"/>
        <v>20207</v>
      </c>
      <c r="AQ1271" s="28" t="str">
        <f t="shared" si="390"/>
        <v>20207RMB</v>
      </c>
      <c r="AR1271" s="206" t="str">
        <f t="shared" si="391"/>
        <v>YAMAHA_Mounter</v>
      </c>
      <c r="AS1271" s="22">
        <f t="shared" si="392"/>
        <v>1</v>
      </c>
      <c r="AT1271" s="24" t="str">
        <f t="shared" si="393"/>
        <v>0-3 months</v>
      </c>
    </row>
    <row r="1272" spans="1:46" s="12" customFormat="1">
      <c r="A1272" s="33" t="str">
        <f t="shared" si="380"/>
        <v>FY 21/22</v>
      </c>
      <c r="B1272" s="152">
        <v>2022</v>
      </c>
      <c r="C1272" s="152">
        <v>1</v>
      </c>
      <c r="D1272" s="33" t="str">
        <f t="shared" si="381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82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83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4"/>
        <v>17000000</v>
      </c>
      <c r="AA1272" s="13">
        <v>6.9199999999999998E-2</v>
      </c>
      <c r="AB1272" s="21">
        <f t="shared" si="385"/>
        <v>1176400</v>
      </c>
      <c r="AC1272" s="130">
        <f t="shared" si="386"/>
        <v>192576.68000000002</v>
      </c>
      <c r="AD1272" s="169">
        <v>0.16370000000000001</v>
      </c>
      <c r="AE1272" s="154">
        <f t="shared" si="387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8"/>
        <v>28726768.133805312</v>
      </c>
      <c r="AJ1272" s="19">
        <f t="shared" si="379"/>
        <v>3853638.1988864429</v>
      </c>
      <c r="AK1272" s="20">
        <f t="shared" si="388"/>
        <v>0.1341479898099476</v>
      </c>
      <c r="AL1272" s="17"/>
      <c r="AM1272" s="17"/>
      <c r="AN1272" s="17"/>
      <c r="AO1272" s="17"/>
      <c r="AP1272" s="28" t="str">
        <f t="shared" si="389"/>
        <v>20223</v>
      </c>
      <c r="AQ1272" s="28" t="str">
        <f t="shared" si="390"/>
        <v>20223JPY</v>
      </c>
      <c r="AR1272" s="206" t="str">
        <f t="shared" si="391"/>
        <v>YAMAHA_Mounter</v>
      </c>
      <c r="AS1272" s="22">
        <f t="shared" si="392"/>
        <v>2</v>
      </c>
      <c r="AT1272" s="24" t="str">
        <f t="shared" si="393"/>
        <v>0-3 months</v>
      </c>
    </row>
    <row r="1273" spans="1:46" s="12" customFormat="1">
      <c r="A1273" s="33" t="str">
        <f t="shared" si="380"/>
        <v>FY 21/22</v>
      </c>
      <c r="B1273" s="152">
        <v>2022</v>
      </c>
      <c r="C1273" s="152">
        <v>1</v>
      </c>
      <c r="D1273" s="33" t="str">
        <f t="shared" si="381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82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83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4"/>
        <v>11800000</v>
      </c>
      <c r="AA1273" s="13">
        <v>6.9199999999999998E-2</v>
      </c>
      <c r="AB1273" s="21">
        <f t="shared" si="385"/>
        <v>816560</v>
      </c>
      <c r="AC1273" s="130">
        <f t="shared" si="386"/>
        <v>133670.872</v>
      </c>
      <c r="AD1273" s="169">
        <v>0.16370000000000001</v>
      </c>
      <c r="AE1273" s="154">
        <f t="shared" si="387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8"/>
        <v>28726768.133805312</v>
      </c>
      <c r="AJ1273" s="19">
        <f t="shared" si="379"/>
        <v>3853638.1988864429</v>
      </c>
      <c r="AK1273" s="20">
        <f t="shared" si="388"/>
        <v>0.1341479898099476</v>
      </c>
      <c r="AL1273" s="17"/>
      <c r="AM1273" s="17"/>
      <c r="AN1273" s="17"/>
      <c r="AO1273" s="17"/>
      <c r="AP1273" s="28" t="str">
        <f t="shared" si="389"/>
        <v>20223</v>
      </c>
      <c r="AQ1273" s="28" t="str">
        <f t="shared" si="390"/>
        <v>20223JPY</v>
      </c>
      <c r="AR1273" s="206" t="str">
        <f t="shared" si="391"/>
        <v>YAMAHA_Mounter</v>
      </c>
      <c r="AS1273" s="22">
        <f t="shared" si="392"/>
        <v>2</v>
      </c>
      <c r="AT1273" s="24" t="str">
        <f t="shared" si="393"/>
        <v>0-3 months</v>
      </c>
    </row>
    <row r="1274" spans="1:46" s="12" customFormat="1">
      <c r="A1274" s="33" t="str">
        <f t="shared" si="380"/>
        <v>FY 23/24</v>
      </c>
      <c r="B1274" s="23">
        <v>2024</v>
      </c>
      <c r="C1274" s="152">
        <v>3</v>
      </c>
      <c r="D1274" s="33" t="str">
        <f t="shared" si="381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82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83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5"/>
        <v>796500</v>
      </c>
      <c r="AC1274" s="25">
        <f t="shared" si="386"/>
        <v>143131.04999999999</v>
      </c>
      <c r="AD1274" s="209">
        <v>0.1797</v>
      </c>
      <c r="AE1274" s="26">
        <f t="shared" si="387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8"/>
        <v>21194662.454867262</v>
      </c>
      <c r="AJ1274" s="27">
        <f t="shared" si="379"/>
        <v>2981431.5970757701</v>
      </c>
      <c r="AK1274" s="28">
        <f t="shared" si="388"/>
        <v>0.14066898226968919</v>
      </c>
      <c r="AL1274" s="24"/>
      <c r="AM1274" s="24"/>
      <c r="AN1274" s="24"/>
      <c r="AO1274" s="24"/>
      <c r="AP1274" s="28" t="str">
        <f t="shared" si="389"/>
        <v>20243</v>
      </c>
      <c r="AQ1274" s="28" t="str">
        <f t="shared" si="390"/>
        <v>20243JPY</v>
      </c>
      <c r="AR1274" s="206" t="str">
        <f t="shared" si="391"/>
        <v>YAMAHA_Mounter</v>
      </c>
      <c r="AS1274" s="22">
        <f t="shared" si="392"/>
        <v>0</v>
      </c>
      <c r="AT1274" s="24" t="str">
        <f t="shared" si="393"/>
        <v>0-3 months</v>
      </c>
    </row>
    <row r="1275" spans="1:46" s="12" customFormat="1">
      <c r="A1275" s="33" t="str">
        <f t="shared" si="380"/>
        <v>FY 23/24</v>
      </c>
      <c r="B1275" s="23">
        <v>2024</v>
      </c>
      <c r="C1275" s="152">
        <v>3</v>
      </c>
      <c r="D1275" s="33" t="str">
        <f t="shared" si="381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82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83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5"/>
        <v>678618</v>
      </c>
      <c r="AC1275" s="25">
        <f t="shared" si="386"/>
        <v>121947.65459999999</v>
      </c>
      <c r="AD1275" s="162">
        <v>0.1797</v>
      </c>
      <c r="AE1275" s="26">
        <f t="shared" si="387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8"/>
        <v>21194662.454867262</v>
      </c>
      <c r="AJ1275" s="27">
        <f t="shared" si="379"/>
        <v>2981431.5970757701</v>
      </c>
      <c r="AK1275" s="28">
        <f t="shared" si="388"/>
        <v>0.14066898226968919</v>
      </c>
      <c r="AL1275" s="24"/>
      <c r="AM1275" s="24"/>
      <c r="AN1275" s="24"/>
      <c r="AO1275" s="24"/>
      <c r="AP1275" s="28" t="str">
        <f t="shared" si="389"/>
        <v>20243</v>
      </c>
      <c r="AQ1275" s="28" t="str">
        <f t="shared" si="390"/>
        <v>20243JPY</v>
      </c>
      <c r="AR1275" s="206" t="str">
        <f t="shared" si="391"/>
        <v>YAMAHA_Mounter</v>
      </c>
      <c r="AS1275" s="22">
        <f t="shared" si="392"/>
        <v>0</v>
      </c>
      <c r="AT1275" s="24" t="str">
        <f t="shared" si="393"/>
        <v>0-3 months</v>
      </c>
    </row>
    <row r="1276" spans="1:46" s="12" customFormat="1">
      <c r="A1276" s="33" t="str">
        <f t="shared" si="380"/>
        <v>FY 24/25</v>
      </c>
      <c r="B1276" s="23">
        <v>2024</v>
      </c>
      <c r="C1276" s="152">
        <v>4</v>
      </c>
      <c r="D1276" s="33" t="str">
        <f t="shared" si="381"/>
        <v>Q1</v>
      </c>
      <c r="E1276" s="33" t="str">
        <f>IF(G1276="Cancel","Cancel",IF(G1276="TBA","TBA",IFERROR(IF(I1276="Q4","FY "&amp;RIGHT(F1276,2)-1&amp;"/"&amp;RIGHT(F1276,2),"FY "&amp;RIGHT(F1276,2)&amp;"/"&amp;RIGHT(F1276,2)+1),"")))</f>
        <v>FY 24/25</v>
      </c>
      <c r="F1276" s="23">
        <v>2024</v>
      </c>
      <c r="G1276" s="23">
        <v>6</v>
      </c>
      <c r="H1276" s="29"/>
      <c r="I1276" s="33" t="str">
        <f t="shared" si="382"/>
        <v>Q1</v>
      </c>
      <c r="J1276" s="188" t="s">
        <v>3393</v>
      </c>
      <c r="K1276" s="29" t="s">
        <v>502</v>
      </c>
      <c r="L1276" s="17" t="s">
        <v>68</v>
      </c>
      <c r="M1276" s="22" t="s">
        <v>61</v>
      </c>
      <c r="N1276" s="22">
        <v>1</v>
      </c>
      <c r="O1276" s="22"/>
      <c r="P1276" s="33" t="str">
        <f t="shared" si="383"/>
        <v>MAIN UNIT</v>
      </c>
      <c r="Q1276" s="13" t="s">
        <v>62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8000000</v>
      </c>
      <c r="Y1276" s="31" t="str">
        <f>IF(W1276="","",IF(W1276="RMB","1.13", "1"))</f>
        <v>1</v>
      </c>
      <c r="Z1276" s="18">
        <f t="shared" ref="Z1276:Z1339" si="395">IF(X1276="","",X1276*MAX(O1276,N1276))</f>
        <v>8000000</v>
      </c>
      <c r="AA1276" s="22">
        <v>5.0999999999999997E-2</v>
      </c>
      <c r="AB1276" s="21">
        <f t="shared" si="385"/>
        <v>408000</v>
      </c>
      <c r="AC1276" s="25">
        <f t="shared" si="386"/>
        <v>46838.400000000001</v>
      </c>
      <c r="AD1276" s="234">
        <v>0.1148</v>
      </c>
      <c r="AE1276" s="26">
        <f t="shared" si="387"/>
        <v>0</v>
      </c>
      <c r="AF1276" s="26" t="str">
        <f>IF(AND(COUNTIFS($J$18:J1276,J1276)=1,AE1276=1),1,"")</f>
        <v/>
      </c>
      <c r="AG1276" s="26" t="str">
        <f>IF(C1276="","",IF(AND(COUNTIFS($J$18:J1276,J1276)=1,C1276&lt;&gt;""),1,""))</f>
        <v/>
      </c>
      <c r="AH1276" s="26" t="str">
        <f>IF(G1276="","",IF(AND(COUNTIFS($J$18:J1276,J1276)=1,G1276&lt;&gt;""),1,""))</f>
        <v/>
      </c>
      <c r="AI1276" s="27">
        <f t="shared" si="378"/>
        <v>27308925.887079656</v>
      </c>
      <c r="AJ1276" s="27">
        <f t="shared" si="379"/>
        <v>3319273.860338124</v>
      </c>
      <c r="AK1276" s="28">
        <f t="shared" si="388"/>
        <v>0.12154538314919709</v>
      </c>
      <c r="AL1276" s="24"/>
      <c r="AM1276" s="24"/>
      <c r="AN1276" s="24"/>
      <c r="AO1276" s="24"/>
      <c r="AP1276" s="28" t="str">
        <f t="shared" si="389"/>
        <v>20246</v>
      </c>
      <c r="AQ1276" s="28" t="str">
        <f t="shared" si="390"/>
        <v>20246JPY</v>
      </c>
      <c r="AR1276" s="206" t="str">
        <f t="shared" si="391"/>
        <v>YAMAHA_Mounter</v>
      </c>
      <c r="AS1276" s="22">
        <f t="shared" si="392"/>
        <v>2</v>
      </c>
      <c r="AT1276" s="24" t="str">
        <f t="shared" si="393"/>
        <v>0-3 months</v>
      </c>
    </row>
    <row r="1277" spans="1:46" s="12" customFormat="1">
      <c r="A1277" s="33" t="str">
        <f t="shared" si="380"/>
        <v>FY 24/25</v>
      </c>
      <c r="B1277" s="23">
        <v>2024</v>
      </c>
      <c r="C1277" s="152">
        <v>4</v>
      </c>
      <c r="D1277" s="33" t="str">
        <f t="shared" si="381"/>
        <v>Q1</v>
      </c>
      <c r="E1277" s="33" t="str">
        <f>IF(G1277="Cancel","Cancel",IF(G1277="TBA","TBA",IFERROR(IF(I1277="Q4","FY "&amp;RIGHT(F1277,2)-1&amp;"/"&amp;RIGHT(F1277,2),"FY "&amp;RIGHT(F1277,2)&amp;"/"&amp;RIGHT(F1277,2)+1),"")))</f>
        <v>FY 24/25</v>
      </c>
      <c r="F1277" s="23">
        <v>2024</v>
      </c>
      <c r="G1277" s="23">
        <v>6</v>
      </c>
      <c r="H1277" s="29"/>
      <c r="I1277" s="33" t="str">
        <f t="shared" si="382"/>
        <v>Q1</v>
      </c>
      <c r="J1277" s="188" t="s">
        <v>3382</v>
      </c>
      <c r="K1277" s="29" t="s">
        <v>2134</v>
      </c>
      <c r="L1277" s="17" t="s">
        <v>93</v>
      </c>
      <c r="M1277" s="22" t="s">
        <v>61</v>
      </c>
      <c r="N1277" s="22">
        <v>1</v>
      </c>
      <c r="O1277" s="22"/>
      <c r="P1277" s="33" t="str">
        <f t="shared" si="383"/>
        <v>MAIN UNIT</v>
      </c>
      <c r="Q1277" s="13" t="s">
        <v>62</v>
      </c>
      <c r="R1277" s="22" t="s">
        <v>63</v>
      </c>
      <c r="S1277" s="22" t="s">
        <v>50</v>
      </c>
      <c r="T1277" s="22" t="s">
        <v>79</v>
      </c>
      <c r="U1277" s="22" t="s">
        <v>1072</v>
      </c>
      <c r="V1277" s="22" t="s">
        <v>2012</v>
      </c>
      <c r="W1277" s="22" t="s">
        <v>110</v>
      </c>
      <c r="X1277" s="30">
        <v>15000000</v>
      </c>
      <c r="Y1277" s="31" t="str">
        <f>IF(W1277="","",IF(W1277="RMB","1.13", "1"))</f>
        <v>1</v>
      </c>
      <c r="Z1277" s="18">
        <f t="shared" si="395"/>
        <v>15000000</v>
      </c>
      <c r="AA1277" s="22">
        <v>5.0999999999999997E-2</v>
      </c>
      <c r="AB1277" s="21">
        <f t="shared" si="385"/>
        <v>765000</v>
      </c>
      <c r="AC1277" s="25">
        <f t="shared" si="386"/>
        <v>114596.99999999999</v>
      </c>
      <c r="AD1277" s="170">
        <v>0.14979999999999999</v>
      </c>
      <c r="AE1277" s="26">
        <f t="shared" si="387"/>
        <v>0</v>
      </c>
      <c r="AF1277" s="26" t="str">
        <f>IF(AND(COUNTIFS($J$18:J1277,J1277)=1,AE1277=1),1,"")</f>
        <v/>
      </c>
      <c r="AG1277" s="26">
        <f>IF(C1277="","",IF(AND(COUNTIFS($J$18:J1277,J1277)=1,C1277&lt;&gt;""),1,""))</f>
        <v>1</v>
      </c>
      <c r="AH1277" s="26">
        <f>IF(G1277="","",IF(AND(COUNTIFS($J$18:J1277,J1277)=1,G1277&lt;&gt;""),1,""))</f>
        <v>1</v>
      </c>
      <c r="AI1277" s="27">
        <f t="shared" si="378"/>
        <v>27308925.887079656</v>
      </c>
      <c r="AJ1277" s="27">
        <f t="shared" si="379"/>
        <v>3319273.860338124</v>
      </c>
      <c r="AK1277" s="28">
        <f t="shared" si="388"/>
        <v>0.12154538314919709</v>
      </c>
      <c r="AL1277" s="24"/>
      <c r="AM1277" s="24"/>
      <c r="AN1277" s="24"/>
      <c r="AO1277" s="24"/>
      <c r="AP1277" s="28" t="str">
        <f t="shared" si="389"/>
        <v>20246</v>
      </c>
      <c r="AQ1277" s="28" t="str">
        <f t="shared" si="390"/>
        <v>20246JPY</v>
      </c>
      <c r="AR1277" s="206" t="str">
        <f t="shared" si="391"/>
        <v>YAMAHA_Mounter</v>
      </c>
      <c r="AS1277" s="22">
        <f t="shared" si="392"/>
        <v>2</v>
      </c>
      <c r="AT1277" s="24" t="str">
        <f t="shared" si="393"/>
        <v>0-3 months</v>
      </c>
    </row>
    <row r="1278" spans="1:46" s="12" customFormat="1">
      <c r="A1278" s="33" t="str">
        <f t="shared" si="380"/>
        <v>FY 19/20</v>
      </c>
      <c r="B1278" s="152">
        <v>2019</v>
      </c>
      <c r="C1278" s="152">
        <v>9</v>
      </c>
      <c r="D1278" s="33" t="str">
        <f t="shared" si="381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82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83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95"/>
        <v>1050000</v>
      </c>
      <c r="AA1278" s="13">
        <v>1.095</v>
      </c>
      <c r="AB1278" s="21">
        <f t="shared" si="385"/>
        <v>1017477.8761061948</v>
      </c>
      <c r="AC1278" s="130">
        <f t="shared" si="386"/>
        <v>115992.47787610622</v>
      </c>
      <c r="AD1278" s="169">
        <v>0.114</v>
      </c>
      <c r="AE1278" s="154">
        <f t="shared" si="387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8"/>
        <v>37599388.802345134</v>
      </c>
      <c r="AJ1278" s="19">
        <f t="shared" si="379"/>
        <v>4866784.3630338367</v>
      </c>
      <c r="AK1278" s="20">
        <f t="shared" si="388"/>
        <v>0.12943785838163113</v>
      </c>
      <c r="AL1278" s="17"/>
      <c r="AM1278" s="17"/>
      <c r="AN1278" s="17"/>
      <c r="AO1278" s="17"/>
      <c r="AP1278" s="28" t="str">
        <f t="shared" si="389"/>
        <v>20199</v>
      </c>
      <c r="AQ1278" s="28" t="str">
        <f t="shared" si="390"/>
        <v>20199RMB</v>
      </c>
      <c r="AR1278" s="206" t="str">
        <f t="shared" si="391"/>
        <v>YAMAHA_Mounter</v>
      </c>
      <c r="AS1278" s="22">
        <f t="shared" si="392"/>
        <v>0</v>
      </c>
      <c r="AT1278" s="24" t="str">
        <f t="shared" si="393"/>
        <v>0-3 months</v>
      </c>
    </row>
    <row r="1279" spans="1:46" s="12" customFormat="1">
      <c r="A1279" s="33" t="str">
        <f t="shared" si="380"/>
        <v>FY 19/20</v>
      </c>
      <c r="B1279" s="152">
        <v>2019</v>
      </c>
      <c r="C1279" s="152">
        <v>9</v>
      </c>
      <c r="D1279" s="33" t="str">
        <f t="shared" si="381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82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83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95"/>
        <v>1050000</v>
      </c>
      <c r="AA1279" s="13">
        <v>1.095</v>
      </c>
      <c r="AB1279" s="21">
        <f t="shared" si="385"/>
        <v>1017477.8761061948</v>
      </c>
      <c r="AC1279" s="130">
        <f t="shared" si="386"/>
        <v>115992.47787610622</v>
      </c>
      <c r="AD1279" s="169">
        <v>0.114</v>
      </c>
      <c r="AE1279" s="154">
        <f t="shared" si="387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8"/>
        <v>37599388.802345134</v>
      </c>
      <c r="AJ1279" s="19">
        <f t="shared" si="379"/>
        <v>4866784.3630338367</v>
      </c>
      <c r="AK1279" s="20">
        <f t="shared" si="388"/>
        <v>0.12943785838163113</v>
      </c>
      <c r="AL1279" s="17"/>
      <c r="AM1279" s="17"/>
      <c r="AN1279" s="17"/>
      <c r="AO1279" s="17"/>
      <c r="AP1279" s="28" t="str">
        <f t="shared" si="389"/>
        <v>20199</v>
      </c>
      <c r="AQ1279" s="28" t="str">
        <f t="shared" si="390"/>
        <v>20199RMB</v>
      </c>
      <c r="AR1279" s="206" t="str">
        <f t="shared" si="391"/>
        <v>YAMAHA_Mounter</v>
      </c>
      <c r="AS1279" s="22">
        <f t="shared" si="392"/>
        <v>0</v>
      </c>
      <c r="AT1279" s="24" t="str">
        <f t="shared" si="393"/>
        <v>0-3 months</v>
      </c>
    </row>
    <row r="1280" spans="1:46" s="12" customFormat="1">
      <c r="A1280" s="33" t="str">
        <f t="shared" si="380"/>
        <v>FY 20/21</v>
      </c>
      <c r="B1280" s="152">
        <v>2020</v>
      </c>
      <c r="C1280" s="152">
        <v>5</v>
      </c>
      <c r="D1280" s="33" t="str">
        <f t="shared" si="381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82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83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95"/>
        <v>1045000</v>
      </c>
      <c r="AA1280" s="13">
        <v>1.089</v>
      </c>
      <c r="AB1280" s="21">
        <f t="shared" si="385"/>
        <v>1007084.0707964603</v>
      </c>
      <c r="AC1280" s="130">
        <f t="shared" si="386"/>
        <v>145221.52300884956</v>
      </c>
      <c r="AD1280" s="169">
        <v>0.14419999999999999</v>
      </c>
      <c r="AE1280" s="154">
        <f t="shared" si="387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8"/>
        <v>29183109.05575221</v>
      </c>
      <c r="AJ1280" s="19">
        <f t="shared" si="379"/>
        <v>3741266.5648721238</v>
      </c>
      <c r="AK1280" s="20">
        <f t="shared" si="388"/>
        <v>0.12819972531798121</v>
      </c>
      <c r="AL1280" s="17"/>
      <c r="AM1280" s="17"/>
      <c r="AN1280" s="17"/>
      <c r="AO1280" s="17"/>
      <c r="AP1280" s="28" t="str">
        <f t="shared" si="389"/>
        <v>20206</v>
      </c>
      <c r="AQ1280" s="28" t="str">
        <f t="shared" si="390"/>
        <v>20206RMB</v>
      </c>
      <c r="AR1280" s="206" t="str">
        <f t="shared" si="391"/>
        <v>YAMAHA_Mounter</v>
      </c>
      <c r="AS1280" s="22">
        <f t="shared" si="392"/>
        <v>1</v>
      </c>
      <c r="AT1280" s="24" t="str">
        <f t="shared" si="393"/>
        <v>0-3 months</v>
      </c>
    </row>
    <row r="1281" spans="1:46" s="12" customFormat="1">
      <c r="A1281" s="33" t="str">
        <f t="shared" si="380"/>
        <v>FY 20/21</v>
      </c>
      <c r="B1281" s="152">
        <v>2020</v>
      </c>
      <c r="C1281" s="152">
        <v>5</v>
      </c>
      <c r="D1281" s="33" t="str">
        <f t="shared" si="381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82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83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95"/>
        <v>1045000</v>
      </c>
      <c r="AA1281" s="13">
        <v>1.089</v>
      </c>
      <c r="AB1281" s="21">
        <f t="shared" si="385"/>
        <v>1007084.0707964603</v>
      </c>
      <c r="AC1281" s="130">
        <f t="shared" si="386"/>
        <v>145221.52300884956</v>
      </c>
      <c r="AD1281" s="169">
        <v>0.14419999999999999</v>
      </c>
      <c r="AE1281" s="154">
        <f t="shared" si="387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8"/>
        <v>29183109.05575221</v>
      </c>
      <c r="AJ1281" s="19">
        <f t="shared" si="379"/>
        <v>3741266.5648721238</v>
      </c>
      <c r="AK1281" s="20">
        <f t="shared" si="388"/>
        <v>0.12819972531798121</v>
      </c>
      <c r="AL1281" s="17"/>
      <c r="AM1281" s="17"/>
      <c r="AN1281" s="17"/>
      <c r="AO1281" s="17"/>
      <c r="AP1281" s="28" t="str">
        <f t="shared" si="389"/>
        <v>20206</v>
      </c>
      <c r="AQ1281" s="28" t="str">
        <f t="shared" si="390"/>
        <v>20206RMB</v>
      </c>
      <c r="AR1281" s="206" t="str">
        <f t="shared" si="391"/>
        <v>YAMAHA_Mounter</v>
      </c>
      <c r="AS1281" s="22">
        <f t="shared" si="392"/>
        <v>1</v>
      </c>
      <c r="AT1281" s="24" t="str">
        <f t="shared" si="393"/>
        <v>0-3 months</v>
      </c>
    </row>
    <row r="1282" spans="1:46" s="12" customFormat="1">
      <c r="A1282" s="33" t="str">
        <f t="shared" si="380"/>
        <v>FY 24/25</v>
      </c>
      <c r="B1282" s="23">
        <v>2024</v>
      </c>
      <c r="C1282" s="152">
        <v>4</v>
      </c>
      <c r="D1282" s="33" t="str">
        <f t="shared" si="381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6</v>
      </c>
      <c r="H1282" s="29"/>
      <c r="I1282" s="33" t="str">
        <f t="shared" si="382"/>
        <v>Q1</v>
      </c>
      <c r="J1282" s="188" t="s">
        <v>3382</v>
      </c>
      <c r="K1282" s="29" t="s">
        <v>2134</v>
      </c>
      <c r="L1282" s="17" t="s">
        <v>68</v>
      </c>
      <c r="M1282" s="22" t="s">
        <v>61</v>
      </c>
      <c r="N1282" s="22">
        <v>1</v>
      </c>
      <c r="O1282" s="22"/>
      <c r="P1282" s="33" t="str">
        <f t="shared" si="383"/>
        <v>MAIN UNIT</v>
      </c>
      <c r="Q1282" s="13" t="s">
        <v>62</v>
      </c>
      <c r="R1282" s="22" t="s">
        <v>63</v>
      </c>
      <c r="S1282" s="22" t="s">
        <v>50</v>
      </c>
      <c r="T1282" s="22" t="s">
        <v>79</v>
      </c>
      <c r="U1282" s="22" t="s">
        <v>1072</v>
      </c>
      <c r="V1282" s="22" t="s">
        <v>2012</v>
      </c>
      <c r="W1282" s="22" t="s">
        <v>110</v>
      </c>
      <c r="X1282" s="30">
        <v>12031000</v>
      </c>
      <c r="Y1282" s="31" t="str">
        <f>IF(W1282="","",IF(W1282="RMB","1.13", "1"))</f>
        <v>1</v>
      </c>
      <c r="Z1282" s="18">
        <f t="shared" si="395"/>
        <v>12031000</v>
      </c>
      <c r="AA1282" s="22">
        <v>5.0999999999999997E-2</v>
      </c>
      <c r="AB1282" s="21">
        <f t="shared" si="385"/>
        <v>613581</v>
      </c>
      <c r="AC1282" s="25">
        <f t="shared" si="386"/>
        <v>91914.433799999999</v>
      </c>
      <c r="AD1282" s="170">
        <v>0.14979999999999999</v>
      </c>
      <c r="AE1282" s="26">
        <f t="shared" si="387"/>
        <v>0</v>
      </c>
      <c r="AF1282" s="26" t="str">
        <f>IF(AND(COUNTIFS($J$18:J1282,J1282)=1,AE1282=1),1,"")</f>
        <v/>
      </c>
      <c r="AG1282" s="26" t="str">
        <f>IF(C1282="","",IF(AND(COUNTIFS($J$18:J1282,J1282)=1,C1282&lt;&gt;""),1,""))</f>
        <v/>
      </c>
      <c r="AH1282" s="26" t="str">
        <f>IF(G1282="","",IF(AND(COUNTIFS($J$18:J1282,J1282)=1,G1282&lt;&gt;""),1,""))</f>
        <v/>
      </c>
      <c r="AI1282" s="27">
        <f t="shared" ref="AI1282:AI1345" si="396">IF(P1282="C66 SERVICE","",SUMIFS(AB:AB,F:F,F1282,G:G,G1282,E:E,E1282))</f>
        <v>27308925.887079656</v>
      </c>
      <c r="AJ1282" s="27">
        <f t="shared" ref="AJ1282:AJ1345" si="397">IF(P1282="C66 SERVICE","",SUMIFS(AC:AC,F:F,F1282,G:G,G1282,E:E,E1282))</f>
        <v>3319273.860338124</v>
      </c>
      <c r="AK1282" s="28">
        <f t="shared" si="388"/>
        <v>0.12154538314919709</v>
      </c>
      <c r="AL1282" s="24"/>
      <c r="AM1282" s="24"/>
      <c r="AN1282" s="24"/>
      <c r="AO1282" s="24"/>
      <c r="AP1282" s="28" t="str">
        <f t="shared" si="389"/>
        <v>20246</v>
      </c>
      <c r="AQ1282" s="28" t="str">
        <f t="shared" si="390"/>
        <v>20246JPY</v>
      </c>
      <c r="AR1282" s="206" t="str">
        <f t="shared" si="391"/>
        <v>YAMAHA_Mounter</v>
      </c>
      <c r="AS1282" s="22">
        <f t="shared" si="392"/>
        <v>2</v>
      </c>
      <c r="AT1282" s="24" t="str">
        <f t="shared" si="393"/>
        <v>0-3 months</v>
      </c>
    </row>
    <row r="1283" spans="1:46" s="12" customFormat="1">
      <c r="A1283" s="33" t="str">
        <f t="shared" si="380"/>
        <v>FY 24/25</v>
      </c>
      <c r="B1283" s="23">
        <v>2024</v>
      </c>
      <c r="C1283" s="152">
        <v>4</v>
      </c>
      <c r="D1283" s="202" t="str">
        <f t="shared" si="381"/>
        <v>Q1</v>
      </c>
      <c r="E1283" s="33" t="str">
        <f>IF(G1283="Cancel","Cancel",IF(G1283="TBA","TBA",IFERROR(IF(I1283="Q4","FY "&amp;RIGHT(F1283,2)-1&amp;"/"&amp;RIGHT(F1283,2),"FY "&amp;RIGHT(F1283,2)&amp;"/"&amp;RIGHT(F1283,2)+1),"")))</f>
        <v>FY 24/25</v>
      </c>
      <c r="F1283" s="23">
        <v>2024</v>
      </c>
      <c r="G1283" s="23">
        <v>6</v>
      </c>
      <c r="H1283" s="29"/>
      <c r="I1283" s="33" t="str">
        <f t="shared" si="382"/>
        <v>Q1</v>
      </c>
      <c r="J1283" s="188" t="s">
        <v>3423</v>
      </c>
      <c r="K1283" s="29" t="s">
        <v>1585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83"/>
        <v>MAIN UNIT</v>
      </c>
      <c r="Q1283" s="13" t="s">
        <v>62</v>
      </c>
      <c r="R1283" s="22" t="s">
        <v>63</v>
      </c>
      <c r="S1283" s="22" t="s">
        <v>52</v>
      </c>
      <c r="T1283" s="22" t="s">
        <v>2553</v>
      </c>
      <c r="U1283" s="22" t="s">
        <v>150</v>
      </c>
      <c r="V1283" s="22" t="s">
        <v>135</v>
      </c>
      <c r="W1283" s="22" t="s">
        <v>65</v>
      </c>
      <c r="X1283" s="94">
        <v>738000</v>
      </c>
      <c r="Y1283" s="195" t="str">
        <f>IF(W1283="","",IF(W1283="RMB","1.13", "1"))</f>
        <v>1.13</v>
      </c>
      <c r="Z1283" s="196">
        <f t="shared" si="395"/>
        <v>738000</v>
      </c>
      <c r="AA1283" s="22">
        <v>1.08</v>
      </c>
      <c r="AB1283" s="197">
        <f t="shared" si="385"/>
        <v>705345.13274336304</v>
      </c>
      <c r="AC1283" s="198">
        <f t="shared" si="386"/>
        <v>32163.738053097357</v>
      </c>
      <c r="AD1283" s="170">
        <v>4.5600000000000002E-2</v>
      </c>
      <c r="AE1283" s="199">
        <f t="shared" si="387"/>
        <v>0</v>
      </c>
      <c r="AF1283" s="199" t="str">
        <f>IF(AND(COUNTIFS($J$18:J1283,J1283)=1,AE1283=1),1,"")</f>
        <v/>
      </c>
      <c r="AG1283" s="199">
        <f>IF(C1283="","",IF(AND(COUNTIFS($J$18:J1283,J1283)=1,C1283&lt;&gt;""),1,""))</f>
        <v>1</v>
      </c>
      <c r="AH1283" s="199">
        <f>IF(G1283="","",IF(AND(COUNTIFS($J$18:J1283,J1283)=1,G1283&lt;&gt;""),1,""))</f>
        <v>1</v>
      </c>
      <c r="AI1283" s="200">
        <f t="shared" si="396"/>
        <v>27308925.887079656</v>
      </c>
      <c r="AJ1283" s="200">
        <f t="shared" si="397"/>
        <v>3319273.860338124</v>
      </c>
      <c r="AK1283" s="201">
        <f t="shared" si="388"/>
        <v>0.12154538314919709</v>
      </c>
      <c r="AL1283" s="24"/>
      <c r="AM1283" s="24"/>
      <c r="AN1283" s="24"/>
      <c r="AO1283" s="24"/>
      <c r="AP1283" s="28" t="str">
        <f t="shared" si="389"/>
        <v>20246</v>
      </c>
      <c r="AQ1283" s="208" t="str">
        <f t="shared" si="390"/>
        <v>20246RMB</v>
      </c>
      <c r="AR1283" s="206" t="str">
        <f t="shared" si="391"/>
        <v>YAMAHA_Mounter</v>
      </c>
      <c r="AS1283" s="22">
        <f t="shared" si="392"/>
        <v>2</v>
      </c>
      <c r="AT1283" s="24" t="str">
        <f t="shared" si="393"/>
        <v>0-3 months</v>
      </c>
    </row>
    <row r="1284" spans="1:46" s="12" customFormat="1">
      <c r="A1284" s="33" t="str">
        <f t="shared" si="380"/>
        <v>FY 23/24</v>
      </c>
      <c r="B1284" s="152">
        <v>2023</v>
      </c>
      <c r="C1284" s="152">
        <v>11</v>
      </c>
      <c r="D1284" s="33" t="str">
        <f t="shared" si="381"/>
        <v>Q3</v>
      </c>
      <c r="E1284" s="33" t="str">
        <f>IF(G1284="Cancel","Cancel",IF(G1284="TBA","TBA",IFERROR(IF(I1284="Q4","FY "&amp;RIGHT(F1284,2)-1&amp;"/"&amp;RIGHT(F1284,2),"FY "&amp;RIGHT(F1284,2)&amp;"/"&amp;RIGHT(F1284,2)+1),"")))</f>
        <v>FY 24/25</v>
      </c>
      <c r="F1284" s="152">
        <v>2024</v>
      </c>
      <c r="G1284" s="152">
        <v>6</v>
      </c>
      <c r="H1284" s="155"/>
      <c r="I1284" s="33" t="str">
        <f t="shared" si="382"/>
        <v>Q1</v>
      </c>
      <c r="J1284" s="186" t="s">
        <v>3153</v>
      </c>
      <c r="K1284" s="155" t="s">
        <v>1400</v>
      </c>
      <c r="L1284" s="17" t="s">
        <v>68</v>
      </c>
      <c r="M1284" s="13" t="s">
        <v>61</v>
      </c>
      <c r="N1284" s="13">
        <v>1</v>
      </c>
      <c r="O1284" s="13"/>
      <c r="P1284" s="33" t="str">
        <f t="shared" si="383"/>
        <v>MAIN UNIT</v>
      </c>
      <c r="Q1284" s="13" t="s">
        <v>62</v>
      </c>
      <c r="R1284" s="13" t="s">
        <v>63</v>
      </c>
      <c r="S1284" s="13" t="s">
        <v>51</v>
      </c>
      <c r="T1284" s="13" t="s">
        <v>89</v>
      </c>
      <c r="U1284" s="13" t="s">
        <v>71</v>
      </c>
      <c r="V1284" s="13" t="s">
        <v>1401</v>
      </c>
      <c r="W1284" s="13" t="s">
        <v>65</v>
      </c>
      <c r="X1284" s="135">
        <v>390000</v>
      </c>
      <c r="Y1284" s="157" t="str">
        <f>IF(W1284="","",IF(W1284="RMB","1.13", "1"))</f>
        <v>1.13</v>
      </c>
      <c r="Z1284" s="18">
        <f t="shared" si="395"/>
        <v>390000</v>
      </c>
      <c r="AA1284" s="22">
        <v>1.08</v>
      </c>
      <c r="AB1284" s="21">
        <f t="shared" si="385"/>
        <v>372743.36283185845</v>
      </c>
      <c r="AC1284" s="130">
        <f t="shared" si="386"/>
        <v>43946.442477876117</v>
      </c>
      <c r="AD1284" s="170">
        <v>0.1179</v>
      </c>
      <c r="AE1284" s="154">
        <f t="shared" si="387"/>
        <v>0</v>
      </c>
      <c r="AF1284" s="154" t="str">
        <f>IF(AND(COUNTIFS($J$18:J1284,J1284)=1,AE1284=1),1,"")</f>
        <v/>
      </c>
      <c r="AG1284" s="154">
        <f>IF(C1284="","",IF(AND(COUNTIFS($J$18:J1284,J1284)=1,C1284&lt;&gt;""),1,""))</f>
        <v>1</v>
      </c>
      <c r="AH1284" s="154">
        <f>IF(G1284="","",IF(AND(COUNTIFS($J$18:J1284,J1284)=1,G1284&lt;&gt;""),1,""))</f>
        <v>1</v>
      </c>
      <c r="AI1284" s="19">
        <f t="shared" si="396"/>
        <v>27308925.887079656</v>
      </c>
      <c r="AJ1284" s="19">
        <f t="shared" si="397"/>
        <v>3319273.860338124</v>
      </c>
      <c r="AK1284" s="20">
        <f t="shared" si="388"/>
        <v>0.12154538314919709</v>
      </c>
      <c r="AL1284" s="17"/>
      <c r="AM1284" s="17"/>
      <c r="AN1284" s="17"/>
      <c r="AO1284" s="17"/>
      <c r="AP1284" s="28" t="str">
        <f t="shared" si="389"/>
        <v>20246</v>
      </c>
      <c r="AQ1284" s="28" t="str">
        <f t="shared" si="390"/>
        <v>20246RMB</v>
      </c>
      <c r="AR1284" s="206" t="str">
        <f t="shared" si="391"/>
        <v>YAMAHA_Mounter</v>
      </c>
      <c r="AS1284" s="22">
        <f t="shared" si="392"/>
        <v>7</v>
      </c>
      <c r="AT1284" s="24" t="str">
        <f t="shared" si="393"/>
        <v>&gt; 6 months</v>
      </c>
    </row>
    <row r="1285" spans="1:46" s="12" customFormat="1">
      <c r="A1285" s="33" t="str">
        <f t="shared" si="380"/>
        <v>FY 17/18</v>
      </c>
      <c r="B1285" s="152">
        <v>2018</v>
      </c>
      <c r="C1285" s="152">
        <v>3</v>
      </c>
      <c r="D1285" s="33" t="str">
        <f t="shared" si="381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82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83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95"/>
        <v>800000</v>
      </c>
      <c r="AA1285" s="13">
        <v>1.23</v>
      </c>
      <c r="AB1285" s="21">
        <f t="shared" si="385"/>
        <v>841025.641025641</v>
      </c>
      <c r="AC1285" s="130">
        <f t="shared" si="386"/>
        <v>136582.56410256409</v>
      </c>
      <c r="AD1285" s="169">
        <v>0.16239999999999999</v>
      </c>
      <c r="AE1285" s="154">
        <f t="shared" si="387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96"/>
        <v>29288201.603076916</v>
      </c>
      <c r="AJ1285" s="19">
        <f t="shared" si="397"/>
        <v>3870159.1769246152</v>
      </c>
      <c r="AK1285" s="20">
        <f t="shared" si="388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89"/>
        <v>20184</v>
      </c>
      <c r="AQ1285" s="28" t="str">
        <f t="shared" si="390"/>
        <v>20184RMB</v>
      </c>
      <c r="AR1285" s="206" t="str">
        <f t="shared" si="391"/>
        <v>YAMAHA_Mounter</v>
      </c>
      <c r="AS1285" s="22">
        <f t="shared" si="392"/>
        <v>1</v>
      </c>
      <c r="AT1285" s="24" t="str">
        <f t="shared" si="393"/>
        <v>0-3 months</v>
      </c>
    </row>
    <row r="1286" spans="1:46" s="12" customFormat="1">
      <c r="A1286" s="33" t="str">
        <f t="shared" si="380"/>
        <v>FY 24/25</v>
      </c>
      <c r="B1286" s="23">
        <v>2024</v>
      </c>
      <c r="C1286" s="152">
        <v>4</v>
      </c>
      <c r="D1286" s="33" t="str">
        <f t="shared" si="381"/>
        <v>Q1</v>
      </c>
      <c r="E1286" s="33" t="str">
        <f>IF(G1286="Cancel","Cancel",IF(G1286="TBA","TBA",IFERROR(IF(I1286="Q4","FY "&amp;RIGHT(F1286,2)-1&amp;"/"&amp;RIGHT(F1286,2),"FY "&amp;RIGHT(F1286,2)&amp;"/"&amp;RIGHT(F1286,2)+1),"")))</f>
        <v>FY 24/25</v>
      </c>
      <c r="F1286" s="23">
        <v>2024</v>
      </c>
      <c r="G1286" s="23">
        <v>6</v>
      </c>
      <c r="H1286" s="29"/>
      <c r="I1286" s="33" t="str">
        <f t="shared" si="382"/>
        <v>Q1</v>
      </c>
      <c r="J1286" s="188" t="s">
        <v>3396</v>
      </c>
      <c r="K1286" s="29" t="s">
        <v>3397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si="383"/>
        <v>MAIN UNIT</v>
      </c>
      <c r="Q1286" s="13" t="s">
        <v>69</v>
      </c>
      <c r="R1286" s="22" t="s">
        <v>63</v>
      </c>
      <c r="S1286" s="22" t="s">
        <v>50</v>
      </c>
      <c r="T1286" s="22" t="s">
        <v>79</v>
      </c>
      <c r="U1286" s="22" t="s">
        <v>3398</v>
      </c>
      <c r="V1286" s="22" t="s">
        <v>1408</v>
      </c>
      <c r="W1286" s="22" t="s">
        <v>65</v>
      </c>
      <c r="X1286" s="30">
        <v>770000</v>
      </c>
      <c r="Y1286" s="31" t="str">
        <f t="shared" ref="Y1286:Y1291" si="398">IF(W1286="","",IF(W1286="RMB","1.13", "1"))</f>
        <v>1.13</v>
      </c>
      <c r="Z1286" s="18">
        <f t="shared" si="395"/>
        <v>770000</v>
      </c>
      <c r="AA1286" s="22">
        <v>1.08</v>
      </c>
      <c r="AB1286" s="21">
        <f t="shared" si="385"/>
        <v>735929.20353982307</v>
      </c>
      <c r="AC1286" s="25">
        <f t="shared" si="386"/>
        <v>60125.41592920354</v>
      </c>
      <c r="AD1286" s="170">
        <v>8.1699999999999995E-2</v>
      </c>
      <c r="AE1286" s="26">
        <f t="shared" si="387"/>
        <v>1</v>
      </c>
      <c r="AF1286" s="26">
        <f>IF(AND(COUNTIFS($J$18:J1286,J1286)=1,AE1286=1),1,"")</f>
        <v>1</v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96"/>
        <v>27308925.887079656</v>
      </c>
      <c r="AJ1286" s="27">
        <f t="shared" si="397"/>
        <v>3319273.860338124</v>
      </c>
      <c r="AK1286" s="28">
        <f t="shared" si="388"/>
        <v>0.12154538314919709</v>
      </c>
      <c r="AL1286" s="24"/>
      <c r="AM1286" s="24"/>
      <c r="AN1286" s="24"/>
      <c r="AO1286" s="24"/>
      <c r="AP1286" s="28" t="str">
        <f t="shared" si="389"/>
        <v>20246</v>
      </c>
      <c r="AQ1286" s="28" t="str">
        <f t="shared" si="390"/>
        <v>20246RMB</v>
      </c>
      <c r="AR1286" s="206" t="str">
        <f t="shared" si="391"/>
        <v>YAMAHA_Mounter</v>
      </c>
      <c r="AS1286" s="22">
        <f t="shared" si="392"/>
        <v>2</v>
      </c>
      <c r="AT1286" s="24" t="str">
        <f t="shared" si="393"/>
        <v>0-3 months</v>
      </c>
    </row>
    <row r="1287" spans="1:46" s="12" customFormat="1">
      <c r="A1287" s="33" t="str">
        <f t="shared" si="380"/>
        <v>FY 24/25</v>
      </c>
      <c r="B1287" s="23">
        <v>2024</v>
      </c>
      <c r="C1287" s="152">
        <v>5</v>
      </c>
      <c r="D1287" s="202" t="str">
        <f t="shared" si="381"/>
        <v>Q1</v>
      </c>
      <c r="E1287" s="33" t="s">
        <v>3173</v>
      </c>
      <c r="F1287" s="152">
        <v>2024</v>
      </c>
      <c r="G1287" s="23">
        <v>6</v>
      </c>
      <c r="H1287" s="29"/>
      <c r="I1287" s="202" t="str">
        <f t="shared" si="382"/>
        <v>Q1</v>
      </c>
      <c r="J1287" s="188" t="s">
        <v>3452</v>
      </c>
      <c r="K1287" s="29" t="s">
        <v>1693</v>
      </c>
      <c r="L1287" s="17" t="s">
        <v>2621</v>
      </c>
      <c r="M1287" s="22" t="s">
        <v>61</v>
      </c>
      <c r="N1287" s="22">
        <v>1</v>
      </c>
      <c r="O1287" s="22"/>
      <c r="P1287" s="33" t="str">
        <f t="shared" si="383"/>
        <v>MAIN UNIT</v>
      </c>
      <c r="Q1287" s="22" t="s">
        <v>62</v>
      </c>
      <c r="R1287" s="22" t="s">
        <v>2056</v>
      </c>
      <c r="S1287" s="22" t="s">
        <v>51</v>
      </c>
      <c r="T1287" s="22" t="s">
        <v>195</v>
      </c>
      <c r="U1287" s="22" t="s">
        <v>71</v>
      </c>
      <c r="V1287" s="22" t="s">
        <v>95</v>
      </c>
      <c r="W1287" s="22" t="s">
        <v>65</v>
      </c>
      <c r="X1287" s="104">
        <v>335000</v>
      </c>
      <c r="Y1287" s="195" t="str">
        <f t="shared" si="398"/>
        <v>1.13</v>
      </c>
      <c r="Z1287" s="196">
        <f t="shared" si="395"/>
        <v>335000</v>
      </c>
      <c r="AA1287" s="22">
        <v>1.08</v>
      </c>
      <c r="AB1287" s="197">
        <f t="shared" si="385"/>
        <v>320176.99115044257</v>
      </c>
      <c r="AC1287" s="198">
        <f t="shared" si="386"/>
        <v>46297.592920354</v>
      </c>
      <c r="AD1287" s="170">
        <v>0.14460000000000001</v>
      </c>
      <c r="AE1287" s="199">
        <f t="shared" si="387"/>
        <v>0</v>
      </c>
      <c r="AF1287" s="199" t="str">
        <f>IF(AND(COUNTIFS($J$18:J1287,J1287)=1,AE1287=1),1,"")</f>
        <v/>
      </c>
      <c r="AG1287" s="199">
        <f>IF(C1287="","",IF(AND(COUNTIFS($J$18:J1287,J1287)=1,C1287&lt;&gt;""),1,""))</f>
        <v>1</v>
      </c>
      <c r="AH1287" s="199">
        <f>IF(G1287="","",IF(AND(COUNTIFS($J$18:J1287,J1287)=1,G1287&lt;&gt;""),1,""))</f>
        <v>1</v>
      </c>
      <c r="AI1287" s="200">
        <f t="shared" si="396"/>
        <v>27308925.887079656</v>
      </c>
      <c r="AJ1287" s="200">
        <f t="shared" si="397"/>
        <v>3319273.860338124</v>
      </c>
      <c r="AK1287" s="201">
        <f t="shared" si="388"/>
        <v>0.12154538314919709</v>
      </c>
      <c r="AL1287" s="24"/>
      <c r="AM1287" s="24"/>
      <c r="AN1287" s="24"/>
      <c r="AO1287" s="24"/>
      <c r="AP1287" s="105" t="str">
        <f t="shared" si="389"/>
        <v>20246</v>
      </c>
      <c r="AQ1287" s="28" t="str">
        <f t="shared" si="390"/>
        <v>20246RMB</v>
      </c>
      <c r="AR1287" s="206" t="str">
        <f t="shared" si="391"/>
        <v>YAMAHA_Non_Mounter</v>
      </c>
      <c r="AS1287" s="22">
        <f t="shared" si="392"/>
        <v>1</v>
      </c>
      <c r="AT1287" s="24" t="str">
        <f t="shared" si="393"/>
        <v>0-3 months</v>
      </c>
    </row>
    <row r="1288" spans="1:46" s="12" customFormat="1">
      <c r="A1288" s="33" t="str">
        <f t="shared" si="380"/>
        <v>FY 24/25</v>
      </c>
      <c r="B1288" s="23">
        <v>2024</v>
      </c>
      <c r="C1288" s="152">
        <v>5</v>
      </c>
      <c r="D1288" s="202" t="str">
        <f t="shared" si="381"/>
        <v>Q1</v>
      </c>
      <c r="E1288" s="33" t="s">
        <v>3173</v>
      </c>
      <c r="F1288" s="152">
        <v>2024</v>
      </c>
      <c r="G1288" s="23">
        <v>6</v>
      </c>
      <c r="H1288" s="29"/>
      <c r="I1288" s="202" t="str">
        <f t="shared" si="382"/>
        <v>Q1</v>
      </c>
      <c r="J1288" s="188" t="s">
        <v>3452</v>
      </c>
      <c r="K1288" s="29" t="s">
        <v>1693</v>
      </c>
      <c r="L1288" s="17" t="s">
        <v>2621</v>
      </c>
      <c r="M1288" s="22" t="s">
        <v>61</v>
      </c>
      <c r="N1288" s="22">
        <v>1</v>
      </c>
      <c r="O1288" s="22"/>
      <c r="P1288" s="33" t="str">
        <f t="shared" si="383"/>
        <v>MAIN UNIT</v>
      </c>
      <c r="Q1288" s="22" t="s">
        <v>62</v>
      </c>
      <c r="R1288" s="22" t="s">
        <v>2056</v>
      </c>
      <c r="S1288" s="22" t="s">
        <v>51</v>
      </c>
      <c r="T1288" s="22" t="s">
        <v>195</v>
      </c>
      <c r="U1288" s="22" t="s">
        <v>71</v>
      </c>
      <c r="V1288" s="22" t="s">
        <v>95</v>
      </c>
      <c r="W1288" s="22" t="s">
        <v>65</v>
      </c>
      <c r="X1288" s="104">
        <v>335000</v>
      </c>
      <c r="Y1288" s="195" t="str">
        <f t="shared" si="398"/>
        <v>1.13</v>
      </c>
      <c r="Z1288" s="196">
        <f t="shared" si="395"/>
        <v>335000</v>
      </c>
      <c r="AA1288" s="22">
        <v>1.08</v>
      </c>
      <c r="AB1288" s="197">
        <f t="shared" si="385"/>
        <v>320176.99115044257</v>
      </c>
      <c r="AC1288" s="198">
        <f t="shared" si="386"/>
        <v>46297.592920354</v>
      </c>
      <c r="AD1288" s="170">
        <v>0.14460000000000001</v>
      </c>
      <c r="AE1288" s="199">
        <f t="shared" si="387"/>
        <v>0</v>
      </c>
      <c r="AF1288" s="199" t="str">
        <f>IF(AND(COUNTIFS($J$18:J1288,J1288)=1,AE1288=1),1,"")</f>
        <v/>
      </c>
      <c r="AG1288" s="199" t="str">
        <f>IF(C1288="","",IF(AND(COUNTIFS($J$18:J1288,J1288)=1,C1288&lt;&gt;""),1,""))</f>
        <v/>
      </c>
      <c r="AH1288" s="199" t="str">
        <f>IF(G1288="","",IF(AND(COUNTIFS($J$18:J1288,J1288)=1,G1288&lt;&gt;""),1,""))</f>
        <v/>
      </c>
      <c r="AI1288" s="200">
        <f t="shared" si="396"/>
        <v>27308925.887079656</v>
      </c>
      <c r="AJ1288" s="200">
        <f t="shared" si="397"/>
        <v>3319273.860338124</v>
      </c>
      <c r="AK1288" s="201">
        <f t="shared" si="388"/>
        <v>0.12154538314919709</v>
      </c>
      <c r="AL1288" s="24"/>
      <c r="AM1288" s="24"/>
      <c r="AN1288" s="24"/>
      <c r="AO1288" s="24"/>
      <c r="AP1288" s="105" t="str">
        <f t="shared" si="389"/>
        <v>20246</v>
      </c>
      <c r="AQ1288" s="28" t="str">
        <f t="shared" si="390"/>
        <v>20246RMB</v>
      </c>
      <c r="AR1288" s="206" t="str">
        <f t="shared" si="391"/>
        <v>YAMAHA_Non_Mounter</v>
      </c>
      <c r="AS1288" s="22">
        <f t="shared" si="392"/>
        <v>1</v>
      </c>
      <c r="AT1288" s="24" t="str">
        <f t="shared" si="393"/>
        <v>0-3 months</v>
      </c>
    </row>
    <row r="1289" spans="1:46" s="12" customFormat="1">
      <c r="A1289" s="33" t="str">
        <f t="shared" si="380"/>
        <v>FY 24/25</v>
      </c>
      <c r="B1289" s="23">
        <v>2024</v>
      </c>
      <c r="C1289" s="152">
        <v>5</v>
      </c>
      <c r="D1289" s="202" t="str">
        <f t="shared" si="381"/>
        <v>Q1</v>
      </c>
      <c r="E1289" s="33" t="s">
        <v>3173</v>
      </c>
      <c r="F1289" s="152">
        <v>2024</v>
      </c>
      <c r="G1289" s="23">
        <v>6</v>
      </c>
      <c r="H1289" s="29"/>
      <c r="I1289" s="202" t="str">
        <f t="shared" si="382"/>
        <v>Q1</v>
      </c>
      <c r="J1289" s="188" t="s">
        <v>3460</v>
      </c>
      <c r="K1289" s="29" t="s">
        <v>1215</v>
      </c>
      <c r="L1289" s="17" t="s">
        <v>3352</v>
      </c>
      <c r="M1289" s="22" t="s">
        <v>61</v>
      </c>
      <c r="N1289" s="22">
        <v>1</v>
      </c>
      <c r="O1289" s="22"/>
      <c r="P1289" s="33" t="str">
        <f t="shared" si="383"/>
        <v>MAIN UNIT</v>
      </c>
      <c r="Q1289" s="22" t="s">
        <v>62</v>
      </c>
      <c r="R1289" s="22" t="s">
        <v>2056</v>
      </c>
      <c r="S1289" s="22" t="s">
        <v>50</v>
      </c>
      <c r="T1289" s="22" t="s">
        <v>79</v>
      </c>
      <c r="U1289" s="22" t="s">
        <v>79</v>
      </c>
      <c r="V1289" s="22" t="s">
        <v>2058</v>
      </c>
      <c r="W1289" s="22" t="s">
        <v>65</v>
      </c>
      <c r="X1289" s="104">
        <v>211988</v>
      </c>
      <c r="Y1289" s="195" t="str">
        <f t="shared" si="398"/>
        <v>1.13</v>
      </c>
      <c r="Z1289" s="196">
        <f t="shared" si="395"/>
        <v>211988</v>
      </c>
      <c r="AA1289" s="22">
        <v>1.08</v>
      </c>
      <c r="AB1289" s="197">
        <f t="shared" si="385"/>
        <v>202608.00000000006</v>
      </c>
      <c r="AC1289" s="198">
        <f t="shared" si="386"/>
        <v>40136.644800000009</v>
      </c>
      <c r="AD1289" s="170">
        <v>0.1981</v>
      </c>
      <c r="AE1289" s="199">
        <f t="shared" si="387"/>
        <v>0</v>
      </c>
      <c r="AF1289" s="199" t="str">
        <f>IF(AND(COUNTIFS($J$18:J1289,J1289)=1,AE1289=1),1,"")</f>
        <v/>
      </c>
      <c r="AG1289" s="199">
        <f>IF(C1289="","",IF(AND(COUNTIFS($J$18:J1289,J1289)=1,C1289&lt;&gt;""),1,""))</f>
        <v>1</v>
      </c>
      <c r="AH1289" s="199">
        <f>IF(G1289="","",IF(AND(COUNTIFS($J$18:J1289,J1289)=1,G1289&lt;&gt;""),1,""))</f>
        <v>1</v>
      </c>
      <c r="AI1289" s="200">
        <f t="shared" si="396"/>
        <v>27308925.887079656</v>
      </c>
      <c r="AJ1289" s="200">
        <f t="shared" si="397"/>
        <v>3319273.860338124</v>
      </c>
      <c r="AK1289" s="201">
        <f t="shared" si="388"/>
        <v>0.12154538314919709</v>
      </c>
      <c r="AL1289" s="24"/>
      <c r="AM1289" s="24"/>
      <c r="AN1289" s="24"/>
      <c r="AO1289" s="24"/>
      <c r="AP1289" s="105" t="str">
        <f t="shared" si="389"/>
        <v>20246</v>
      </c>
      <c r="AQ1289" s="28" t="str">
        <f t="shared" si="390"/>
        <v>20246RMB</v>
      </c>
      <c r="AR1289" s="206" t="str">
        <f t="shared" si="391"/>
        <v>YAMAHA_Non_Mounter</v>
      </c>
      <c r="AS1289" s="22">
        <f t="shared" si="392"/>
        <v>1</v>
      </c>
      <c r="AT1289" s="24" t="str">
        <f t="shared" si="393"/>
        <v>0-3 months</v>
      </c>
    </row>
    <row r="1290" spans="1:46" s="12" customFormat="1">
      <c r="A1290" s="33" t="str">
        <f t="shared" si="380"/>
        <v>FY 24/25</v>
      </c>
      <c r="B1290" s="23">
        <v>2024</v>
      </c>
      <c r="C1290" s="152">
        <v>5</v>
      </c>
      <c r="D1290" s="202" t="str">
        <f t="shared" si="381"/>
        <v>Q1</v>
      </c>
      <c r="E1290" s="33" t="s">
        <v>3173</v>
      </c>
      <c r="F1290" s="23">
        <v>2024</v>
      </c>
      <c r="G1290" s="23">
        <v>6</v>
      </c>
      <c r="H1290" s="29"/>
      <c r="I1290" s="202" t="str">
        <f t="shared" si="382"/>
        <v>Q1</v>
      </c>
      <c r="J1290" s="188" t="s">
        <v>3461</v>
      </c>
      <c r="K1290" s="29" t="s">
        <v>1215</v>
      </c>
      <c r="L1290" s="17" t="s">
        <v>93</v>
      </c>
      <c r="M1290" s="22" t="s">
        <v>61</v>
      </c>
      <c r="N1290" s="22">
        <v>1</v>
      </c>
      <c r="O1290" s="22"/>
      <c r="P1290" s="33" t="str">
        <f t="shared" si="383"/>
        <v>MAIN UNIT</v>
      </c>
      <c r="Q1290" s="22" t="s">
        <v>62</v>
      </c>
      <c r="R1290" s="22" t="s">
        <v>63</v>
      </c>
      <c r="S1290" s="22" t="s">
        <v>50</v>
      </c>
      <c r="T1290" s="22" t="s">
        <v>79</v>
      </c>
      <c r="U1290" s="22" t="s">
        <v>79</v>
      </c>
      <c r="V1290" s="22" t="s">
        <v>127</v>
      </c>
      <c r="W1290" s="22" t="s">
        <v>65</v>
      </c>
      <c r="X1290" s="104">
        <v>897999.7</v>
      </c>
      <c r="Y1290" s="195" t="str">
        <f t="shared" si="398"/>
        <v>1.13</v>
      </c>
      <c r="Z1290" s="196">
        <f t="shared" si="395"/>
        <v>897999.7</v>
      </c>
      <c r="AA1290" s="22">
        <v>1.08</v>
      </c>
      <c r="AB1290" s="197">
        <f t="shared" si="385"/>
        <v>858265.20000000007</v>
      </c>
      <c r="AC1290" s="198">
        <f t="shared" si="386"/>
        <v>170279.81568</v>
      </c>
      <c r="AD1290" s="169">
        <v>0.19839999999999999</v>
      </c>
      <c r="AE1290" s="199">
        <f t="shared" si="387"/>
        <v>0</v>
      </c>
      <c r="AF1290" s="199" t="str">
        <f>IF(AND(COUNTIFS($J$18:J1290,J1290)=1,AE1290=1),1,"")</f>
        <v/>
      </c>
      <c r="AG1290" s="199">
        <f>IF(C1290="","",IF(AND(COUNTIFS($J$18:J1290,J1290)=1,C1290&lt;&gt;""),1,""))</f>
        <v>1</v>
      </c>
      <c r="AH1290" s="199">
        <f>IF(G1290="","",IF(AND(COUNTIFS($J$18:J1290,J1290)=1,G1290&lt;&gt;""),1,""))</f>
        <v>1</v>
      </c>
      <c r="AI1290" s="200">
        <f t="shared" si="396"/>
        <v>27308925.887079656</v>
      </c>
      <c r="AJ1290" s="200">
        <f t="shared" si="397"/>
        <v>3319273.860338124</v>
      </c>
      <c r="AK1290" s="201">
        <f t="shared" si="388"/>
        <v>0.12154538314919709</v>
      </c>
      <c r="AL1290" s="24"/>
      <c r="AM1290" s="24"/>
      <c r="AN1290" s="24"/>
      <c r="AO1290" s="24"/>
      <c r="AP1290" s="105" t="str">
        <f t="shared" si="389"/>
        <v>20246</v>
      </c>
      <c r="AQ1290" s="28" t="str">
        <f t="shared" si="390"/>
        <v>20246RMB</v>
      </c>
      <c r="AR1290" s="206" t="str">
        <f t="shared" si="391"/>
        <v>YAMAHA_Mounter</v>
      </c>
      <c r="AS1290" s="22">
        <f t="shared" si="392"/>
        <v>1</v>
      </c>
      <c r="AT1290" s="24" t="str">
        <f t="shared" si="393"/>
        <v>0-3 months</v>
      </c>
    </row>
    <row r="1291" spans="1:46" s="12" customFormat="1">
      <c r="A1291" s="33" t="str">
        <f t="shared" si="380"/>
        <v>FY 24/25</v>
      </c>
      <c r="B1291" s="23">
        <v>2024</v>
      </c>
      <c r="C1291" s="152">
        <v>5</v>
      </c>
      <c r="D1291" s="202" t="str">
        <f t="shared" si="381"/>
        <v>Q1</v>
      </c>
      <c r="E1291" s="33" t="s">
        <v>3173</v>
      </c>
      <c r="F1291" s="23">
        <v>2024</v>
      </c>
      <c r="G1291" s="23">
        <v>6</v>
      </c>
      <c r="H1291" s="29"/>
      <c r="I1291" s="202" t="str">
        <f t="shared" si="382"/>
        <v>Q1</v>
      </c>
      <c r="J1291" s="188" t="s">
        <v>3461</v>
      </c>
      <c r="K1291" s="29" t="s">
        <v>1215</v>
      </c>
      <c r="L1291" s="17" t="s">
        <v>93</v>
      </c>
      <c r="M1291" s="22" t="s">
        <v>61</v>
      </c>
      <c r="N1291" s="22">
        <v>1</v>
      </c>
      <c r="O1291" s="22"/>
      <c r="P1291" s="33" t="str">
        <f t="shared" si="383"/>
        <v>MAIN UNIT</v>
      </c>
      <c r="Q1291" s="22" t="s">
        <v>62</v>
      </c>
      <c r="R1291" s="22" t="s">
        <v>63</v>
      </c>
      <c r="S1291" s="22" t="s">
        <v>50</v>
      </c>
      <c r="T1291" s="22" t="s">
        <v>79</v>
      </c>
      <c r="U1291" s="22" t="s">
        <v>79</v>
      </c>
      <c r="V1291" s="22" t="s">
        <v>127</v>
      </c>
      <c r="W1291" s="22" t="s">
        <v>65</v>
      </c>
      <c r="X1291" s="104">
        <v>897999.7</v>
      </c>
      <c r="Y1291" s="195" t="str">
        <f t="shared" si="398"/>
        <v>1.13</v>
      </c>
      <c r="Z1291" s="196">
        <f t="shared" si="395"/>
        <v>897999.7</v>
      </c>
      <c r="AA1291" s="22">
        <v>1.08</v>
      </c>
      <c r="AB1291" s="197">
        <f t="shared" si="385"/>
        <v>858265.20000000007</v>
      </c>
      <c r="AC1291" s="198">
        <f t="shared" si="386"/>
        <v>170279.81568</v>
      </c>
      <c r="AD1291" s="169">
        <v>0.19839999999999999</v>
      </c>
      <c r="AE1291" s="199">
        <f t="shared" si="387"/>
        <v>0</v>
      </c>
      <c r="AF1291" s="199" t="str">
        <f>IF(AND(COUNTIFS($J$18:J1291,J1291)=1,AE1291=1),1,"")</f>
        <v/>
      </c>
      <c r="AG1291" s="199" t="str">
        <f>IF(C1291="","",IF(AND(COUNTIFS($J$18:J1291,J1291)=1,C1291&lt;&gt;""),1,""))</f>
        <v/>
      </c>
      <c r="AH1291" s="199" t="str">
        <f>IF(G1291="","",IF(AND(COUNTIFS($J$18:J1291,J1291)=1,G1291&lt;&gt;""),1,""))</f>
        <v/>
      </c>
      <c r="AI1291" s="200">
        <f t="shared" si="396"/>
        <v>27308925.887079656</v>
      </c>
      <c r="AJ1291" s="200">
        <f t="shared" si="397"/>
        <v>3319273.860338124</v>
      </c>
      <c r="AK1291" s="201">
        <f t="shared" si="388"/>
        <v>0.12154538314919709</v>
      </c>
      <c r="AL1291" s="24"/>
      <c r="AM1291" s="24"/>
      <c r="AN1291" s="24"/>
      <c r="AO1291" s="24"/>
      <c r="AP1291" s="105" t="str">
        <f t="shared" si="389"/>
        <v>20246</v>
      </c>
      <c r="AQ1291" s="28" t="str">
        <f t="shared" si="390"/>
        <v>20246RMB</v>
      </c>
      <c r="AR1291" s="206" t="str">
        <f t="shared" si="391"/>
        <v>YAMAHA_Mounter</v>
      </c>
      <c r="AS1291" s="22">
        <f t="shared" si="392"/>
        <v>1</v>
      </c>
      <c r="AT1291" s="24" t="str">
        <f t="shared" si="393"/>
        <v>0-3 months</v>
      </c>
    </row>
    <row r="1292" spans="1:46" s="12" customFormat="1">
      <c r="A1292" s="33" t="str">
        <f t="shared" si="380"/>
        <v>cancel</v>
      </c>
      <c r="B1292" s="152"/>
      <c r="C1292" s="152" t="s">
        <v>186</v>
      </c>
      <c r="D1292" s="33" t="str">
        <f t="shared" si="381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2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3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395"/>
        <v>1360000</v>
      </c>
      <c r="AA1292" s="13">
        <v>1.1100000000000001</v>
      </c>
      <c r="AB1292" s="21">
        <f t="shared" si="385"/>
        <v>1335929.2035398234</v>
      </c>
      <c r="AC1292" s="130">
        <f t="shared" si="386"/>
        <v>160311.5044247788</v>
      </c>
      <c r="AD1292" s="169">
        <v>0.12</v>
      </c>
      <c r="AE1292" s="154">
        <f t="shared" si="387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6"/>
        <v>477651199.57437885</v>
      </c>
      <c r="AJ1292" s="19">
        <f t="shared" si="397"/>
        <v>56918800.518691957</v>
      </c>
      <c r="AK1292" s="20">
        <f t="shared" si="388"/>
        <v>0.11916394341605475</v>
      </c>
      <c r="AL1292" s="17"/>
      <c r="AM1292" s="17"/>
      <c r="AN1292" s="17"/>
      <c r="AO1292" s="17"/>
      <c r="AP1292" s="28" t="str">
        <f t="shared" si="389"/>
        <v>CancelCancel</v>
      </c>
      <c r="AQ1292" s="28" t="str">
        <f t="shared" si="390"/>
        <v>CancelCancelRMB</v>
      </c>
      <c r="AR1292" s="206" t="str">
        <f t="shared" si="391"/>
        <v>YAMAHA_Mounter</v>
      </c>
      <c r="AS1292" s="22" t="str">
        <f t="shared" si="392"/>
        <v/>
      </c>
      <c r="AT1292" s="24" t="str">
        <f t="shared" si="393"/>
        <v/>
      </c>
    </row>
    <row r="1293" spans="1:46" s="12" customFormat="1">
      <c r="A1293" s="33" t="str">
        <f t="shared" si="380"/>
        <v>FY 23/24</v>
      </c>
      <c r="B1293" s="23">
        <v>2024</v>
      </c>
      <c r="C1293" s="152">
        <v>1</v>
      </c>
      <c r="D1293" s="33" t="str">
        <f t="shared" si="381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2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3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395"/>
        <v>100000</v>
      </c>
      <c r="AA1293" s="22">
        <v>7.8</v>
      </c>
      <c r="AB1293" s="21">
        <f t="shared" si="385"/>
        <v>780000</v>
      </c>
      <c r="AC1293" s="25">
        <f t="shared" si="386"/>
        <v>98982.000000000015</v>
      </c>
      <c r="AD1293" s="173">
        <v>0.12690000000000001</v>
      </c>
      <c r="AE1293" s="26">
        <f t="shared" si="387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6"/>
        <v>21194662.454867262</v>
      </c>
      <c r="AJ1293" s="27">
        <f t="shared" si="397"/>
        <v>2981431.5970757701</v>
      </c>
      <c r="AK1293" s="28">
        <f t="shared" si="388"/>
        <v>0.14066898226968919</v>
      </c>
      <c r="AL1293" s="24"/>
      <c r="AM1293" s="24"/>
      <c r="AN1293" s="24"/>
      <c r="AO1293" s="24"/>
      <c r="AP1293" s="28" t="str">
        <f t="shared" si="389"/>
        <v>20243</v>
      </c>
      <c r="AQ1293" s="28" t="str">
        <f t="shared" si="390"/>
        <v>20243USD</v>
      </c>
      <c r="AR1293" s="206" t="str">
        <f t="shared" si="391"/>
        <v>YAMAHA_Mounter</v>
      </c>
      <c r="AS1293" s="22">
        <f t="shared" si="392"/>
        <v>2</v>
      </c>
      <c r="AT1293" s="24" t="str">
        <f t="shared" si="393"/>
        <v>0-3 months</v>
      </c>
    </row>
    <row r="1294" spans="1:46" s="12" customFormat="1">
      <c r="A1294" s="33" t="str">
        <f t="shared" si="380"/>
        <v>FY 23/24</v>
      </c>
      <c r="B1294" s="23">
        <v>2024</v>
      </c>
      <c r="C1294" s="152">
        <v>1</v>
      </c>
      <c r="D1294" s="33" t="str">
        <f t="shared" si="381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2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3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395"/>
        <v>88000</v>
      </c>
      <c r="AA1294" s="22">
        <v>7.8</v>
      </c>
      <c r="AB1294" s="21">
        <f t="shared" si="385"/>
        <v>686400</v>
      </c>
      <c r="AC1294" s="25">
        <f t="shared" si="386"/>
        <v>87104.16</v>
      </c>
      <c r="AD1294" s="162">
        <v>0.12690000000000001</v>
      </c>
      <c r="AE1294" s="26">
        <f t="shared" si="387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6"/>
        <v>21194662.454867262</v>
      </c>
      <c r="AJ1294" s="27">
        <f t="shared" si="397"/>
        <v>2981431.5970757701</v>
      </c>
      <c r="AK1294" s="28">
        <f t="shared" si="388"/>
        <v>0.14066898226968919</v>
      </c>
      <c r="AL1294" s="24"/>
      <c r="AM1294" s="24"/>
      <c r="AN1294" s="24"/>
      <c r="AO1294" s="24"/>
      <c r="AP1294" s="28" t="str">
        <f t="shared" si="389"/>
        <v>20243</v>
      </c>
      <c r="AQ1294" s="28" t="str">
        <f t="shared" si="390"/>
        <v>20243USD</v>
      </c>
      <c r="AR1294" s="206" t="str">
        <f t="shared" si="391"/>
        <v>YAMAHA_Mounter</v>
      </c>
      <c r="AS1294" s="22">
        <f t="shared" si="392"/>
        <v>2</v>
      </c>
      <c r="AT1294" s="24" t="str">
        <f t="shared" si="393"/>
        <v>0-3 months</v>
      </c>
    </row>
    <row r="1295" spans="1:46" s="12" customFormat="1">
      <c r="A1295" s="33" t="str">
        <f t="shared" si="380"/>
        <v>FY 23/24</v>
      </c>
      <c r="B1295" s="23">
        <v>2024</v>
      </c>
      <c r="C1295" s="23">
        <v>2</v>
      </c>
      <c r="D1295" s="33" t="str">
        <f t="shared" si="381"/>
        <v>Q4</v>
      </c>
      <c r="E1295" s="33" t="str">
        <f>IF(G1295="Cancel","Cancel",IF(G1295="TBA","TBA",IFERROR(IF(I1295="Q4","FY "&amp;RIGHT(F1295,2)-1&amp;"/"&amp;RIGHT(F1295,2),"FY "&amp;RIGHT(F1295,2)&amp;"/"&amp;RIGHT(F1295,2)+1),"")))</f>
        <v>FY 24/25</v>
      </c>
      <c r="F1295" s="152">
        <v>2024</v>
      </c>
      <c r="G1295" s="152">
        <v>7</v>
      </c>
      <c r="H1295" s="29"/>
      <c r="I1295" s="33" t="str">
        <f t="shared" si="382"/>
        <v>Q2</v>
      </c>
      <c r="J1295" s="188" t="s">
        <v>3170</v>
      </c>
      <c r="K1295" s="29" t="s">
        <v>1420</v>
      </c>
      <c r="L1295" s="17" t="s">
        <v>93</v>
      </c>
      <c r="M1295" s="22" t="s">
        <v>61</v>
      </c>
      <c r="N1295" s="22">
        <v>1</v>
      </c>
      <c r="O1295" s="22"/>
      <c r="P1295" s="33" t="str">
        <f t="shared" si="383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79</v>
      </c>
      <c r="V1295" s="22" t="s">
        <v>81</v>
      </c>
      <c r="W1295" s="22" t="s">
        <v>65</v>
      </c>
      <c r="X1295" s="30">
        <v>635000</v>
      </c>
      <c r="Y1295" s="31" t="str">
        <f>IF(W1295="","",IF(W1295="RMB","1.13", "1"))</f>
        <v>1.13</v>
      </c>
      <c r="Z1295" s="18">
        <f t="shared" si="395"/>
        <v>635000</v>
      </c>
      <c r="AA1295" s="22">
        <v>1.075</v>
      </c>
      <c r="AB1295" s="21">
        <f t="shared" si="385"/>
        <v>604092.92035398225</v>
      </c>
      <c r="AC1295" s="25">
        <f t="shared" si="386"/>
        <v>69349.867256637168</v>
      </c>
      <c r="AD1295" s="169">
        <v>0.1148</v>
      </c>
      <c r="AE1295" s="26">
        <f t="shared" si="387"/>
        <v>0</v>
      </c>
      <c r="AF1295" s="26" t="str">
        <f>IF(AND(COUNTIFS($J$18:J1295,J1295)=1,AE1295=1),1,"")</f>
        <v/>
      </c>
      <c r="AG1295" s="26">
        <f>IF(C1295="","",IF(AND(COUNTIFS($J$18:J1295,J1295)=1,C1295&lt;&gt;""),1,""))</f>
        <v>1</v>
      </c>
      <c r="AH1295" s="26">
        <f>IF(G1295="","",IF(AND(COUNTIFS($J$18:J1295,J1295)=1,G1295&lt;&gt;""),1,""))</f>
        <v>1</v>
      </c>
      <c r="AI1295" s="27">
        <f t="shared" si="396"/>
        <v>25458266.694690265</v>
      </c>
      <c r="AJ1295" s="27">
        <f t="shared" si="397"/>
        <v>4116526.778578762</v>
      </c>
      <c r="AK1295" s="28">
        <f t="shared" si="388"/>
        <v>0.16169705612508689</v>
      </c>
      <c r="AL1295" s="24"/>
      <c r="AM1295" s="24"/>
      <c r="AN1295" s="24"/>
      <c r="AO1295" s="24"/>
      <c r="AP1295" s="28" t="str">
        <f t="shared" si="389"/>
        <v>20247</v>
      </c>
      <c r="AQ1295" s="28" t="str">
        <f t="shared" si="390"/>
        <v>20247RMB</v>
      </c>
      <c r="AR1295" s="206" t="str">
        <f t="shared" si="391"/>
        <v>YAMAHA_Mounter</v>
      </c>
      <c r="AS1295" s="22">
        <f t="shared" si="392"/>
        <v>5</v>
      </c>
      <c r="AT1295" s="24" t="str">
        <f t="shared" si="393"/>
        <v>4-6 months</v>
      </c>
    </row>
    <row r="1296" spans="1:46" s="12" customFormat="1">
      <c r="A1296" s="33" t="str">
        <f t="shared" si="380"/>
        <v>FY 22/23</v>
      </c>
      <c r="B1296" s="152">
        <v>2022</v>
      </c>
      <c r="C1296" s="152">
        <v>10</v>
      </c>
      <c r="D1296" s="33" t="str">
        <f t="shared" si="381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2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3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395"/>
        <v>1050000</v>
      </c>
      <c r="AA1296" s="22">
        <v>1.083</v>
      </c>
      <c r="AB1296" s="21">
        <f t="shared" si="385"/>
        <v>1006327.4336283186</v>
      </c>
      <c r="AC1296" s="130">
        <f t="shared" si="386"/>
        <v>120759.29203539823</v>
      </c>
      <c r="AD1296" s="169">
        <v>0.12</v>
      </c>
      <c r="AE1296" s="154">
        <f t="shared" si="387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6"/>
        <v>477651199.57437885</v>
      </c>
      <c r="AJ1296" s="19">
        <f t="shared" si="397"/>
        <v>56918800.518691957</v>
      </c>
      <c r="AK1296" s="20">
        <f t="shared" si="388"/>
        <v>0.11916394341605475</v>
      </c>
      <c r="AL1296" s="17"/>
      <c r="AM1296" s="17"/>
      <c r="AN1296" s="17"/>
      <c r="AO1296" s="17"/>
      <c r="AP1296" s="28" t="str">
        <f t="shared" si="389"/>
        <v>CancelCancel</v>
      </c>
      <c r="AQ1296" s="28" t="str">
        <f t="shared" si="390"/>
        <v>CancelCancelRMB</v>
      </c>
      <c r="AR1296" s="206" t="str">
        <f t="shared" si="391"/>
        <v>YAMAHA_Mounter</v>
      </c>
      <c r="AS1296" s="22" t="str">
        <f t="shared" si="392"/>
        <v/>
      </c>
      <c r="AT1296" s="24" t="str">
        <f t="shared" si="393"/>
        <v/>
      </c>
    </row>
    <row r="1297" spans="1:46" s="12" customFormat="1">
      <c r="A1297" s="33" t="str">
        <f t="shared" si="380"/>
        <v>FY 23/24</v>
      </c>
      <c r="B1297" s="152">
        <v>2023</v>
      </c>
      <c r="C1297" s="152">
        <v>4</v>
      </c>
      <c r="D1297" s="33" t="str">
        <f t="shared" si="381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2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3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395"/>
        <v>800000</v>
      </c>
      <c r="AA1297" s="13">
        <v>1.135</v>
      </c>
      <c r="AB1297" s="21">
        <f t="shared" si="385"/>
        <v>803539.82300884963</v>
      </c>
      <c r="AC1297" s="130">
        <f t="shared" si="386"/>
        <v>79148.672566371693</v>
      </c>
      <c r="AD1297" s="169">
        <v>9.8500000000000004E-2</v>
      </c>
      <c r="AE1297" s="154">
        <f t="shared" si="387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6"/>
        <v>28177779.013274338</v>
      </c>
      <c r="AJ1297" s="19">
        <f t="shared" si="397"/>
        <v>4727216.6376190251</v>
      </c>
      <c r="AK1297" s="20">
        <f t="shared" si="388"/>
        <v>0.1677639900359808</v>
      </c>
      <c r="AL1297" s="17"/>
      <c r="AM1297" s="17"/>
      <c r="AN1297" s="17"/>
      <c r="AO1297" s="17"/>
      <c r="AP1297" s="28" t="str">
        <f t="shared" si="389"/>
        <v>20235</v>
      </c>
      <c r="AQ1297" s="28" t="str">
        <f t="shared" si="390"/>
        <v>20235RMB</v>
      </c>
      <c r="AR1297" s="206" t="str">
        <f t="shared" si="391"/>
        <v>YAMAHA_Mounter</v>
      </c>
      <c r="AS1297" s="22">
        <f t="shared" si="392"/>
        <v>1</v>
      </c>
      <c r="AT1297" s="24" t="str">
        <f t="shared" si="393"/>
        <v>0-3 months</v>
      </c>
    </row>
    <row r="1298" spans="1:46" s="12" customFormat="1">
      <c r="A1298" s="33" t="str">
        <f t="shared" si="380"/>
        <v>FY 23/24</v>
      </c>
      <c r="B1298" s="152">
        <v>2023</v>
      </c>
      <c r="C1298" s="152">
        <v>4</v>
      </c>
      <c r="D1298" s="33" t="str">
        <f t="shared" si="381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2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3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395"/>
        <v>1120000</v>
      </c>
      <c r="AA1298" s="13">
        <v>1.135</v>
      </c>
      <c r="AB1298" s="21">
        <f t="shared" si="385"/>
        <v>1124955.7522123896</v>
      </c>
      <c r="AC1298" s="130">
        <f t="shared" si="386"/>
        <v>171780.74336283188</v>
      </c>
      <c r="AD1298" s="169">
        <v>0.1527</v>
      </c>
      <c r="AE1298" s="154">
        <f t="shared" si="387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6"/>
        <v>28177779.013274338</v>
      </c>
      <c r="AJ1298" s="19">
        <f t="shared" si="397"/>
        <v>4727216.6376190251</v>
      </c>
      <c r="AK1298" s="20">
        <f t="shared" si="388"/>
        <v>0.1677639900359808</v>
      </c>
      <c r="AL1298" s="17"/>
      <c r="AM1298" s="17"/>
      <c r="AN1298" s="17"/>
      <c r="AO1298" s="17"/>
      <c r="AP1298" s="28" t="str">
        <f t="shared" si="389"/>
        <v>20235</v>
      </c>
      <c r="AQ1298" s="28" t="str">
        <f t="shared" si="390"/>
        <v>20235RMB</v>
      </c>
      <c r="AR1298" s="206" t="str">
        <f t="shared" si="391"/>
        <v>YAMAHA_Mounter</v>
      </c>
      <c r="AS1298" s="22">
        <f t="shared" si="392"/>
        <v>1</v>
      </c>
      <c r="AT1298" s="24" t="str">
        <f t="shared" si="393"/>
        <v>0-3 months</v>
      </c>
    </row>
    <row r="1299" spans="1:46" s="12" customFormat="1">
      <c r="A1299" s="33" t="str">
        <f t="shared" si="380"/>
        <v>FY 18/19</v>
      </c>
      <c r="B1299" s="152">
        <v>2018</v>
      </c>
      <c r="C1299" s="152">
        <v>6</v>
      </c>
      <c r="D1299" s="33" t="str">
        <f t="shared" si="381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2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3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395"/>
        <v>9116260</v>
      </c>
      <c r="AA1299" s="13">
        <v>7.22E-2</v>
      </c>
      <c r="AB1299" s="21">
        <f t="shared" si="385"/>
        <v>658193.97199999995</v>
      </c>
      <c r="AC1299" s="130">
        <f t="shared" si="386"/>
        <v>109457.6575436</v>
      </c>
      <c r="AD1299" s="169">
        <v>0.1663</v>
      </c>
      <c r="AE1299" s="154">
        <f t="shared" si="387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6"/>
        <v>29946107.503386207</v>
      </c>
      <c r="AJ1299" s="19">
        <f t="shared" si="397"/>
        <v>3987206.4954923098</v>
      </c>
      <c r="AK1299" s="20">
        <f t="shared" si="388"/>
        <v>0.13314606898547499</v>
      </c>
      <c r="AL1299" s="17"/>
      <c r="AM1299" s="17"/>
      <c r="AN1299" s="17"/>
      <c r="AO1299" s="17"/>
      <c r="AP1299" s="28" t="str">
        <f t="shared" si="389"/>
        <v>20187</v>
      </c>
      <c r="AQ1299" s="28" t="str">
        <f t="shared" si="390"/>
        <v>20187JPY</v>
      </c>
      <c r="AR1299" s="206" t="str">
        <f t="shared" si="391"/>
        <v>YAMAHA_Mounter</v>
      </c>
      <c r="AS1299" s="22">
        <f t="shared" si="392"/>
        <v>1</v>
      </c>
      <c r="AT1299" s="24" t="str">
        <f t="shared" si="393"/>
        <v>0-3 months</v>
      </c>
    </row>
    <row r="1300" spans="1:46" s="12" customFormat="1">
      <c r="A1300" s="33" t="str">
        <f t="shared" si="380"/>
        <v>FY 19/20</v>
      </c>
      <c r="B1300" s="152">
        <v>2019</v>
      </c>
      <c r="C1300" s="152">
        <v>6</v>
      </c>
      <c r="D1300" s="33" t="str">
        <f t="shared" si="381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2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3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395"/>
        <v>1000000</v>
      </c>
      <c r="AA1300" s="13">
        <v>1.135</v>
      </c>
      <c r="AB1300" s="21">
        <f t="shared" si="385"/>
        <v>1004424.7787610621</v>
      </c>
      <c r="AC1300" s="130">
        <f t="shared" si="386"/>
        <v>164524.77876106196</v>
      </c>
      <c r="AD1300" s="169">
        <v>0.1638</v>
      </c>
      <c r="AE1300" s="154">
        <f t="shared" si="387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6"/>
        <v>34015877.71150443</v>
      </c>
      <c r="AJ1300" s="19">
        <f t="shared" si="397"/>
        <v>4446292.375441948</v>
      </c>
      <c r="AK1300" s="20">
        <f t="shared" si="388"/>
        <v>0.13071226364205143</v>
      </c>
      <c r="AL1300" s="17"/>
      <c r="AM1300" s="17"/>
      <c r="AN1300" s="17"/>
      <c r="AO1300" s="17"/>
      <c r="AP1300" s="28" t="str">
        <f t="shared" si="389"/>
        <v>20197</v>
      </c>
      <c r="AQ1300" s="28" t="str">
        <f t="shared" si="390"/>
        <v>20197RMB</v>
      </c>
      <c r="AR1300" s="206" t="str">
        <f t="shared" si="391"/>
        <v>YAMAHA_Mounter</v>
      </c>
      <c r="AS1300" s="22">
        <f t="shared" si="392"/>
        <v>1</v>
      </c>
      <c r="AT1300" s="24" t="str">
        <f t="shared" si="393"/>
        <v>0-3 months</v>
      </c>
    </row>
    <row r="1301" spans="1:46" s="12" customFormat="1">
      <c r="A1301" s="33" t="str">
        <f t="shared" si="380"/>
        <v>FY 19/20</v>
      </c>
      <c r="B1301" s="152">
        <v>2019</v>
      </c>
      <c r="C1301" s="152">
        <v>6</v>
      </c>
      <c r="D1301" s="33" t="str">
        <f t="shared" si="381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2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3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395"/>
        <v>730000</v>
      </c>
      <c r="AA1301" s="13">
        <v>1.135</v>
      </c>
      <c r="AB1301" s="21">
        <f t="shared" si="385"/>
        <v>733230.08849557536</v>
      </c>
      <c r="AC1301" s="130">
        <f t="shared" si="386"/>
        <v>120103.08849557524</v>
      </c>
      <c r="AD1301" s="169">
        <v>0.1638</v>
      </c>
      <c r="AE1301" s="154">
        <f t="shared" si="387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6"/>
        <v>34015877.71150443</v>
      </c>
      <c r="AJ1301" s="19">
        <f t="shared" si="397"/>
        <v>4446292.375441948</v>
      </c>
      <c r="AK1301" s="20">
        <f t="shared" si="388"/>
        <v>0.13071226364205143</v>
      </c>
      <c r="AL1301" s="17"/>
      <c r="AM1301" s="17"/>
      <c r="AN1301" s="17"/>
      <c r="AO1301" s="17"/>
      <c r="AP1301" s="28" t="str">
        <f t="shared" si="389"/>
        <v>20197</v>
      </c>
      <c r="AQ1301" s="28" t="str">
        <f t="shared" si="390"/>
        <v>20197RMB</v>
      </c>
      <c r="AR1301" s="206" t="str">
        <f t="shared" si="391"/>
        <v>YAMAHA_Mounter</v>
      </c>
      <c r="AS1301" s="22">
        <f t="shared" si="392"/>
        <v>1</v>
      </c>
      <c r="AT1301" s="24" t="str">
        <f t="shared" si="393"/>
        <v>0-3 months</v>
      </c>
    </row>
    <row r="1302" spans="1:46" s="12" customFormat="1">
      <c r="A1302" s="33" t="str">
        <f t="shared" si="380"/>
        <v>FY 20/21</v>
      </c>
      <c r="B1302" s="152">
        <v>2020</v>
      </c>
      <c r="C1302" s="152">
        <v>8</v>
      </c>
      <c r="D1302" s="33" t="str">
        <f t="shared" si="381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2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3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395"/>
        <v>950000</v>
      </c>
      <c r="AA1302" s="13">
        <v>1.155</v>
      </c>
      <c r="AB1302" s="21">
        <f t="shared" si="385"/>
        <v>971017.69911504444</v>
      </c>
      <c r="AC1302" s="130">
        <f t="shared" si="386"/>
        <v>121862.72123893807</v>
      </c>
      <c r="AD1302" s="169">
        <v>0.1255</v>
      </c>
      <c r="AE1302" s="154">
        <f t="shared" si="387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6"/>
        <v>44078731.611185849</v>
      </c>
      <c r="AJ1302" s="19">
        <f t="shared" si="397"/>
        <v>5508173.2163771465</v>
      </c>
      <c r="AK1302" s="20">
        <f t="shared" si="388"/>
        <v>0.12496215328889679</v>
      </c>
      <c r="AL1302" s="17"/>
      <c r="AM1302" s="17"/>
      <c r="AN1302" s="17"/>
      <c r="AO1302" s="17"/>
      <c r="AP1302" s="28" t="str">
        <f t="shared" si="389"/>
        <v>202011</v>
      </c>
      <c r="AQ1302" s="28" t="str">
        <f t="shared" si="390"/>
        <v>202011RMB</v>
      </c>
      <c r="AR1302" s="206" t="str">
        <f t="shared" si="391"/>
        <v>YAMAHA_Mounter</v>
      </c>
      <c r="AS1302" s="22">
        <f t="shared" si="392"/>
        <v>3</v>
      </c>
      <c r="AT1302" s="24" t="str">
        <f t="shared" si="393"/>
        <v>0-3 months</v>
      </c>
    </row>
    <row r="1303" spans="1:46" s="12" customFormat="1">
      <c r="A1303" s="33" t="str">
        <f t="shared" si="380"/>
        <v>FY 20/21</v>
      </c>
      <c r="B1303" s="152">
        <v>2020</v>
      </c>
      <c r="C1303" s="152">
        <v>8</v>
      </c>
      <c r="D1303" s="33" t="str">
        <f t="shared" si="381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2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3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395"/>
        <v>650000</v>
      </c>
      <c r="AA1303" s="13">
        <v>1.155</v>
      </c>
      <c r="AB1303" s="21">
        <f t="shared" si="385"/>
        <v>664380.53097345144</v>
      </c>
      <c r="AC1303" s="130">
        <f t="shared" si="386"/>
        <v>83379.756637168161</v>
      </c>
      <c r="AD1303" s="169">
        <v>0.1255</v>
      </c>
      <c r="AE1303" s="154">
        <f t="shared" si="387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6"/>
        <v>44078731.611185849</v>
      </c>
      <c r="AJ1303" s="19">
        <f t="shared" si="397"/>
        <v>5508173.2163771465</v>
      </c>
      <c r="AK1303" s="20">
        <f t="shared" si="388"/>
        <v>0.12496215328889679</v>
      </c>
      <c r="AL1303" s="17"/>
      <c r="AM1303" s="17"/>
      <c r="AN1303" s="17"/>
      <c r="AO1303" s="17"/>
      <c r="AP1303" s="28" t="str">
        <f t="shared" si="389"/>
        <v>202011</v>
      </c>
      <c r="AQ1303" s="28" t="str">
        <f t="shared" si="390"/>
        <v>202011RMB</v>
      </c>
      <c r="AR1303" s="206" t="str">
        <f t="shared" si="391"/>
        <v>YAMAHA_Mounter</v>
      </c>
      <c r="AS1303" s="22">
        <f t="shared" si="392"/>
        <v>3</v>
      </c>
      <c r="AT1303" s="24" t="str">
        <f t="shared" si="393"/>
        <v>0-3 months</v>
      </c>
    </row>
    <row r="1304" spans="1:46" s="12" customFormat="1">
      <c r="A1304" s="33" t="str">
        <f t="shared" si="380"/>
        <v>FY 24/25</v>
      </c>
      <c r="B1304" s="23">
        <v>2024</v>
      </c>
      <c r="C1304" s="152">
        <v>4</v>
      </c>
      <c r="D1304" s="33" t="str">
        <f t="shared" si="381"/>
        <v>Q1</v>
      </c>
      <c r="E1304" s="33" t="str">
        <f>IF(G1304="Cancel","Cancel",IF(G1304="TBA","TBA",IFERROR(IF(I1304="Q4","FY "&amp;RIGHT(F1304,2)-1&amp;"/"&amp;RIGHT(F1304,2),"FY "&amp;RIGHT(F1304,2)&amp;"/"&amp;RIGHT(F1304,2)+1),"")))</f>
        <v>FY 24/25</v>
      </c>
      <c r="F1304" s="23">
        <v>2024</v>
      </c>
      <c r="G1304" s="23">
        <v>7</v>
      </c>
      <c r="H1304" s="29"/>
      <c r="I1304" s="33" t="str">
        <f t="shared" si="382"/>
        <v>Q2</v>
      </c>
      <c r="J1304" s="188" t="s">
        <v>3383</v>
      </c>
      <c r="K1304" s="29" t="s">
        <v>2421</v>
      </c>
      <c r="L1304" s="17" t="s">
        <v>93</v>
      </c>
      <c r="M1304" s="22" t="s">
        <v>61</v>
      </c>
      <c r="N1304" s="22">
        <v>1</v>
      </c>
      <c r="O1304" s="22"/>
      <c r="P1304" s="33" t="str">
        <f t="shared" si="383"/>
        <v>MAIN UNIT</v>
      </c>
      <c r="Q1304" s="13" t="s">
        <v>62</v>
      </c>
      <c r="R1304" s="22" t="s">
        <v>63</v>
      </c>
      <c r="S1304" s="22" t="s">
        <v>50</v>
      </c>
      <c r="T1304" s="22" t="s">
        <v>79</v>
      </c>
      <c r="U1304" s="22" t="s">
        <v>840</v>
      </c>
      <c r="V1304" s="22" t="s">
        <v>113</v>
      </c>
      <c r="W1304" s="22" t="s">
        <v>65</v>
      </c>
      <c r="X1304" s="30">
        <v>1075000</v>
      </c>
      <c r="Y1304" s="31" t="str">
        <f>IF(W1304="","",IF(W1304="RMB","1.13", "1"))</f>
        <v>1.13</v>
      </c>
      <c r="Z1304" s="18">
        <f t="shared" si="395"/>
        <v>1075000</v>
      </c>
      <c r="AA1304" s="22">
        <v>1.075</v>
      </c>
      <c r="AB1304" s="21">
        <f t="shared" si="385"/>
        <v>1022676.9911504426</v>
      </c>
      <c r="AC1304" s="25">
        <f t="shared" si="386"/>
        <v>117403.31858407082</v>
      </c>
      <c r="AD1304" s="169">
        <v>0.1148</v>
      </c>
      <c r="AE1304" s="26">
        <f t="shared" si="387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6"/>
        <v>25458266.694690265</v>
      </c>
      <c r="AJ1304" s="27">
        <f t="shared" si="397"/>
        <v>4116526.778578762</v>
      </c>
      <c r="AK1304" s="28">
        <f t="shared" si="388"/>
        <v>0.16169705612508689</v>
      </c>
      <c r="AL1304" s="24"/>
      <c r="AM1304" s="24"/>
      <c r="AN1304" s="24"/>
      <c r="AO1304" s="24"/>
      <c r="AP1304" s="28" t="str">
        <f t="shared" si="389"/>
        <v>20247</v>
      </c>
      <c r="AQ1304" s="28" t="str">
        <f t="shared" si="390"/>
        <v>20247RMB</v>
      </c>
      <c r="AR1304" s="206" t="str">
        <f t="shared" si="391"/>
        <v>YAMAHA_Mounter</v>
      </c>
      <c r="AS1304" s="22">
        <f t="shared" si="392"/>
        <v>3</v>
      </c>
      <c r="AT1304" s="24" t="str">
        <f t="shared" si="393"/>
        <v>0-3 months</v>
      </c>
    </row>
    <row r="1305" spans="1:46" s="12" customFormat="1">
      <c r="A1305" s="33" t="str">
        <f t="shared" si="380"/>
        <v>FY 23/24</v>
      </c>
      <c r="B1305" s="23">
        <v>2024</v>
      </c>
      <c r="C1305" s="152">
        <v>3</v>
      </c>
      <c r="D1305" s="33" t="str">
        <f t="shared" si="381"/>
        <v>Q4</v>
      </c>
      <c r="E1305" s="33" t="str">
        <f>IF(G1305="Cancel","Cancel",IF(G1305="TBA","TBA",IFERROR(IF(I1305="Q4","FY "&amp;RIGHT(F1305,2)-1&amp;"/"&amp;RIGHT(F1305,2),"FY "&amp;RIGHT(F1305,2)&amp;"/"&amp;RIGHT(F1305,2)+1),"")))</f>
        <v>FY 24/25</v>
      </c>
      <c r="F1305" s="23">
        <v>2024</v>
      </c>
      <c r="G1305" s="23">
        <v>6</v>
      </c>
      <c r="H1305" s="29"/>
      <c r="I1305" s="33" t="str">
        <f t="shared" si="382"/>
        <v>Q1</v>
      </c>
      <c r="J1305" s="188" t="s">
        <v>3341</v>
      </c>
      <c r="K1305" s="29" t="s">
        <v>3342</v>
      </c>
      <c r="L1305" s="17" t="s">
        <v>93</v>
      </c>
      <c r="M1305" s="22" t="s">
        <v>61</v>
      </c>
      <c r="N1305" s="22">
        <v>1</v>
      </c>
      <c r="O1305" s="22"/>
      <c r="P1305" s="33" t="str">
        <f t="shared" si="383"/>
        <v>MAIN UNIT</v>
      </c>
      <c r="Q1305" s="13" t="s">
        <v>62</v>
      </c>
      <c r="R1305" s="22" t="s">
        <v>63</v>
      </c>
      <c r="S1305" s="22" t="s">
        <v>50</v>
      </c>
      <c r="T1305" s="22" t="s">
        <v>79</v>
      </c>
      <c r="U1305" s="22" t="s">
        <v>79</v>
      </c>
      <c r="V1305" s="22" t="s">
        <v>113</v>
      </c>
      <c r="W1305" s="22" t="s">
        <v>110</v>
      </c>
      <c r="X1305" s="30">
        <v>11000000</v>
      </c>
      <c r="Y1305" s="31" t="str">
        <f>IF(W1305="","",IF(W1305="RMB","1.13", "1"))</f>
        <v>1</v>
      </c>
      <c r="Z1305" s="18">
        <f t="shared" si="395"/>
        <v>11000000</v>
      </c>
      <c r="AA1305" s="13">
        <v>5.0999999999999997E-2</v>
      </c>
      <c r="AB1305" s="21">
        <f t="shared" si="385"/>
        <v>561000</v>
      </c>
      <c r="AC1305" s="25">
        <f t="shared" si="386"/>
        <v>40392</v>
      </c>
      <c r="AD1305" s="170">
        <v>7.1999999999999995E-2</v>
      </c>
      <c r="AE1305" s="26">
        <f t="shared" si="387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6"/>
        <v>27308925.887079656</v>
      </c>
      <c r="AJ1305" s="27">
        <f t="shared" si="397"/>
        <v>3319273.860338124</v>
      </c>
      <c r="AK1305" s="28">
        <f t="shared" si="388"/>
        <v>0.12154538314919709</v>
      </c>
      <c r="AL1305" s="24"/>
      <c r="AM1305" s="24"/>
      <c r="AN1305" s="24"/>
      <c r="AO1305" s="24"/>
      <c r="AP1305" s="28" t="str">
        <f t="shared" si="389"/>
        <v>20246</v>
      </c>
      <c r="AQ1305" s="28" t="str">
        <f t="shared" si="390"/>
        <v>20246JPY</v>
      </c>
      <c r="AR1305" s="206" t="str">
        <f t="shared" si="391"/>
        <v>YAMAHA_Mounter</v>
      </c>
      <c r="AS1305" s="22">
        <f t="shared" si="392"/>
        <v>3</v>
      </c>
      <c r="AT1305" s="24" t="str">
        <f t="shared" si="393"/>
        <v>0-3 months</v>
      </c>
    </row>
    <row r="1306" spans="1:46" s="12" customFormat="1">
      <c r="A1306" s="33" t="str">
        <f t="shared" si="380"/>
        <v>FY 23/24</v>
      </c>
      <c r="B1306" s="152">
        <v>2023</v>
      </c>
      <c r="C1306" s="152">
        <v>9</v>
      </c>
      <c r="D1306" s="33" t="str">
        <f t="shared" si="381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2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3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395"/>
        <v>730000</v>
      </c>
      <c r="AA1306" s="13">
        <v>1.07</v>
      </c>
      <c r="AB1306" s="21">
        <f t="shared" si="385"/>
        <v>691238.93805309746</v>
      </c>
      <c r="AC1306" s="130">
        <f t="shared" si="386"/>
        <v>50806.061946902657</v>
      </c>
      <c r="AD1306" s="169">
        <v>7.3499999999999996E-2</v>
      </c>
      <c r="AE1306" s="154">
        <f t="shared" si="387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6"/>
        <v>5219988.5752212387</v>
      </c>
      <c r="AJ1306" s="19">
        <f t="shared" si="397"/>
        <v>631627.0013460177</v>
      </c>
      <c r="AK1306" s="20">
        <f t="shared" si="388"/>
        <v>0.12100160608478869</v>
      </c>
      <c r="AL1306" s="17"/>
      <c r="AM1306" s="17"/>
      <c r="AN1306" s="17"/>
      <c r="AO1306" s="17"/>
      <c r="AP1306" s="28" t="str">
        <f t="shared" si="389"/>
        <v>202310</v>
      </c>
      <c r="AQ1306" s="28" t="str">
        <f t="shared" si="390"/>
        <v>202310RMB</v>
      </c>
      <c r="AR1306" s="206" t="str">
        <f t="shared" si="391"/>
        <v>YAMAHA_Mounter</v>
      </c>
      <c r="AS1306" s="22">
        <f t="shared" si="392"/>
        <v>1</v>
      </c>
      <c r="AT1306" s="24" t="str">
        <f t="shared" si="393"/>
        <v>0-3 months</v>
      </c>
    </row>
    <row r="1307" spans="1:46" s="12" customFormat="1">
      <c r="A1307" s="33" t="str">
        <f t="shared" si="380"/>
        <v>FY 21/22</v>
      </c>
      <c r="B1307" s="152">
        <v>2022</v>
      </c>
      <c r="C1307" s="152">
        <v>3</v>
      </c>
      <c r="D1307" s="33" t="str">
        <f t="shared" si="381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2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3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395"/>
        <v>850000</v>
      </c>
      <c r="AA1307" s="13">
        <v>1.175</v>
      </c>
      <c r="AB1307" s="21">
        <f t="shared" si="385"/>
        <v>883849.55752212403</v>
      </c>
      <c r="AC1307" s="130">
        <f t="shared" si="386"/>
        <v>120380.30973451328</v>
      </c>
      <c r="AD1307" s="169">
        <v>0.13619999999999999</v>
      </c>
      <c r="AE1307" s="154">
        <f t="shared" si="387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6"/>
        <v>35682787.057522126</v>
      </c>
      <c r="AJ1307" s="19">
        <f t="shared" si="397"/>
        <v>5833368.3789623892</v>
      </c>
      <c r="AK1307" s="20">
        <f t="shared" si="388"/>
        <v>0.16347849649632912</v>
      </c>
      <c r="AL1307" s="17"/>
      <c r="AM1307" s="17"/>
      <c r="AN1307" s="17"/>
      <c r="AO1307" s="17"/>
      <c r="AP1307" s="28" t="str">
        <f t="shared" si="389"/>
        <v>20226</v>
      </c>
      <c r="AQ1307" s="28" t="str">
        <f t="shared" si="390"/>
        <v>20226RMB</v>
      </c>
      <c r="AR1307" s="206" t="str">
        <f t="shared" si="391"/>
        <v>YAMAHA_Mounter</v>
      </c>
      <c r="AS1307" s="22">
        <f t="shared" si="392"/>
        <v>3</v>
      </c>
      <c r="AT1307" s="24" t="str">
        <f t="shared" si="393"/>
        <v>0-3 months</v>
      </c>
    </row>
    <row r="1308" spans="1:46" s="12" customFormat="1">
      <c r="A1308" s="33" t="str">
        <f t="shared" si="380"/>
        <v>FY 22/23</v>
      </c>
      <c r="B1308" s="152">
        <v>2023</v>
      </c>
      <c r="C1308" s="152">
        <v>2</v>
      </c>
      <c r="D1308" s="33" t="str">
        <f t="shared" si="381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2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3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395"/>
        <v>520000</v>
      </c>
      <c r="AA1308" s="13">
        <v>1.1299999999999999</v>
      </c>
      <c r="AB1308" s="21">
        <f t="shared" si="385"/>
        <v>520000</v>
      </c>
      <c r="AC1308" s="130">
        <f t="shared" si="386"/>
        <v>71240</v>
      </c>
      <c r="AD1308" s="169">
        <v>0.13700000000000001</v>
      </c>
      <c r="AE1308" s="154">
        <f t="shared" si="387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6"/>
        <v>33543315.897345133</v>
      </c>
      <c r="AJ1308" s="19">
        <f t="shared" si="397"/>
        <v>4706169.3252984071</v>
      </c>
      <c r="AK1308" s="20">
        <f t="shared" si="388"/>
        <v>0.14030125523967318</v>
      </c>
      <c r="AL1308" s="17"/>
      <c r="AM1308" s="17"/>
      <c r="AN1308" s="17"/>
      <c r="AO1308" s="17"/>
      <c r="AP1308" s="28" t="str">
        <f t="shared" si="389"/>
        <v>20233</v>
      </c>
      <c r="AQ1308" s="28" t="str">
        <f t="shared" si="390"/>
        <v>20233RMB</v>
      </c>
      <c r="AR1308" s="206" t="str">
        <f t="shared" si="391"/>
        <v>YAMAHA_Mounter</v>
      </c>
      <c r="AS1308" s="22">
        <f t="shared" si="392"/>
        <v>1</v>
      </c>
      <c r="AT1308" s="24" t="str">
        <f t="shared" si="393"/>
        <v>0-3 months</v>
      </c>
    </row>
    <row r="1309" spans="1:46" s="12" customFormat="1">
      <c r="A1309" s="33" t="str">
        <f t="shared" si="380"/>
        <v>FY 23/24</v>
      </c>
      <c r="B1309" s="152">
        <v>2023</v>
      </c>
      <c r="C1309" s="152">
        <v>4</v>
      </c>
      <c r="D1309" s="33" t="str">
        <f t="shared" si="381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2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3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395"/>
        <v>714000</v>
      </c>
      <c r="AA1309" s="13">
        <v>1.1399999999999999</v>
      </c>
      <c r="AB1309" s="21">
        <f t="shared" si="385"/>
        <v>720318.5840707965</v>
      </c>
      <c r="AC1309" s="130">
        <f t="shared" si="386"/>
        <v>129657.34513274336</v>
      </c>
      <c r="AD1309" s="169">
        <v>0.18</v>
      </c>
      <c r="AE1309" s="154">
        <f t="shared" si="387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6"/>
        <v>30573205.452778768</v>
      </c>
      <c r="AJ1309" s="19">
        <f t="shared" si="397"/>
        <v>3790930.1683151261</v>
      </c>
      <c r="AK1309" s="20">
        <f t="shared" si="388"/>
        <v>0.12399518179964254</v>
      </c>
      <c r="AL1309" s="17"/>
      <c r="AM1309" s="17"/>
      <c r="AN1309" s="17"/>
      <c r="AO1309" s="17"/>
      <c r="AP1309" s="28" t="str">
        <f t="shared" si="389"/>
        <v>20234</v>
      </c>
      <c r="AQ1309" s="28" t="str">
        <f t="shared" si="390"/>
        <v>20234RMB</v>
      </c>
      <c r="AR1309" s="206" t="str">
        <f t="shared" si="391"/>
        <v>YAMAHA_Mounter</v>
      </c>
      <c r="AS1309" s="22">
        <f t="shared" si="392"/>
        <v>0</v>
      </c>
      <c r="AT1309" s="24" t="str">
        <f t="shared" si="393"/>
        <v>0-3 months</v>
      </c>
    </row>
    <row r="1310" spans="1:46" s="12" customFormat="1">
      <c r="A1310" s="33" t="str">
        <f t="shared" si="380"/>
        <v>FY 23/24</v>
      </c>
      <c r="B1310" s="152">
        <v>2023</v>
      </c>
      <c r="C1310" s="152">
        <v>4</v>
      </c>
      <c r="D1310" s="33" t="str">
        <f t="shared" si="381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2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3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395"/>
        <v>714000</v>
      </c>
      <c r="AA1310" s="13">
        <v>1.1399999999999999</v>
      </c>
      <c r="AB1310" s="21">
        <f t="shared" si="385"/>
        <v>720318.5840707965</v>
      </c>
      <c r="AC1310" s="130">
        <f t="shared" si="386"/>
        <v>129657.34513274336</v>
      </c>
      <c r="AD1310" s="169">
        <v>0.18</v>
      </c>
      <c r="AE1310" s="154">
        <f t="shared" si="387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6"/>
        <v>30573205.452778768</v>
      </c>
      <c r="AJ1310" s="19">
        <f t="shared" si="397"/>
        <v>3790930.1683151261</v>
      </c>
      <c r="AK1310" s="20">
        <f t="shared" si="388"/>
        <v>0.12399518179964254</v>
      </c>
      <c r="AL1310" s="17"/>
      <c r="AM1310" s="17"/>
      <c r="AN1310" s="17"/>
      <c r="AO1310" s="17"/>
      <c r="AP1310" s="28" t="str">
        <f t="shared" si="389"/>
        <v>20234</v>
      </c>
      <c r="AQ1310" s="28" t="str">
        <f t="shared" si="390"/>
        <v>20234RMB</v>
      </c>
      <c r="AR1310" s="206" t="str">
        <f t="shared" si="391"/>
        <v>YAMAHA_Mounter</v>
      </c>
      <c r="AS1310" s="22">
        <f t="shared" si="392"/>
        <v>0</v>
      </c>
      <c r="AT1310" s="24" t="str">
        <f t="shared" si="393"/>
        <v>0-3 months</v>
      </c>
    </row>
    <row r="1311" spans="1:46" s="12" customFormat="1">
      <c r="A1311" s="33" t="str">
        <f t="shared" si="380"/>
        <v>FY 23/24</v>
      </c>
      <c r="B1311" s="23">
        <v>2024</v>
      </c>
      <c r="C1311" s="152">
        <v>3</v>
      </c>
      <c r="D1311" s="33" t="str">
        <f t="shared" si="381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2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3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395"/>
        <v>11800000</v>
      </c>
      <c r="AA1311" s="22">
        <v>5.3100000000000001E-2</v>
      </c>
      <c r="AB1311" s="21">
        <f t="shared" si="385"/>
        <v>626580</v>
      </c>
      <c r="AC1311" s="25">
        <f t="shared" si="386"/>
        <v>62532.684000000001</v>
      </c>
      <c r="AD1311" s="209">
        <v>9.98E-2</v>
      </c>
      <c r="AE1311" s="26">
        <f t="shared" si="387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6"/>
        <v>21194662.454867262</v>
      </c>
      <c r="AJ1311" s="27">
        <f t="shared" si="397"/>
        <v>2981431.5970757701</v>
      </c>
      <c r="AK1311" s="28">
        <f t="shared" si="388"/>
        <v>0.14066898226968919</v>
      </c>
      <c r="AL1311" s="24"/>
      <c r="AM1311" s="24"/>
      <c r="AN1311" s="24"/>
      <c r="AO1311" s="24"/>
      <c r="AP1311" s="28" t="str">
        <f t="shared" si="389"/>
        <v>20243</v>
      </c>
      <c r="AQ1311" s="28" t="str">
        <f t="shared" si="390"/>
        <v>20243JPY</v>
      </c>
      <c r="AR1311" s="206" t="str">
        <f t="shared" si="391"/>
        <v>YAMAHA_Mounter</v>
      </c>
      <c r="AS1311" s="22">
        <f t="shared" si="392"/>
        <v>0</v>
      </c>
      <c r="AT1311" s="24" t="str">
        <f t="shared" si="393"/>
        <v>0-3 months</v>
      </c>
    </row>
    <row r="1312" spans="1:46" s="12" customFormat="1">
      <c r="A1312" s="33" t="str">
        <f t="shared" ref="A1312:A1375" si="399">IF(C1312="cancel","cancel",IFERROR(IF(D1312="Q4","FY "&amp;RIGHT(B1312,2)-1&amp;"/"&amp;RIGHT(B1312,2),"FY "&amp;RIGHT(B1312,2)&amp;"/"&amp;RIGHT(B1312,2)+1),""))</f>
        <v>FY 20/21</v>
      </c>
      <c r="B1312" s="152">
        <v>2020</v>
      </c>
      <c r="C1312" s="152">
        <v>4</v>
      </c>
      <c r="D1312" s="33" t="str">
        <f t="shared" ref="D1312:D1375" si="400">IF(B1312="","",IF(AND(C1312&gt;=10,C1312&lt;=12),"Q3",IF(AND(C1312&gt;=1,C1312&lt;=3),"Q4",IF(AND(C1312&gt;=7,C1312&lt;=9),"Q2",IF(AND(C1312&gt;=4,C1312&lt;=6),"Q1")))))</f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ref="I1312:I1375" si="401">IFERROR(IF(F1312="","",IF(F1312="TBA","TBA",IF(F1312="Cancel","Cancel",IF(AND(G1312&gt;=10,G1312&lt;=12),"Q3",IF(AND(G1312&gt;=1,G1312&lt;=3),"Q4",IF(AND(G1312&gt;=7,G1312&lt;=9),"Q2",IF(AND(G1312&gt;=4,G1312&lt;=6),"Q1"))))))),"")</f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ref="P1312:P1375" si="402">IF(M1312="","",IF(AND(N1312&gt;0,L1312&lt;&gt;""),"MAIN UNIT",IF(AND(O1312&gt;0,L1312&lt;&gt;""),"SERVICE/ PARTS","C66 SERVICE/OTHERS")))</f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395"/>
        <v>580000</v>
      </c>
      <c r="AA1312" s="13">
        <v>1.105</v>
      </c>
      <c r="AB1312" s="21">
        <f t="shared" ref="AB1312:AB1375" si="403">IF(AND(R1312&lt;&gt;"C66",R1312&lt;&gt;""),Z1312/Y1312*AA1312,"")</f>
        <v>567168.14159292041</v>
      </c>
      <c r="AC1312" s="130">
        <f t="shared" ref="AC1312:AC1375" si="404">IF(R1312&lt;&gt;"",AB1312*AD1312,"")</f>
        <v>91314.07079646019</v>
      </c>
      <c r="AD1312" s="169">
        <v>0.161</v>
      </c>
      <c r="AE1312" s="154">
        <f t="shared" ref="AE1312:AE1375" si="405">IF(Q1312="","",IF(Q1312="Yes",1,0))</f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6"/>
        <v>37969334.083628319</v>
      </c>
      <c r="AJ1312" s="19">
        <f t="shared" si="397"/>
        <v>5097226.4551657084</v>
      </c>
      <c r="AK1312" s="20">
        <f t="shared" ref="AK1312:AK1375" si="406">IF(AJ1312&gt;0,AJ1312/AI1312,"")</f>
        <v>0.13424587441904964</v>
      </c>
      <c r="AL1312" s="17"/>
      <c r="AM1312" s="17"/>
      <c r="AN1312" s="17"/>
      <c r="AO1312" s="17"/>
      <c r="AP1312" s="28" t="str">
        <f t="shared" ref="AP1312:AP1375" si="407">IF(F1312="","",F1312&amp;G1312)</f>
        <v>20208</v>
      </c>
      <c r="AQ1312" s="28" t="str">
        <f t="shared" ref="AQ1312:AQ1375" si="408">IF(W1312="","",F1312&amp;G1312&amp;W1312)</f>
        <v>20208RMB</v>
      </c>
      <c r="AR1312" s="206" t="str">
        <f t="shared" ref="AR1312:AR1375" si="409">IFERROR(IF(AND(M1312="YAMAHA", R1312="C28"), "YAMAHA_Non_Mounter", IF(AND(M1312="YAMAHA", R1312="C49"), "YAMAHA_Mounter", M1312)),"")</f>
        <v>YAMAHA_Mounter</v>
      </c>
      <c r="AS1312" s="22">
        <f t="shared" ref="AS1312:AS1375" si="410">IFERROR(IF(OR(G1312="TBA", G1312=""), "", DATEDIF(DATE(B1312, C1312, 1), DATE(F1312, G1312, 1), "M")),"")</f>
        <v>4</v>
      </c>
      <c r="AT1312" s="24" t="str">
        <f t="shared" ref="AT1312:AT1375" si="411">IF(ISNUMBER(AS1312), IF(AS1312&gt;=0, IF(AS1312&lt;=3, "0-3 months", IF(AS1312&lt;=6, "4-6 months", "&gt; 6 months"))), "")</f>
        <v>4-6 months</v>
      </c>
    </row>
    <row r="1313" spans="1:46" s="12" customFormat="1">
      <c r="A1313" s="33" t="str">
        <f t="shared" si="399"/>
        <v>FY 21/22</v>
      </c>
      <c r="B1313" s="152">
        <v>2022</v>
      </c>
      <c r="C1313" s="152">
        <v>2</v>
      </c>
      <c r="D1313" s="33" t="str">
        <f t="shared" si="400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401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402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395"/>
        <v>810000</v>
      </c>
      <c r="AA1313" s="13">
        <v>1.1950000000000001</v>
      </c>
      <c r="AB1313" s="21">
        <f t="shared" si="403"/>
        <v>856592.92035398248</v>
      </c>
      <c r="AC1313" s="130">
        <f t="shared" si="404"/>
        <v>147162.66371681419</v>
      </c>
      <c r="AD1313" s="169">
        <v>0.17180000000000001</v>
      </c>
      <c r="AE1313" s="154">
        <f t="shared" si="405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6"/>
        <v>44014086.982070789</v>
      </c>
      <c r="AJ1313" s="19">
        <f t="shared" si="397"/>
        <v>6419974.0221889298</v>
      </c>
      <c r="AK1313" s="20">
        <f t="shared" si="406"/>
        <v>0.14586180158193709</v>
      </c>
      <c r="AL1313" s="17"/>
      <c r="AM1313" s="17"/>
      <c r="AN1313" s="17"/>
      <c r="AO1313" s="17"/>
      <c r="AP1313" s="28" t="str">
        <f t="shared" si="407"/>
        <v>20225</v>
      </c>
      <c r="AQ1313" s="28" t="str">
        <f t="shared" si="408"/>
        <v>20225RMB</v>
      </c>
      <c r="AR1313" s="206" t="str">
        <f t="shared" si="409"/>
        <v>YAMAHA_Mounter</v>
      </c>
      <c r="AS1313" s="22">
        <f t="shared" si="410"/>
        <v>3</v>
      </c>
      <c r="AT1313" s="24" t="str">
        <f t="shared" si="411"/>
        <v>0-3 months</v>
      </c>
    </row>
    <row r="1314" spans="1:46" s="12" customFormat="1">
      <c r="A1314" s="33" t="str">
        <f t="shared" si="399"/>
        <v>FY 22/23</v>
      </c>
      <c r="B1314" s="152">
        <v>2022</v>
      </c>
      <c r="C1314" s="152">
        <v>5</v>
      </c>
      <c r="D1314" s="33" t="str">
        <f t="shared" si="400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401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402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395"/>
        <v>750000</v>
      </c>
      <c r="AA1314" s="13">
        <v>1.1950000000000001</v>
      </c>
      <c r="AB1314" s="21">
        <f t="shared" si="403"/>
        <v>793141.5929203541</v>
      </c>
      <c r="AC1314" s="130">
        <f t="shared" si="404"/>
        <v>83438.495575221255</v>
      </c>
      <c r="AD1314" s="169">
        <v>0.1052</v>
      </c>
      <c r="AE1314" s="154">
        <f t="shared" si="405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6"/>
        <v>44014086.982070789</v>
      </c>
      <c r="AJ1314" s="19">
        <f t="shared" si="397"/>
        <v>6419974.0221889298</v>
      </c>
      <c r="AK1314" s="20">
        <f t="shared" si="406"/>
        <v>0.14586180158193709</v>
      </c>
      <c r="AL1314" s="17"/>
      <c r="AM1314" s="17"/>
      <c r="AN1314" s="17"/>
      <c r="AO1314" s="17"/>
      <c r="AP1314" s="28" t="str">
        <f t="shared" si="407"/>
        <v>20225</v>
      </c>
      <c r="AQ1314" s="28" t="str">
        <f t="shared" si="408"/>
        <v>20225RMB</v>
      </c>
      <c r="AR1314" s="206" t="str">
        <f t="shared" si="409"/>
        <v>YAMAHA_Mounter</v>
      </c>
      <c r="AS1314" s="22">
        <f t="shared" si="410"/>
        <v>0</v>
      </c>
      <c r="AT1314" s="24" t="str">
        <f t="shared" si="411"/>
        <v>0-3 months</v>
      </c>
    </row>
    <row r="1315" spans="1:46" s="12" customFormat="1">
      <c r="A1315" s="33" t="str">
        <f t="shared" si="399"/>
        <v>FY 22/23</v>
      </c>
      <c r="B1315" s="152">
        <v>2023</v>
      </c>
      <c r="C1315" s="152">
        <v>3</v>
      </c>
      <c r="D1315" s="33" t="str">
        <f t="shared" si="400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401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402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395"/>
        <v>750000</v>
      </c>
      <c r="AA1315" s="13">
        <v>1.1399999999999999</v>
      </c>
      <c r="AB1315" s="21">
        <f t="shared" si="403"/>
        <v>756637.16814159299</v>
      </c>
      <c r="AC1315" s="130">
        <f t="shared" si="404"/>
        <v>93217.699115044263</v>
      </c>
      <c r="AD1315" s="169">
        <v>0.1232</v>
      </c>
      <c r="AE1315" s="154">
        <f t="shared" si="405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6"/>
        <v>30573205.452778768</v>
      </c>
      <c r="AJ1315" s="19">
        <f t="shared" si="397"/>
        <v>3790930.1683151261</v>
      </c>
      <c r="AK1315" s="20">
        <f t="shared" si="406"/>
        <v>0.12399518179964254</v>
      </c>
      <c r="AL1315" s="17"/>
      <c r="AM1315" s="17"/>
      <c r="AN1315" s="17"/>
      <c r="AO1315" s="17"/>
      <c r="AP1315" s="28" t="str">
        <f t="shared" si="407"/>
        <v>20234</v>
      </c>
      <c r="AQ1315" s="28" t="str">
        <f t="shared" si="408"/>
        <v>20234RMB</v>
      </c>
      <c r="AR1315" s="206" t="str">
        <f t="shared" si="409"/>
        <v>YAMAHA_Mounter</v>
      </c>
      <c r="AS1315" s="22">
        <f t="shared" si="410"/>
        <v>1</v>
      </c>
      <c r="AT1315" s="24" t="str">
        <f t="shared" si="411"/>
        <v>0-3 months</v>
      </c>
    </row>
    <row r="1316" spans="1:46" s="12" customFormat="1">
      <c r="A1316" s="33" t="str">
        <f t="shared" si="399"/>
        <v>FY 21/22</v>
      </c>
      <c r="B1316" s="152">
        <v>2021</v>
      </c>
      <c r="C1316" s="152">
        <v>8</v>
      </c>
      <c r="D1316" s="33" t="str">
        <f t="shared" si="400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401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402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395"/>
        <v>21800000</v>
      </c>
      <c r="AA1316" s="13">
        <v>6.9199999999999998E-2</v>
      </c>
      <c r="AB1316" s="21">
        <f t="shared" si="403"/>
        <v>1508560</v>
      </c>
      <c r="AC1316" s="130">
        <f t="shared" si="404"/>
        <v>223568.592</v>
      </c>
      <c r="AD1316" s="169">
        <v>0.1482</v>
      </c>
      <c r="AE1316" s="154">
        <f t="shared" si="405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6"/>
        <v>28726768.133805312</v>
      </c>
      <c r="AJ1316" s="19">
        <f t="shared" si="397"/>
        <v>3853638.1988864429</v>
      </c>
      <c r="AK1316" s="20">
        <f t="shared" si="406"/>
        <v>0.1341479898099476</v>
      </c>
      <c r="AL1316" s="17"/>
      <c r="AM1316" s="17"/>
      <c r="AN1316" s="17"/>
      <c r="AO1316" s="17"/>
      <c r="AP1316" s="28" t="str">
        <f t="shared" si="407"/>
        <v>20223</v>
      </c>
      <c r="AQ1316" s="28" t="str">
        <f t="shared" si="408"/>
        <v>20223JPY</v>
      </c>
      <c r="AR1316" s="206" t="str">
        <f t="shared" si="409"/>
        <v>YAMAHA_Mounter</v>
      </c>
      <c r="AS1316" s="22">
        <f t="shared" si="410"/>
        <v>7</v>
      </c>
      <c r="AT1316" s="24" t="str">
        <f t="shared" si="411"/>
        <v>&gt; 6 months</v>
      </c>
    </row>
    <row r="1317" spans="1:46" s="12" customFormat="1">
      <c r="A1317" s="33" t="str">
        <f t="shared" si="399"/>
        <v>FY 21/22</v>
      </c>
      <c r="B1317" s="152">
        <v>2021</v>
      </c>
      <c r="C1317" s="152">
        <v>8</v>
      </c>
      <c r="D1317" s="33" t="str">
        <f t="shared" si="400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401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402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395"/>
        <v>21800000</v>
      </c>
      <c r="AA1317" s="13">
        <v>6.9199999999999998E-2</v>
      </c>
      <c r="AB1317" s="21">
        <f t="shared" si="403"/>
        <v>1508560</v>
      </c>
      <c r="AC1317" s="130">
        <f t="shared" si="404"/>
        <v>223568.592</v>
      </c>
      <c r="AD1317" s="169">
        <v>0.1482</v>
      </c>
      <c r="AE1317" s="154">
        <f t="shared" si="405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6"/>
        <v>28726768.133805312</v>
      </c>
      <c r="AJ1317" s="19">
        <f t="shared" si="397"/>
        <v>3853638.1988864429</v>
      </c>
      <c r="AK1317" s="20">
        <f t="shared" si="406"/>
        <v>0.1341479898099476</v>
      </c>
      <c r="AL1317" s="17"/>
      <c r="AM1317" s="17"/>
      <c r="AN1317" s="17"/>
      <c r="AO1317" s="17"/>
      <c r="AP1317" s="28" t="str">
        <f t="shared" si="407"/>
        <v>20223</v>
      </c>
      <c r="AQ1317" s="28" t="str">
        <f t="shared" si="408"/>
        <v>20223JPY</v>
      </c>
      <c r="AR1317" s="206" t="str">
        <f t="shared" si="409"/>
        <v>YAMAHA_Mounter</v>
      </c>
      <c r="AS1317" s="22">
        <f t="shared" si="410"/>
        <v>7</v>
      </c>
      <c r="AT1317" s="24" t="str">
        <f t="shared" si="411"/>
        <v>&gt; 6 months</v>
      </c>
    </row>
    <row r="1318" spans="1:46" s="12" customFormat="1">
      <c r="A1318" s="33" t="str">
        <f t="shared" si="399"/>
        <v>FY 23/24</v>
      </c>
      <c r="B1318" s="23">
        <v>2024</v>
      </c>
      <c r="C1318" s="152">
        <v>3</v>
      </c>
      <c r="D1318" s="33" t="str">
        <f t="shared" si="400"/>
        <v>Q4</v>
      </c>
      <c r="E1318" s="33" t="str">
        <f>IF(G1318="Cancel","Cancel",IF(G1318="TBA","TBA",IFERROR(IF(I1318="Q4","FY "&amp;RIGHT(F1318,2)-1&amp;"/"&amp;RIGHT(F1318,2),"FY "&amp;RIGHT(F1318,2)&amp;"/"&amp;RIGHT(F1318,2)+1),"")))</f>
        <v>FY 24/25</v>
      </c>
      <c r="F1318" s="23">
        <v>2024</v>
      </c>
      <c r="G1318" s="23">
        <v>6</v>
      </c>
      <c r="H1318" s="29"/>
      <c r="I1318" s="33" t="str">
        <f t="shared" si="401"/>
        <v>Q1</v>
      </c>
      <c r="J1318" s="188" t="s">
        <v>3341</v>
      </c>
      <c r="K1318" s="29" t="s">
        <v>3342</v>
      </c>
      <c r="L1318" s="17" t="s">
        <v>93</v>
      </c>
      <c r="M1318" s="22" t="s">
        <v>61</v>
      </c>
      <c r="N1318" s="22">
        <v>1</v>
      </c>
      <c r="O1318" s="22"/>
      <c r="P1318" s="33" t="str">
        <f t="shared" si="402"/>
        <v>MAIN UNIT</v>
      </c>
      <c r="Q1318" s="13" t="s">
        <v>62</v>
      </c>
      <c r="R1318" s="22" t="s">
        <v>63</v>
      </c>
      <c r="S1318" s="22" t="s">
        <v>50</v>
      </c>
      <c r="T1318" s="22" t="s">
        <v>79</v>
      </c>
      <c r="U1318" s="22" t="s">
        <v>79</v>
      </c>
      <c r="V1318" s="22" t="s">
        <v>113</v>
      </c>
      <c r="W1318" s="22" t="s">
        <v>110</v>
      </c>
      <c r="X1318" s="30">
        <v>11000000</v>
      </c>
      <c r="Y1318" s="31" t="str">
        <f>IF(W1318="","",IF(W1318="RMB","1.13", "1"))</f>
        <v>1</v>
      </c>
      <c r="Z1318" s="18">
        <f t="shared" si="395"/>
        <v>11000000</v>
      </c>
      <c r="AA1318" s="13">
        <v>5.0999999999999997E-2</v>
      </c>
      <c r="AB1318" s="21">
        <f t="shared" si="403"/>
        <v>561000</v>
      </c>
      <c r="AC1318" s="25">
        <f t="shared" si="404"/>
        <v>40392</v>
      </c>
      <c r="AD1318" s="170">
        <v>7.1999999999999995E-2</v>
      </c>
      <c r="AE1318" s="26">
        <f t="shared" si="405"/>
        <v>0</v>
      </c>
      <c r="AF1318" s="26" t="str">
        <f>IF(AND(COUNTIFS($J$18:J1318,J1318)=1,AE1318=1),1,"")</f>
        <v/>
      </c>
      <c r="AG1318" s="26" t="str">
        <f>IF(C1318="","",IF(AND(COUNTIFS($J$18:J1318,J1318)=1,C1318&lt;&gt;""),1,""))</f>
        <v/>
      </c>
      <c r="AH1318" s="26" t="str">
        <f>IF(G1318="","",IF(AND(COUNTIFS($J$18:J1318,J1318)=1,G1318&lt;&gt;""),1,""))</f>
        <v/>
      </c>
      <c r="AI1318" s="27">
        <f t="shared" si="396"/>
        <v>27308925.887079656</v>
      </c>
      <c r="AJ1318" s="27">
        <f t="shared" si="397"/>
        <v>3319273.860338124</v>
      </c>
      <c r="AK1318" s="28">
        <f t="shared" si="406"/>
        <v>0.12154538314919709</v>
      </c>
      <c r="AL1318" s="24"/>
      <c r="AM1318" s="24"/>
      <c r="AN1318" s="24"/>
      <c r="AO1318" s="24"/>
      <c r="AP1318" s="28" t="str">
        <f t="shared" si="407"/>
        <v>20246</v>
      </c>
      <c r="AQ1318" s="28" t="str">
        <f t="shared" si="408"/>
        <v>20246JPY</v>
      </c>
      <c r="AR1318" s="206" t="str">
        <f t="shared" si="409"/>
        <v>YAMAHA_Mounter</v>
      </c>
      <c r="AS1318" s="22">
        <f t="shared" si="410"/>
        <v>3</v>
      </c>
      <c r="AT1318" s="24" t="str">
        <f t="shared" si="411"/>
        <v>0-3 months</v>
      </c>
    </row>
    <row r="1319" spans="1:46" s="12" customFormat="1">
      <c r="A1319" s="33" t="str">
        <f t="shared" si="399"/>
        <v>FY 20/21</v>
      </c>
      <c r="B1319" s="152">
        <v>2020</v>
      </c>
      <c r="C1319" s="152">
        <v>12</v>
      </c>
      <c r="D1319" s="33" t="str">
        <f t="shared" si="400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401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402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395"/>
        <v>1090000</v>
      </c>
      <c r="AA1319" s="13">
        <v>1.2</v>
      </c>
      <c r="AB1319" s="21">
        <f t="shared" si="403"/>
        <v>1157522.1238938053</v>
      </c>
      <c r="AC1319" s="130">
        <f t="shared" si="404"/>
        <v>120382.30088495575</v>
      </c>
      <c r="AD1319" s="169">
        <v>0.104</v>
      </c>
      <c r="AE1319" s="154">
        <f t="shared" si="405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6"/>
        <v>57778307.282035396</v>
      </c>
      <c r="AJ1319" s="19">
        <f t="shared" si="397"/>
        <v>7259860.7225420559</v>
      </c>
      <c r="AK1319" s="20">
        <f t="shared" si="406"/>
        <v>0.12565028406083667</v>
      </c>
      <c r="AL1319" s="17"/>
      <c r="AM1319" s="17"/>
      <c r="AN1319" s="17"/>
      <c r="AO1319" s="17"/>
      <c r="AP1319" s="28" t="str">
        <f t="shared" si="407"/>
        <v>20213</v>
      </c>
      <c r="AQ1319" s="28" t="str">
        <f t="shared" si="408"/>
        <v>20213RMB</v>
      </c>
      <c r="AR1319" s="206" t="str">
        <f t="shared" si="409"/>
        <v>YAMAHA_Mounter</v>
      </c>
      <c r="AS1319" s="22">
        <f t="shared" si="410"/>
        <v>3</v>
      </c>
      <c r="AT1319" s="24" t="str">
        <f t="shared" si="411"/>
        <v>0-3 months</v>
      </c>
    </row>
    <row r="1320" spans="1:46" s="12" customFormat="1">
      <c r="A1320" s="33" t="str">
        <f t="shared" si="399"/>
        <v>FY 20/21</v>
      </c>
      <c r="B1320" s="152">
        <v>2020</v>
      </c>
      <c r="C1320" s="152">
        <v>12</v>
      </c>
      <c r="D1320" s="33" t="str">
        <f t="shared" si="400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401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402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395"/>
        <v>780000</v>
      </c>
      <c r="AA1320" s="13">
        <v>1.2</v>
      </c>
      <c r="AB1320" s="21">
        <f t="shared" si="403"/>
        <v>828318.5840707965</v>
      </c>
      <c r="AC1320" s="130">
        <f t="shared" si="404"/>
        <v>86145.132743362832</v>
      </c>
      <c r="AD1320" s="169">
        <v>0.104</v>
      </c>
      <c r="AE1320" s="154">
        <f t="shared" si="405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6"/>
        <v>57778307.282035396</v>
      </c>
      <c r="AJ1320" s="19">
        <f t="shared" si="397"/>
        <v>7259860.7225420559</v>
      </c>
      <c r="AK1320" s="20">
        <f t="shared" si="406"/>
        <v>0.12565028406083667</v>
      </c>
      <c r="AL1320" s="17"/>
      <c r="AM1320" s="17"/>
      <c r="AN1320" s="17"/>
      <c r="AO1320" s="17"/>
      <c r="AP1320" s="28" t="str">
        <f t="shared" si="407"/>
        <v>20213</v>
      </c>
      <c r="AQ1320" s="28" t="str">
        <f t="shared" si="408"/>
        <v>20213RMB</v>
      </c>
      <c r="AR1320" s="206" t="str">
        <f t="shared" si="409"/>
        <v>YAMAHA_Mounter</v>
      </c>
      <c r="AS1320" s="22">
        <f t="shared" si="410"/>
        <v>3</v>
      </c>
      <c r="AT1320" s="24" t="str">
        <f t="shared" si="411"/>
        <v>0-3 months</v>
      </c>
    </row>
    <row r="1321" spans="1:46" s="12" customFormat="1">
      <c r="A1321" s="33" t="str">
        <f t="shared" si="399"/>
        <v>FY 20/21</v>
      </c>
      <c r="B1321" s="152">
        <v>2020</v>
      </c>
      <c r="C1321" s="152">
        <v>12</v>
      </c>
      <c r="D1321" s="33" t="str">
        <f t="shared" si="400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401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402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395"/>
        <v>780000</v>
      </c>
      <c r="AA1321" s="13">
        <v>1.2</v>
      </c>
      <c r="AB1321" s="21">
        <f t="shared" si="403"/>
        <v>828318.5840707965</v>
      </c>
      <c r="AC1321" s="130">
        <f t="shared" si="404"/>
        <v>86145.132743362832</v>
      </c>
      <c r="AD1321" s="169">
        <v>0.104</v>
      </c>
      <c r="AE1321" s="154">
        <f t="shared" si="405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6"/>
        <v>57778307.282035396</v>
      </c>
      <c r="AJ1321" s="19">
        <f t="shared" si="397"/>
        <v>7259860.7225420559</v>
      </c>
      <c r="AK1321" s="20">
        <f t="shared" si="406"/>
        <v>0.12565028406083667</v>
      </c>
      <c r="AL1321" s="17"/>
      <c r="AM1321" s="17"/>
      <c r="AN1321" s="17"/>
      <c r="AO1321" s="17"/>
      <c r="AP1321" s="28" t="str">
        <f t="shared" si="407"/>
        <v>20213</v>
      </c>
      <c r="AQ1321" s="28" t="str">
        <f t="shared" si="408"/>
        <v>20213RMB</v>
      </c>
      <c r="AR1321" s="206" t="str">
        <f t="shared" si="409"/>
        <v>YAMAHA_Mounter</v>
      </c>
      <c r="AS1321" s="22">
        <f t="shared" si="410"/>
        <v>3</v>
      </c>
      <c r="AT1321" s="24" t="str">
        <f t="shared" si="411"/>
        <v>0-3 months</v>
      </c>
    </row>
    <row r="1322" spans="1:46" s="12" customFormat="1">
      <c r="A1322" s="33" t="str">
        <f t="shared" si="399"/>
        <v>FY 23/24</v>
      </c>
      <c r="B1322" s="23">
        <v>2024</v>
      </c>
      <c r="C1322" s="152">
        <v>3</v>
      </c>
      <c r="D1322" s="33" t="str">
        <f t="shared" si="400"/>
        <v>Q4</v>
      </c>
      <c r="E1322" s="33" t="str">
        <f>IF(G1322="Cancel","Cancel",IF(G1322="TBA","TBA",IFERROR(IF(I1322="Q4","FY "&amp;RIGHT(F1322,2)-1&amp;"/"&amp;RIGHT(F1322,2),"FY "&amp;RIGHT(F1322,2)&amp;"/"&amp;RIGHT(F1322,2)+1),"")))</f>
        <v>FY 24/25</v>
      </c>
      <c r="F1322" s="23">
        <v>2024</v>
      </c>
      <c r="G1322" s="23">
        <v>6</v>
      </c>
      <c r="H1322" s="29"/>
      <c r="I1322" s="33" t="str">
        <f t="shared" si="401"/>
        <v>Q1</v>
      </c>
      <c r="J1322" s="188" t="s">
        <v>3341</v>
      </c>
      <c r="K1322" s="29" t="s">
        <v>3342</v>
      </c>
      <c r="L1322" s="17" t="s">
        <v>93</v>
      </c>
      <c r="M1322" s="22" t="s">
        <v>61</v>
      </c>
      <c r="N1322" s="22">
        <v>1</v>
      </c>
      <c r="O1322" s="22"/>
      <c r="P1322" s="33" t="str">
        <f t="shared" si="402"/>
        <v>MAIN UNIT</v>
      </c>
      <c r="Q1322" s="13" t="s">
        <v>62</v>
      </c>
      <c r="R1322" s="22" t="s">
        <v>63</v>
      </c>
      <c r="S1322" s="22" t="s">
        <v>50</v>
      </c>
      <c r="T1322" s="22" t="s">
        <v>79</v>
      </c>
      <c r="U1322" s="22" t="s">
        <v>79</v>
      </c>
      <c r="V1322" s="22" t="s">
        <v>113</v>
      </c>
      <c r="W1322" s="22" t="s">
        <v>110</v>
      </c>
      <c r="X1322" s="30">
        <v>11000000</v>
      </c>
      <c r="Y1322" s="31" t="str">
        <f>IF(W1322="","",IF(W1322="RMB","1.13", "1"))</f>
        <v>1</v>
      </c>
      <c r="Z1322" s="18">
        <f t="shared" si="395"/>
        <v>11000000</v>
      </c>
      <c r="AA1322" s="13">
        <v>5.0999999999999997E-2</v>
      </c>
      <c r="AB1322" s="21">
        <f t="shared" si="403"/>
        <v>561000</v>
      </c>
      <c r="AC1322" s="25">
        <f t="shared" si="404"/>
        <v>40392</v>
      </c>
      <c r="AD1322" s="170">
        <v>7.1999999999999995E-2</v>
      </c>
      <c r="AE1322" s="26">
        <f t="shared" si="405"/>
        <v>0</v>
      </c>
      <c r="AF1322" s="26" t="str">
        <f>IF(AND(COUNTIFS($J$18:J1322,J1322)=1,AE1322=1),1,"")</f>
        <v/>
      </c>
      <c r="AG1322" s="26" t="str">
        <f>IF(C1322="","",IF(AND(COUNTIFS($J$18:J1322,J1322)=1,C1322&lt;&gt;""),1,""))</f>
        <v/>
      </c>
      <c r="AH1322" s="26" t="str">
        <f>IF(G1322="","",IF(AND(COUNTIFS($J$18:J1322,J1322)=1,G1322&lt;&gt;""),1,""))</f>
        <v/>
      </c>
      <c r="AI1322" s="27">
        <f t="shared" si="396"/>
        <v>27308925.887079656</v>
      </c>
      <c r="AJ1322" s="27">
        <f t="shared" si="397"/>
        <v>3319273.860338124</v>
      </c>
      <c r="AK1322" s="28">
        <f t="shared" si="406"/>
        <v>0.12154538314919709</v>
      </c>
      <c r="AL1322" s="24"/>
      <c r="AM1322" s="24"/>
      <c r="AN1322" s="24"/>
      <c r="AO1322" s="24"/>
      <c r="AP1322" s="28" t="str">
        <f t="shared" si="407"/>
        <v>20246</v>
      </c>
      <c r="AQ1322" s="28" t="str">
        <f t="shared" si="408"/>
        <v>20246JPY</v>
      </c>
      <c r="AR1322" s="206" t="str">
        <f t="shared" si="409"/>
        <v>YAMAHA_Mounter</v>
      </c>
      <c r="AS1322" s="22">
        <f t="shared" si="410"/>
        <v>3</v>
      </c>
      <c r="AT1322" s="24" t="str">
        <f t="shared" si="411"/>
        <v>0-3 months</v>
      </c>
    </row>
    <row r="1323" spans="1:46" s="12" customFormat="1">
      <c r="A1323" s="33" t="str">
        <f t="shared" si="399"/>
        <v>FY 20/21</v>
      </c>
      <c r="B1323" s="152">
        <v>2021</v>
      </c>
      <c r="C1323" s="152">
        <v>3</v>
      </c>
      <c r="D1323" s="33" t="str">
        <f t="shared" si="400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401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402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12">IF(W1323="RMB","1.13", "1")</f>
        <v>1</v>
      </c>
      <c r="Z1323" s="18">
        <f t="shared" si="395"/>
        <v>11800000</v>
      </c>
      <c r="AA1323" s="13">
        <v>7.0999999999999994E-2</v>
      </c>
      <c r="AB1323" s="21">
        <f t="shared" si="403"/>
        <v>837799.99999999988</v>
      </c>
      <c r="AC1323" s="130">
        <f t="shared" si="404"/>
        <v>99111.739999999991</v>
      </c>
      <c r="AD1323" s="169">
        <v>0.1183</v>
      </c>
      <c r="AE1323" s="154">
        <f t="shared" si="405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6"/>
        <v>15533177.71460177</v>
      </c>
      <c r="AJ1323" s="19">
        <f t="shared" si="397"/>
        <v>1819298.5437526547</v>
      </c>
      <c r="AK1323" s="20">
        <f t="shared" si="406"/>
        <v>0.11712339723265033</v>
      </c>
      <c r="AL1323" s="17"/>
      <c r="AM1323" s="17"/>
      <c r="AN1323" s="17"/>
      <c r="AO1323" s="17"/>
      <c r="AP1323" s="28" t="str">
        <f t="shared" si="407"/>
        <v>202110</v>
      </c>
      <c r="AQ1323" s="28" t="str">
        <f t="shared" si="408"/>
        <v>202110JPY</v>
      </c>
      <c r="AR1323" s="206" t="str">
        <f t="shared" si="409"/>
        <v>YAMAHA_Mounter</v>
      </c>
      <c r="AS1323" s="22">
        <f t="shared" si="410"/>
        <v>7</v>
      </c>
      <c r="AT1323" s="24" t="str">
        <f t="shared" si="411"/>
        <v>&gt; 6 months</v>
      </c>
    </row>
    <row r="1324" spans="1:46" s="12" customFormat="1">
      <c r="A1324" s="33" t="str">
        <f t="shared" si="399"/>
        <v>FY 21/22</v>
      </c>
      <c r="B1324" s="152">
        <v>2022</v>
      </c>
      <c r="C1324" s="152">
        <v>3</v>
      </c>
      <c r="D1324" s="33" t="str">
        <f t="shared" si="400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401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402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12"/>
        <v>1</v>
      </c>
      <c r="Z1324" s="18">
        <f t="shared" si="395"/>
        <v>13000000</v>
      </c>
      <c r="AA1324" s="13">
        <v>5.8700000000000002E-2</v>
      </c>
      <c r="AB1324" s="21">
        <f t="shared" si="403"/>
        <v>763100</v>
      </c>
      <c r="AC1324" s="130">
        <f t="shared" si="404"/>
        <v>105613.04</v>
      </c>
      <c r="AD1324" s="169">
        <v>0.1384</v>
      </c>
      <c r="AE1324" s="154">
        <f t="shared" si="405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6"/>
        <v>36480247.665929198</v>
      </c>
      <c r="AJ1324" s="19">
        <f t="shared" si="397"/>
        <v>5330996.6372757526</v>
      </c>
      <c r="AK1324" s="20">
        <f t="shared" si="406"/>
        <v>0.14613378412599562</v>
      </c>
      <c r="AL1324" s="17"/>
      <c r="AM1324" s="17"/>
      <c r="AN1324" s="17"/>
      <c r="AO1324" s="17"/>
      <c r="AP1324" s="28" t="str">
        <f t="shared" si="407"/>
        <v>20227</v>
      </c>
      <c r="AQ1324" s="28" t="str">
        <f t="shared" si="408"/>
        <v>20227JPY</v>
      </c>
      <c r="AR1324" s="206" t="str">
        <f t="shared" si="409"/>
        <v>YAMAHA_Mounter</v>
      </c>
      <c r="AS1324" s="22">
        <f t="shared" si="410"/>
        <v>4</v>
      </c>
      <c r="AT1324" s="24" t="str">
        <f t="shared" si="411"/>
        <v>4-6 months</v>
      </c>
    </row>
    <row r="1325" spans="1:46" s="12" customFormat="1">
      <c r="A1325" s="33" t="str">
        <f t="shared" si="399"/>
        <v>FY 21/22</v>
      </c>
      <c r="B1325" s="152">
        <v>2022</v>
      </c>
      <c r="C1325" s="152">
        <v>3</v>
      </c>
      <c r="D1325" s="33" t="str">
        <f t="shared" si="400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401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402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12"/>
        <v>1</v>
      </c>
      <c r="Z1325" s="18">
        <f t="shared" si="395"/>
        <v>13000000</v>
      </c>
      <c r="AA1325" s="13">
        <v>5.8700000000000002E-2</v>
      </c>
      <c r="AB1325" s="21">
        <f t="shared" si="403"/>
        <v>763100</v>
      </c>
      <c r="AC1325" s="130">
        <f t="shared" si="404"/>
        <v>105613.04</v>
      </c>
      <c r="AD1325" s="169">
        <v>0.1384</v>
      </c>
      <c r="AE1325" s="154">
        <f t="shared" si="405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6"/>
        <v>36480247.665929198</v>
      </c>
      <c r="AJ1325" s="19">
        <f t="shared" si="397"/>
        <v>5330996.6372757526</v>
      </c>
      <c r="AK1325" s="20">
        <f t="shared" si="406"/>
        <v>0.14613378412599562</v>
      </c>
      <c r="AL1325" s="17"/>
      <c r="AM1325" s="17"/>
      <c r="AN1325" s="17"/>
      <c r="AO1325" s="17"/>
      <c r="AP1325" s="28" t="str">
        <f t="shared" si="407"/>
        <v>20227</v>
      </c>
      <c r="AQ1325" s="28" t="str">
        <f t="shared" si="408"/>
        <v>20227JPY</v>
      </c>
      <c r="AR1325" s="206" t="str">
        <f t="shared" si="409"/>
        <v>YAMAHA_Mounter</v>
      </c>
      <c r="AS1325" s="22">
        <f t="shared" si="410"/>
        <v>4</v>
      </c>
      <c r="AT1325" s="24" t="str">
        <f t="shared" si="411"/>
        <v>4-6 months</v>
      </c>
    </row>
    <row r="1326" spans="1:46" s="12" customFormat="1">
      <c r="A1326" s="33" t="str">
        <f t="shared" si="399"/>
        <v>FY 21/22</v>
      </c>
      <c r="B1326" s="152">
        <v>2022</v>
      </c>
      <c r="C1326" s="152">
        <v>3</v>
      </c>
      <c r="D1326" s="33" t="str">
        <f t="shared" si="400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401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402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12"/>
        <v>1</v>
      </c>
      <c r="Z1326" s="18">
        <f t="shared" si="395"/>
        <v>13000000</v>
      </c>
      <c r="AA1326" s="13">
        <v>5.8700000000000002E-2</v>
      </c>
      <c r="AB1326" s="21">
        <f t="shared" si="403"/>
        <v>763100</v>
      </c>
      <c r="AC1326" s="130">
        <f t="shared" si="404"/>
        <v>105613.04</v>
      </c>
      <c r="AD1326" s="169">
        <v>0.1384</v>
      </c>
      <c r="AE1326" s="154">
        <f t="shared" si="405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6"/>
        <v>36480247.665929198</v>
      </c>
      <c r="AJ1326" s="19">
        <f t="shared" si="397"/>
        <v>5330996.6372757526</v>
      </c>
      <c r="AK1326" s="20">
        <f t="shared" si="406"/>
        <v>0.14613378412599562</v>
      </c>
      <c r="AL1326" s="17"/>
      <c r="AM1326" s="17"/>
      <c r="AN1326" s="17"/>
      <c r="AO1326" s="17"/>
      <c r="AP1326" s="28" t="str">
        <f t="shared" si="407"/>
        <v>20227</v>
      </c>
      <c r="AQ1326" s="28" t="str">
        <f t="shared" si="408"/>
        <v>20227JPY</v>
      </c>
      <c r="AR1326" s="206" t="str">
        <f t="shared" si="409"/>
        <v>YAMAHA_Mounter</v>
      </c>
      <c r="AS1326" s="22">
        <f t="shared" si="410"/>
        <v>4</v>
      </c>
      <c r="AT1326" s="24" t="str">
        <f t="shared" si="411"/>
        <v>4-6 months</v>
      </c>
    </row>
    <row r="1327" spans="1:46" s="12" customFormat="1">
      <c r="A1327" s="33" t="str">
        <f t="shared" si="399"/>
        <v>FY 21/22</v>
      </c>
      <c r="B1327" s="152">
        <v>2022</v>
      </c>
      <c r="C1327" s="152">
        <v>3</v>
      </c>
      <c r="D1327" s="33" t="str">
        <f t="shared" si="400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401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402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12"/>
        <v>1</v>
      </c>
      <c r="Z1327" s="18">
        <f t="shared" si="395"/>
        <v>13000000</v>
      </c>
      <c r="AA1327" s="13">
        <v>5.8700000000000002E-2</v>
      </c>
      <c r="AB1327" s="21">
        <f t="shared" si="403"/>
        <v>763100</v>
      </c>
      <c r="AC1327" s="130">
        <f t="shared" si="404"/>
        <v>105613.04</v>
      </c>
      <c r="AD1327" s="169">
        <v>0.1384</v>
      </c>
      <c r="AE1327" s="154">
        <f t="shared" si="405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6"/>
        <v>36480247.665929198</v>
      </c>
      <c r="AJ1327" s="19">
        <f t="shared" si="397"/>
        <v>5330996.6372757526</v>
      </c>
      <c r="AK1327" s="20">
        <f t="shared" si="406"/>
        <v>0.14613378412599562</v>
      </c>
      <c r="AL1327" s="17"/>
      <c r="AM1327" s="17"/>
      <c r="AN1327" s="17"/>
      <c r="AO1327" s="17"/>
      <c r="AP1327" s="28" t="str">
        <f t="shared" si="407"/>
        <v>20227</v>
      </c>
      <c r="AQ1327" s="28" t="str">
        <f t="shared" si="408"/>
        <v>20227JPY</v>
      </c>
      <c r="AR1327" s="206" t="str">
        <f t="shared" si="409"/>
        <v>YAMAHA_Mounter</v>
      </c>
      <c r="AS1327" s="22">
        <f t="shared" si="410"/>
        <v>4</v>
      </c>
      <c r="AT1327" s="24" t="str">
        <f t="shared" si="411"/>
        <v>4-6 months</v>
      </c>
    </row>
    <row r="1328" spans="1:46" s="12" customFormat="1">
      <c r="A1328" s="33" t="str">
        <f t="shared" si="399"/>
        <v>FY 21/22</v>
      </c>
      <c r="B1328" s="152">
        <v>2022</v>
      </c>
      <c r="C1328" s="152">
        <v>3</v>
      </c>
      <c r="D1328" s="33" t="str">
        <f t="shared" si="400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401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402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12"/>
        <v>1</v>
      </c>
      <c r="Z1328" s="18">
        <f t="shared" si="395"/>
        <v>13000000</v>
      </c>
      <c r="AA1328" s="13">
        <v>5.8700000000000002E-2</v>
      </c>
      <c r="AB1328" s="21">
        <f t="shared" si="403"/>
        <v>763100</v>
      </c>
      <c r="AC1328" s="130">
        <f t="shared" si="404"/>
        <v>105613.04</v>
      </c>
      <c r="AD1328" s="169">
        <v>0.1384</v>
      </c>
      <c r="AE1328" s="154">
        <f t="shared" si="405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6"/>
        <v>36480247.665929198</v>
      </c>
      <c r="AJ1328" s="19">
        <f t="shared" si="397"/>
        <v>5330996.6372757526</v>
      </c>
      <c r="AK1328" s="20">
        <f t="shared" si="406"/>
        <v>0.14613378412599562</v>
      </c>
      <c r="AL1328" s="17"/>
      <c r="AM1328" s="17"/>
      <c r="AN1328" s="17"/>
      <c r="AO1328" s="17"/>
      <c r="AP1328" s="28" t="str">
        <f t="shared" si="407"/>
        <v>20227</v>
      </c>
      <c r="AQ1328" s="28" t="str">
        <f t="shared" si="408"/>
        <v>20227JPY</v>
      </c>
      <c r="AR1328" s="206" t="str">
        <f t="shared" si="409"/>
        <v>YAMAHA_Mounter</v>
      </c>
      <c r="AS1328" s="22">
        <f t="shared" si="410"/>
        <v>4</v>
      </c>
      <c r="AT1328" s="24" t="str">
        <f t="shared" si="411"/>
        <v>4-6 months</v>
      </c>
    </row>
    <row r="1329" spans="1:46" s="12" customFormat="1">
      <c r="A1329" s="33" t="str">
        <f t="shared" si="399"/>
        <v>FY 21/22</v>
      </c>
      <c r="B1329" s="152">
        <v>2022</v>
      </c>
      <c r="C1329" s="152">
        <v>3</v>
      </c>
      <c r="D1329" s="33" t="str">
        <f t="shared" si="400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401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402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12"/>
        <v>1</v>
      </c>
      <c r="Z1329" s="18">
        <f t="shared" si="395"/>
        <v>8000000</v>
      </c>
      <c r="AA1329" s="13">
        <v>5.8700000000000002E-2</v>
      </c>
      <c r="AB1329" s="21">
        <f t="shared" si="403"/>
        <v>469600</v>
      </c>
      <c r="AC1329" s="130">
        <f t="shared" si="404"/>
        <v>64992.639999999999</v>
      </c>
      <c r="AD1329" s="169">
        <v>0.1384</v>
      </c>
      <c r="AE1329" s="154">
        <f t="shared" si="405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6"/>
        <v>36480247.665929198</v>
      </c>
      <c r="AJ1329" s="19">
        <f t="shared" si="397"/>
        <v>5330996.6372757526</v>
      </c>
      <c r="AK1329" s="20">
        <f t="shared" si="406"/>
        <v>0.14613378412599562</v>
      </c>
      <c r="AL1329" s="17"/>
      <c r="AM1329" s="17"/>
      <c r="AN1329" s="17"/>
      <c r="AO1329" s="17"/>
      <c r="AP1329" s="28" t="str">
        <f t="shared" si="407"/>
        <v>20227</v>
      </c>
      <c r="AQ1329" s="28" t="str">
        <f t="shared" si="408"/>
        <v>20227JPY</v>
      </c>
      <c r="AR1329" s="206" t="str">
        <f t="shared" si="409"/>
        <v>YAMAHA_Mounter</v>
      </c>
      <c r="AS1329" s="22">
        <f t="shared" si="410"/>
        <v>4</v>
      </c>
      <c r="AT1329" s="24" t="str">
        <f t="shared" si="411"/>
        <v>4-6 months</v>
      </c>
    </row>
    <row r="1330" spans="1:46" s="12" customFormat="1">
      <c r="A1330" s="33" t="str">
        <f t="shared" si="399"/>
        <v>FY 21/22</v>
      </c>
      <c r="B1330" s="152">
        <v>2022</v>
      </c>
      <c r="C1330" s="152">
        <v>3</v>
      </c>
      <c r="D1330" s="33" t="str">
        <f t="shared" si="400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401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402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12"/>
        <v>1</v>
      </c>
      <c r="Z1330" s="18">
        <f t="shared" si="395"/>
        <v>8000000</v>
      </c>
      <c r="AA1330" s="13">
        <v>5.8700000000000002E-2</v>
      </c>
      <c r="AB1330" s="21">
        <f t="shared" si="403"/>
        <v>469600</v>
      </c>
      <c r="AC1330" s="130">
        <f t="shared" si="404"/>
        <v>64992.639999999999</v>
      </c>
      <c r="AD1330" s="169">
        <v>0.1384</v>
      </c>
      <c r="AE1330" s="154">
        <f t="shared" si="405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6"/>
        <v>36480247.665929198</v>
      </c>
      <c r="AJ1330" s="19">
        <f t="shared" si="397"/>
        <v>5330996.6372757526</v>
      </c>
      <c r="AK1330" s="20">
        <f t="shared" si="406"/>
        <v>0.14613378412599562</v>
      </c>
      <c r="AL1330" s="17"/>
      <c r="AM1330" s="17"/>
      <c r="AN1330" s="17"/>
      <c r="AO1330" s="17"/>
      <c r="AP1330" s="28" t="str">
        <f t="shared" si="407"/>
        <v>20227</v>
      </c>
      <c r="AQ1330" s="28" t="str">
        <f t="shared" si="408"/>
        <v>20227JPY</v>
      </c>
      <c r="AR1330" s="206" t="str">
        <f t="shared" si="409"/>
        <v>YAMAHA_Mounter</v>
      </c>
      <c r="AS1330" s="22">
        <f t="shared" si="410"/>
        <v>4</v>
      </c>
      <c r="AT1330" s="24" t="str">
        <f t="shared" si="411"/>
        <v>4-6 months</v>
      </c>
    </row>
    <row r="1331" spans="1:46" s="12" customFormat="1">
      <c r="A1331" s="33" t="str">
        <f t="shared" si="399"/>
        <v>FY 21/22</v>
      </c>
      <c r="B1331" s="152">
        <v>2022</v>
      </c>
      <c r="C1331" s="152">
        <v>3</v>
      </c>
      <c r="D1331" s="33" t="str">
        <f t="shared" si="400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401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402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12"/>
        <v>1</v>
      </c>
      <c r="Z1331" s="18">
        <f t="shared" si="395"/>
        <v>8000000</v>
      </c>
      <c r="AA1331" s="13">
        <v>5.8700000000000002E-2</v>
      </c>
      <c r="AB1331" s="21">
        <f t="shared" si="403"/>
        <v>469600</v>
      </c>
      <c r="AC1331" s="130">
        <f t="shared" si="404"/>
        <v>64992.639999999999</v>
      </c>
      <c r="AD1331" s="169">
        <v>0.1384</v>
      </c>
      <c r="AE1331" s="154">
        <f t="shared" si="405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6"/>
        <v>36480247.665929198</v>
      </c>
      <c r="AJ1331" s="19">
        <f t="shared" si="397"/>
        <v>5330996.6372757526</v>
      </c>
      <c r="AK1331" s="20">
        <f t="shared" si="406"/>
        <v>0.14613378412599562</v>
      </c>
      <c r="AL1331" s="17"/>
      <c r="AM1331" s="17"/>
      <c r="AN1331" s="17"/>
      <c r="AO1331" s="17"/>
      <c r="AP1331" s="28" t="str">
        <f t="shared" si="407"/>
        <v>20227</v>
      </c>
      <c r="AQ1331" s="28" t="str">
        <f t="shared" si="408"/>
        <v>20227JPY</v>
      </c>
      <c r="AR1331" s="206" t="str">
        <f t="shared" si="409"/>
        <v>YAMAHA_Mounter</v>
      </c>
      <c r="AS1331" s="22">
        <f t="shared" si="410"/>
        <v>4</v>
      </c>
      <c r="AT1331" s="24" t="str">
        <f t="shared" si="411"/>
        <v>4-6 months</v>
      </c>
    </row>
    <row r="1332" spans="1:46" s="12" customFormat="1">
      <c r="A1332" s="33" t="str">
        <f t="shared" si="399"/>
        <v>FY 21/22</v>
      </c>
      <c r="B1332" s="152">
        <v>2022</v>
      </c>
      <c r="C1332" s="152">
        <v>3</v>
      </c>
      <c r="D1332" s="33" t="str">
        <f t="shared" si="400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401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402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12"/>
        <v>1</v>
      </c>
      <c r="Z1332" s="18">
        <f t="shared" si="395"/>
        <v>8000000</v>
      </c>
      <c r="AA1332" s="13">
        <v>5.8700000000000002E-2</v>
      </c>
      <c r="AB1332" s="21">
        <f t="shared" si="403"/>
        <v>469600</v>
      </c>
      <c r="AC1332" s="130">
        <f t="shared" si="404"/>
        <v>64992.639999999999</v>
      </c>
      <c r="AD1332" s="169">
        <v>0.1384</v>
      </c>
      <c r="AE1332" s="154">
        <f t="shared" si="405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6"/>
        <v>36480247.665929198</v>
      </c>
      <c r="AJ1332" s="19">
        <f t="shared" si="397"/>
        <v>5330996.6372757526</v>
      </c>
      <c r="AK1332" s="20">
        <f t="shared" si="406"/>
        <v>0.14613378412599562</v>
      </c>
      <c r="AL1332" s="17"/>
      <c r="AM1332" s="17"/>
      <c r="AN1332" s="17"/>
      <c r="AO1332" s="17"/>
      <c r="AP1332" s="28" t="str">
        <f t="shared" si="407"/>
        <v>20227</v>
      </c>
      <c r="AQ1332" s="28" t="str">
        <f t="shared" si="408"/>
        <v>20227JPY</v>
      </c>
      <c r="AR1332" s="206" t="str">
        <f t="shared" si="409"/>
        <v>YAMAHA_Mounter</v>
      </c>
      <c r="AS1332" s="22">
        <f t="shared" si="410"/>
        <v>4</v>
      </c>
      <c r="AT1332" s="24" t="str">
        <f t="shared" si="411"/>
        <v>4-6 months</v>
      </c>
    </row>
    <row r="1333" spans="1:46" s="12" customFormat="1">
      <c r="A1333" s="33" t="str">
        <f t="shared" si="399"/>
        <v>FY 18/19</v>
      </c>
      <c r="B1333" s="152">
        <v>2018</v>
      </c>
      <c r="C1333" s="152">
        <v>8</v>
      </c>
      <c r="D1333" s="33" t="str">
        <f t="shared" si="400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401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402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395"/>
        <v>27923924</v>
      </c>
      <c r="AA1333" s="13">
        <v>7.2099999999999997E-2</v>
      </c>
      <c r="AB1333" s="21">
        <f t="shared" si="403"/>
        <v>2013314.9203999999</v>
      </c>
      <c r="AC1333" s="130">
        <f t="shared" si="404"/>
        <v>241597.79044799999</v>
      </c>
      <c r="AD1333" s="169">
        <v>0.12</v>
      </c>
      <c r="AE1333" s="154">
        <f t="shared" si="405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6"/>
        <v>477651199.57437885</v>
      </c>
      <c r="AJ1333" s="19">
        <f t="shared" si="397"/>
        <v>56918800.518691957</v>
      </c>
      <c r="AK1333" s="20">
        <f t="shared" si="406"/>
        <v>0.11916394341605475</v>
      </c>
      <c r="AL1333" s="17"/>
      <c r="AM1333" s="17"/>
      <c r="AN1333" s="17">
        <v>0</v>
      </c>
      <c r="AO1333" s="17"/>
      <c r="AP1333" s="28" t="str">
        <f t="shared" si="407"/>
        <v>CancelCancel</v>
      </c>
      <c r="AQ1333" s="28" t="str">
        <f t="shared" si="408"/>
        <v>CancelCancelJPY</v>
      </c>
      <c r="AR1333" s="206" t="str">
        <f t="shared" si="409"/>
        <v>YAMAHA_Mounter</v>
      </c>
      <c r="AS1333" s="22" t="str">
        <f t="shared" si="410"/>
        <v/>
      </c>
      <c r="AT1333" s="24" t="str">
        <f t="shared" si="411"/>
        <v/>
      </c>
    </row>
    <row r="1334" spans="1:46" s="12" customFormat="1">
      <c r="A1334" s="33" t="str">
        <f t="shared" si="399"/>
        <v>FY 18/19</v>
      </c>
      <c r="B1334" s="152">
        <v>2018</v>
      </c>
      <c r="C1334" s="152">
        <v>7</v>
      </c>
      <c r="D1334" s="33" t="str">
        <f t="shared" si="400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401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402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395"/>
        <v>27923924</v>
      </c>
      <c r="AA1334" s="13">
        <v>7.2099999999999997E-2</v>
      </c>
      <c r="AB1334" s="21">
        <f t="shared" si="403"/>
        <v>2013314.9203999999</v>
      </c>
      <c r="AC1334" s="130">
        <f t="shared" si="404"/>
        <v>241597.79044799999</v>
      </c>
      <c r="AD1334" s="169">
        <v>0.12</v>
      </c>
      <c r="AE1334" s="154">
        <f t="shared" si="405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6"/>
        <v>477651199.57437885</v>
      </c>
      <c r="AJ1334" s="19">
        <f t="shared" si="397"/>
        <v>56918800.518691957</v>
      </c>
      <c r="AK1334" s="20">
        <f t="shared" si="406"/>
        <v>0.11916394341605475</v>
      </c>
      <c r="AL1334" s="17"/>
      <c r="AM1334" s="17"/>
      <c r="AN1334" s="17"/>
      <c r="AO1334" s="17"/>
      <c r="AP1334" s="28" t="str">
        <f t="shared" si="407"/>
        <v>CancelCancel</v>
      </c>
      <c r="AQ1334" s="28" t="str">
        <f t="shared" si="408"/>
        <v>CancelCancelJPY</v>
      </c>
      <c r="AR1334" s="206" t="str">
        <f t="shared" si="409"/>
        <v>YAMAHA_Mounter</v>
      </c>
      <c r="AS1334" s="22" t="str">
        <f t="shared" si="410"/>
        <v/>
      </c>
      <c r="AT1334" s="24" t="str">
        <f t="shared" si="411"/>
        <v/>
      </c>
    </row>
    <row r="1335" spans="1:46" s="12" customFormat="1">
      <c r="A1335" s="33" t="str">
        <f t="shared" si="399"/>
        <v>FY 20/21</v>
      </c>
      <c r="B1335" s="152">
        <v>2020</v>
      </c>
      <c r="C1335" s="152">
        <v>12</v>
      </c>
      <c r="D1335" s="33" t="str">
        <f t="shared" si="400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401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402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13">IF(W1335="RMB","1.13", "1")</f>
        <v>1.13</v>
      </c>
      <c r="Z1335" s="18">
        <f t="shared" si="395"/>
        <v>1513500</v>
      </c>
      <c r="AA1335" s="13">
        <v>1.2</v>
      </c>
      <c r="AB1335" s="21">
        <f t="shared" si="403"/>
        <v>1607256.6371681418</v>
      </c>
      <c r="AC1335" s="130">
        <f t="shared" si="404"/>
        <v>272590.72566371685</v>
      </c>
      <c r="AD1335" s="169">
        <v>0.1696</v>
      </c>
      <c r="AE1335" s="154">
        <f t="shared" si="405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6"/>
        <v>31097187.02948761</v>
      </c>
      <c r="AJ1335" s="19">
        <f t="shared" si="397"/>
        <v>3892353.6644401965</v>
      </c>
      <c r="AK1335" s="20">
        <f t="shared" si="406"/>
        <v>0.12516738767237401</v>
      </c>
      <c r="AL1335" s="17"/>
      <c r="AM1335" s="17"/>
      <c r="AN1335" s="17"/>
      <c r="AO1335" s="17"/>
      <c r="AP1335" s="28" t="str">
        <f t="shared" si="407"/>
        <v>20212</v>
      </c>
      <c r="AQ1335" s="28" t="str">
        <f t="shared" si="408"/>
        <v>20212RMB</v>
      </c>
      <c r="AR1335" s="206" t="str">
        <f t="shared" si="409"/>
        <v>YAMAHA_Mounter</v>
      </c>
      <c r="AS1335" s="22">
        <f t="shared" si="410"/>
        <v>2</v>
      </c>
      <c r="AT1335" s="24" t="str">
        <f t="shared" si="411"/>
        <v>0-3 months</v>
      </c>
    </row>
    <row r="1336" spans="1:46" s="12" customFormat="1">
      <c r="A1336" s="33" t="str">
        <f t="shared" si="399"/>
        <v>FY 20/21</v>
      </c>
      <c r="B1336" s="152">
        <v>2020</v>
      </c>
      <c r="C1336" s="152">
        <v>12</v>
      </c>
      <c r="D1336" s="33" t="str">
        <f t="shared" si="400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401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402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13"/>
        <v>1.13</v>
      </c>
      <c r="Z1336" s="18">
        <f t="shared" si="395"/>
        <v>1513500</v>
      </c>
      <c r="AA1336" s="13">
        <v>1.2</v>
      </c>
      <c r="AB1336" s="21">
        <f t="shared" si="403"/>
        <v>1607256.6371681418</v>
      </c>
      <c r="AC1336" s="130">
        <f t="shared" si="404"/>
        <v>272590.72566371685</v>
      </c>
      <c r="AD1336" s="169">
        <v>0.1696</v>
      </c>
      <c r="AE1336" s="154">
        <f t="shared" si="405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6"/>
        <v>31097187.02948761</v>
      </c>
      <c r="AJ1336" s="19">
        <f t="shared" si="397"/>
        <v>3892353.6644401965</v>
      </c>
      <c r="AK1336" s="20">
        <f t="shared" si="406"/>
        <v>0.12516738767237401</v>
      </c>
      <c r="AL1336" s="17"/>
      <c r="AM1336" s="17"/>
      <c r="AN1336" s="17"/>
      <c r="AO1336" s="17"/>
      <c r="AP1336" s="28" t="str">
        <f t="shared" si="407"/>
        <v>20212</v>
      </c>
      <c r="AQ1336" s="28" t="str">
        <f t="shared" si="408"/>
        <v>20212RMB</v>
      </c>
      <c r="AR1336" s="206" t="str">
        <f t="shared" si="409"/>
        <v>YAMAHA_Mounter</v>
      </c>
      <c r="AS1336" s="22">
        <f t="shared" si="410"/>
        <v>2</v>
      </c>
      <c r="AT1336" s="24" t="str">
        <f t="shared" si="411"/>
        <v>0-3 months</v>
      </c>
    </row>
    <row r="1337" spans="1:46" s="12" customFormat="1">
      <c r="A1337" s="33" t="str">
        <f t="shared" si="399"/>
        <v>FY 21/22</v>
      </c>
      <c r="B1337" s="152">
        <v>2021</v>
      </c>
      <c r="C1337" s="152">
        <v>6</v>
      </c>
      <c r="D1337" s="33" t="str">
        <f t="shared" si="400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401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402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13"/>
        <v>1.13</v>
      </c>
      <c r="Z1337" s="18">
        <f t="shared" si="395"/>
        <v>1244000</v>
      </c>
      <c r="AA1337" s="13">
        <v>1.2</v>
      </c>
      <c r="AB1337" s="21">
        <f t="shared" si="403"/>
        <v>1321061.9469026551</v>
      </c>
      <c r="AC1337" s="130">
        <f t="shared" si="404"/>
        <v>264476.60176991153</v>
      </c>
      <c r="AD1337" s="169">
        <v>0.20019999999999999</v>
      </c>
      <c r="AE1337" s="154">
        <f t="shared" si="405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6"/>
        <v>47458373.787610628</v>
      </c>
      <c r="AJ1337" s="19">
        <f t="shared" si="397"/>
        <v>7436880.1411522133</v>
      </c>
      <c r="AK1337" s="20">
        <f t="shared" si="406"/>
        <v>0.15670322321692506</v>
      </c>
      <c r="AL1337" s="17"/>
      <c r="AM1337" s="17"/>
      <c r="AN1337" s="17"/>
      <c r="AO1337" s="17"/>
      <c r="AP1337" s="28" t="str">
        <f t="shared" si="407"/>
        <v>20218</v>
      </c>
      <c r="AQ1337" s="28" t="str">
        <f t="shared" si="408"/>
        <v>20218RMB</v>
      </c>
      <c r="AR1337" s="206" t="str">
        <f t="shared" si="409"/>
        <v>YAMAHA_Mounter</v>
      </c>
      <c r="AS1337" s="22">
        <f t="shared" si="410"/>
        <v>2</v>
      </c>
      <c r="AT1337" s="24" t="str">
        <f t="shared" si="411"/>
        <v>0-3 months</v>
      </c>
    </row>
    <row r="1338" spans="1:46" s="12" customFormat="1">
      <c r="A1338" s="33" t="str">
        <f t="shared" si="399"/>
        <v>FY 21/22</v>
      </c>
      <c r="B1338" s="152">
        <v>2021</v>
      </c>
      <c r="C1338" s="152">
        <v>6</v>
      </c>
      <c r="D1338" s="33" t="str">
        <f t="shared" si="400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401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402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13"/>
        <v>1.13</v>
      </c>
      <c r="Z1338" s="18">
        <f t="shared" si="395"/>
        <v>1244000</v>
      </c>
      <c r="AA1338" s="13">
        <v>1.2</v>
      </c>
      <c r="AB1338" s="21">
        <f t="shared" si="403"/>
        <v>1321061.9469026551</v>
      </c>
      <c r="AC1338" s="130">
        <f t="shared" si="404"/>
        <v>264476.60176991153</v>
      </c>
      <c r="AD1338" s="169">
        <v>0.20019999999999999</v>
      </c>
      <c r="AE1338" s="154">
        <f t="shared" si="405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6"/>
        <v>47458373.787610628</v>
      </c>
      <c r="AJ1338" s="19">
        <f t="shared" si="397"/>
        <v>7436880.1411522133</v>
      </c>
      <c r="AK1338" s="20">
        <f t="shared" si="406"/>
        <v>0.15670322321692506</v>
      </c>
      <c r="AL1338" s="17"/>
      <c r="AM1338" s="17"/>
      <c r="AN1338" s="17"/>
      <c r="AO1338" s="17"/>
      <c r="AP1338" s="28" t="str">
        <f t="shared" si="407"/>
        <v>20218</v>
      </c>
      <c r="AQ1338" s="28" t="str">
        <f t="shared" si="408"/>
        <v>20218RMB</v>
      </c>
      <c r="AR1338" s="206" t="str">
        <f t="shared" si="409"/>
        <v>YAMAHA_Mounter</v>
      </c>
      <c r="AS1338" s="22">
        <f t="shared" si="410"/>
        <v>2</v>
      </c>
      <c r="AT1338" s="24" t="str">
        <f t="shared" si="411"/>
        <v>0-3 months</v>
      </c>
    </row>
    <row r="1339" spans="1:46" s="12" customFormat="1">
      <c r="A1339" s="33" t="str">
        <f t="shared" si="399"/>
        <v>FY 21/22</v>
      </c>
      <c r="B1339" s="152">
        <v>2021</v>
      </c>
      <c r="C1339" s="152">
        <v>6</v>
      </c>
      <c r="D1339" s="33" t="str">
        <f t="shared" si="400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401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402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13"/>
        <v>1.13</v>
      </c>
      <c r="Z1339" s="18">
        <f t="shared" si="395"/>
        <v>1244000</v>
      </c>
      <c r="AA1339" s="13">
        <v>1.2</v>
      </c>
      <c r="AB1339" s="21">
        <f t="shared" si="403"/>
        <v>1321061.9469026551</v>
      </c>
      <c r="AC1339" s="130">
        <f t="shared" si="404"/>
        <v>264476.60176991153</v>
      </c>
      <c r="AD1339" s="169">
        <v>0.20019999999999999</v>
      </c>
      <c r="AE1339" s="154">
        <f t="shared" si="405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6"/>
        <v>47458373.787610628</v>
      </c>
      <c r="AJ1339" s="19">
        <f t="shared" si="397"/>
        <v>7436880.1411522133</v>
      </c>
      <c r="AK1339" s="20">
        <f t="shared" si="406"/>
        <v>0.15670322321692506</v>
      </c>
      <c r="AL1339" s="17"/>
      <c r="AM1339" s="17"/>
      <c r="AN1339" s="17"/>
      <c r="AO1339" s="17"/>
      <c r="AP1339" s="28" t="str">
        <f t="shared" si="407"/>
        <v>20218</v>
      </c>
      <c r="AQ1339" s="28" t="str">
        <f t="shared" si="408"/>
        <v>20218RMB</v>
      </c>
      <c r="AR1339" s="206" t="str">
        <f t="shared" si="409"/>
        <v>YAMAHA_Mounter</v>
      </c>
      <c r="AS1339" s="22">
        <f t="shared" si="410"/>
        <v>2</v>
      </c>
      <c r="AT1339" s="24" t="str">
        <f t="shared" si="411"/>
        <v>0-3 months</v>
      </c>
    </row>
    <row r="1340" spans="1:46" s="12" customFormat="1">
      <c r="A1340" s="33" t="str">
        <f t="shared" si="399"/>
        <v>FY 21/22</v>
      </c>
      <c r="B1340" s="152">
        <v>2022</v>
      </c>
      <c r="C1340" s="152">
        <v>2</v>
      </c>
      <c r="D1340" s="33" t="str">
        <f t="shared" si="400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401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402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13"/>
        <v>1.13</v>
      </c>
      <c r="Z1340" s="18">
        <f t="shared" ref="Z1340:Z1403" si="414">IF(X1340="","",X1340*MAX(O1340,N1340))</f>
        <v>967200</v>
      </c>
      <c r="AA1340" s="13">
        <v>1.22</v>
      </c>
      <c r="AB1340" s="21">
        <f t="shared" si="403"/>
        <v>1044233.6283185842</v>
      </c>
      <c r="AC1340" s="130">
        <f t="shared" si="404"/>
        <v>168539.30761061946</v>
      </c>
      <c r="AD1340" s="169">
        <v>0.16139999999999999</v>
      </c>
      <c r="AE1340" s="154">
        <f t="shared" si="405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6"/>
        <v>28726768.133805312</v>
      </c>
      <c r="AJ1340" s="19">
        <f t="shared" si="397"/>
        <v>3853638.1988864429</v>
      </c>
      <c r="AK1340" s="20">
        <f t="shared" si="406"/>
        <v>0.1341479898099476</v>
      </c>
      <c r="AL1340" s="17"/>
      <c r="AM1340" s="17"/>
      <c r="AN1340" s="17"/>
      <c r="AO1340" s="17"/>
      <c r="AP1340" s="28" t="str">
        <f t="shared" si="407"/>
        <v>20223</v>
      </c>
      <c r="AQ1340" s="28" t="str">
        <f t="shared" si="408"/>
        <v>20223RMB</v>
      </c>
      <c r="AR1340" s="206" t="str">
        <f t="shared" si="409"/>
        <v>YAMAHA_Mounter</v>
      </c>
      <c r="AS1340" s="22">
        <f t="shared" si="410"/>
        <v>1</v>
      </c>
      <c r="AT1340" s="24" t="str">
        <f t="shared" si="411"/>
        <v>0-3 months</v>
      </c>
    </row>
    <row r="1341" spans="1:46" s="12" customFormat="1">
      <c r="A1341" s="33" t="str">
        <f t="shared" si="399"/>
        <v>cancel</v>
      </c>
      <c r="B1341" s="152"/>
      <c r="C1341" s="152" t="s">
        <v>186</v>
      </c>
      <c r="D1341" s="33" t="str">
        <f t="shared" si="400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401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402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13"/>
        <v>1</v>
      </c>
      <c r="Z1341" s="18">
        <f t="shared" si="414"/>
        <v>13200000</v>
      </c>
      <c r="AA1341" s="13">
        <v>6.25E-2</v>
      </c>
      <c r="AB1341" s="21">
        <f t="shared" si="403"/>
        <v>825000</v>
      </c>
      <c r="AC1341" s="130">
        <f t="shared" si="404"/>
        <v>99000</v>
      </c>
      <c r="AD1341" s="169">
        <v>0.12</v>
      </c>
      <c r="AE1341" s="154">
        <f t="shared" si="405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6"/>
        <v>477651199.57437885</v>
      </c>
      <c r="AJ1341" s="19">
        <f t="shared" si="397"/>
        <v>56918800.518691957</v>
      </c>
      <c r="AK1341" s="20">
        <f t="shared" si="406"/>
        <v>0.11916394341605475</v>
      </c>
      <c r="AL1341" s="17"/>
      <c r="AM1341" s="17"/>
      <c r="AN1341" s="17"/>
      <c r="AO1341" s="17"/>
      <c r="AP1341" s="28" t="str">
        <f t="shared" si="407"/>
        <v>CancelCancel</v>
      </c>
      <c r="AQ1341" s="28" t="str">
        <f t="shared" si="408"/>
        <v>CancelCancelJPY</v>
      </c>
      <c r="AR1341" s="206" t="str">
        <f t="shared" si="409"/>
        <v>YAMAHA_Mounter</v>
      </c>
      <c r="AS1341" s="22" t="str">
        <f t="shared" si="410"/>
        <v/>
      </c>
      <c r="AT1341" s="24" t="str">
        <f t="shared" si="411"/>
        <v/>
      </c>
    </row>
    <row r="1342" spans="1:46" s="12" customFormat="1" ht="28">
      <c r="A1342" s="33" t="str">
        <f t="shared" si="399"/>
        <v>FY 18/19</v>
      </c>
      <c r="B1342" s="152">
        <v>2018</v>
      </c>
      <c r="C1342" s="152">
        <v>10</v>
      </c>
      <c r="D1342" s="33" t="str">
        <f t="shared" si="400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401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402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14"/>
        <v>204800</v>
      </c>
      <c r="AA1342" s="13">
        <v>1.125</v>
      </c>
      <c r="AB1342" s="21">
        <f t="shared" si="403"/>
        <v>198620.68965517243</v>
      </c>
      <c r="AC1342" s="130">
        <f t="shared" si="404"/>
        <v>35414.068965517239</v>
      </c>
      <c r="AD1342" s="169">
        <v>0.17829999999999999</v>
      </c>
      <c r="AE1342" s="154">
        <f t="shared" si="405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6"/>
        <v>10785027.603448275</v>
      </c>
      <c r="AJ1342" s="19">
        <f t="shared" si="397"/>
        <v>1540894.1297982759</v>
      </c>
      <c r="AK1342" s="20">
        <f t="shared" si="406"/>
        <v>0.1428734525728621</v>
      </c>
      <c r="AL1342" s="17"/>
      <c r="AM1342" s="17"/>
      <c r="AN1342" s="17"/>
      <c r="AO1342" s="17"/>
      <c r="AP1342" s="28" t="str">
        <f t="shared" si="407"/>
        <v>201811</v>
      </c>
      <c r="AQ1342" s="28" t="str">
        <f t="shared" si="408"/>
        <v>201811RMB</v>
      </c>
      <c r="AR1342" s="206" t="str">
        <f t="shared" si="409"/>
        <v>YAMAHA_Mounter</v>
      </c>
      <c r="AS1342" s="22">
        <f t="shared" si="410"/>
        <v>1</v>
      </c>
      <c r="AT1342" s="24" t="str">
        <f t="shared" si="411"/>
        <v>0-3 months</v>
      </c>
    </row>
    <row r="1343" spans="1:46" s="12" customFormat="1">
      <c r="A1343" s="33" t="str">
        <f t="shared" si="399"/>
        <v>FY 18/19</v>
      </c>
      <c r="B1343" s="152">
        <v>2018</v>
      </c>
      <c r="C1343" s="152">
        <v>9</v>
      </c>
      <c r="D1343" s="33" t="str">
        <f t="shared" si="400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401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402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14"/>
        <v>586000</v>
      </c>
      <c r="AA1343" s="13">
        <v>1.1499999999999999</v>
      </c>
      <c r="AB1343" s="21">
        <f t="shared" si="403"/>
        <v>580948.27586206899</v>
      </c>
      <c r="AC1343" s="130">
        <f t="shared" si="404"/>
        <v>70294.741379310348</v>
      </c>
      <c r="AD1343" s="169">
        <v>0.121</v>
      </c>
      <c r="AE1343" s="154">
        <f t="shared" si="405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6"/>
        <v>26492741.106427077</v>
      </c>
      <c r="AJ1343" s="19">
        <f t="shared" si="397"/>
        <v>3348032.1325698122</v>
      </c>
      <c r="AK1343" s="20">
        <f t="shared" si="406"/>
        <v>0.12637545201985867</v>
      </c>
      <c r="AL1343" s="17"/>
      <c r="AM1343" s="17"/>
      <c r="AN1343" s="17" t="s">
        <v>525</v>
      </c>
      <c r="AO1343" s="17"/>
      <c r="AP1343" s="28" t="str">
        <f t="shared" si="407"/>
        <v>20189</v>
      </c>
      <c r="AQ1343" s="28" t="str">
        <f t="shared" si="408"/>
        <v>20189RMB</v>
      </c>
      <c r="AR1343" s="206" t="str">
        <f t="shared" si="409"/>
        <v>YAMAHA_Mounter</v>
      </c>
      <c r="AS1343" s="22">
        <f t="shared" si="410"/>
        <v>0</v>
      </c>
      <c r="AT1343" s="24" t="str">
        <f t="shared" si="411"/>
        <v>0-3 months</v>
      </c>
    </row>
    <row r="1344" spans="1:46" s="12" customFormat="1">
      <c r="A1344" s="33" t="str">
        <f t="shared" si="399"/>
        <v>FY 21/22</v>
      </c>
      <c r="B1344" s="152">
        <v>2021</v>
      </c>
      <c r="C1344" s="152">
        <v>4</v>
      </c>
      <c r="D1344" s="33" t="str">
        <f t="shared" si="400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401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402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14"/>
        <v>934574</v>
      </c>
      <c r="AA1344" s="13">
        <v>1.2150000000000001</v>
      </c>
      <c r="AB1344" s="21">
        <f t="shared" si="403"/>
        <v>1004873.8141592921</v>
      </c>
      <c r="AC1344" s="130">
        <f t="shared" si="404"/>
        <v>148922.29925840709</v>
      </c>
      <c r="AD1344" s="169">
        <v>0.1482</v>
      </c>
      <c r="AE1344" s="154">
        <f t="shared" si="405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6"/>
        <v>54700260.692079648</v>
      </c>
      <c r="AJ1344" s="19">
        <f t="shared" si="397"/>
        <v>7482899.5749188727</v>
      </c>
      <c r="AK1344" s="20">
        <f t="shared" si="406"/>
        <v>0.13679824337660537</v>
      </c>
      <c r="AL1344" s="17"/>
      <c r="AM1344" s="17"/>
      <c r="AN1344" s="17"/>
      <c r="AO1344" s="17"/>
      <c r="AP1344" s="28" t="str">
        <f t="shared" si="407"/>
        <v>20216</v>
      </c>
      <c r="AQ1344" s="28" t="str">
        <f t="shared" si="408"/>
        <v>20216RMB</v>
      </c>
      <c r="AR1344" s="206" t="str">
        <f t="shared" si="409"/>
        <v>YAMAHA_Mounter</v>
      </c>
      <c r="AS1344" s="22">
        <f t="shared" si="410"/>
        <v>2</v>
      </c>
      <c r="AT1344" s="24" t="str">
        <f t="shared" si="411"/>
        <v>0-3 months</v>
      </c>
    </row>
    <row r="1345" spans="1:46" s="12" customFormat="1">
      <c r="A1345" s="33" t="str">
        <f t="shared" si="399"/>
        <v>FY 19/20</v>
      </c>
      <c r="B1345" s="152">
        <v>2019</v>
      </c>
      <c r="C1345" s="152">
        <v>6</v>
      </c>
      <c r="D1345" s="33" t="str">
        <f t="shared" si="400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401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402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14"/>
        <v>599653</v>
      </c>
      <c r="AA1345" s="13">
        <v>1.135</v>
      </c>
      <c r="AB1345" s="21">
        <f t="shared" si="403"/>
        <v>602306.33185840712</v>
      </c>
      <c r="AC1345" s="130">
        <f t="shared" si="404"/>
        <v>78119.131242035408</v>
      </c>
      <c r="AD1345" s="169">
        <v>0.12970000000000001</v>
      </c>
      <c r="AE1345" s="154">
        <f t="shared" si="405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6"/>
        <v>31296887.037898075</v>
      </c>
      <c r="AJ1345" s="19">
        <f t="shared" si="397"/>
        <v>3588873.9502021763</v>
      </c>
      <c r="AK1345" s="20">
        <f t="shared" si="406"/>
        <v>0.11467191436184473</v>
      </c>
      <c r="AL1345" s="17"/>
      <c r="AM1345" s="17"/>
      <c r="AN1345" s="17"/>
      <c r="AO1345" s="17"/>
      <c r="AP1345" s="28" t="str">
        <f t="shared" si="407"/>
        <v>20196</v>
      </c>
      <c r="AQ1345" s="28" t="str">
        <f t="shared" si="408"/>
        <v>20196RMB</v>
      </c>
      <c r="AR1345" s="206" t="str">
        <f t="shared" si="409"/>
        <v>YAMAHA_Mounter</v>
      </c>
      <c r="AS1345" s="22">
        <f t="shared" si="410"/>
        <v>0</v>
      </c>
      <c r="AT1345" s="24" t="str">
        <f t="shared" si="411"/>
        <v>0-3 months</v>
      </c>
    </row>
    <row r="1346" spans="1:46" s="12" customFormat="1">
      <c r="A1346" s="33" t="str">
        <f t="shared" si="399"/>
        <v>FY 20/21</v>
      </c>
      <c r="B1346" s="152">
        <v>2020</v>
      </c>
      <c r="C1346" s="152">
        <v>7</v>
      </c>
      <c r="D1346" s="33" t="str">
        <f t="shared" si="400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401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402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14"/>
        <v>755000</v>
      </c>
      <c r="AA1346" s="13">
        <v>1.105</v>
      </c>
      <c r="AB1346" s="21">
        <f t="shared" si="403"/>
        <v>738296.4601769913</v>
      </c>
      <c r="AC1346" s="130">
        <f t="shared" si="404"/>
        <v>106610.00884955755</v>
      </c>
      <c r="AD1346" s="169">
        <v>0.1444</v>
      </c>
      <c r="AE1346" s="154">
        <f t="shared" si="405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15">IF(P1346="C66 SERVICE","",SUMIFS(AB:AB,F:F,F1346,G:G,G1346,E:E,E1346))</f>
        <v>37969334.083628319</v>
      </c>
      <c r="AJ1346" s="19">
        <f t="shared" ref="AJ1346:AJ1409" si="416">IF(P1346="C66 SERVICE","",SUMIFS(AC:AC,F:F,F1346,G:G,G1346,E:E,E1346))</f>
        <v>5097226.4551657084</v>
      </c>
      <c r="AK1346" s="20">
        <f t="shared" si="406"/>
        <v>0.13424587441904964</v>
      </c>
      <c r="AL1346" s="17"/>
      <c r="AM1346" s="17"/>
      <c r="AN1346" s="17"/>
      <c r="AO1346" s="17"/>
      <c r="AP1346" s="28" t="str">
        <f t="shared" si="407"/>
        <v>20208</v>
      </c>
      <c r="AQ1346" s="28" t="str">
        <f t="shared" si="408"/>
        <v>20208RMB</v>
      </c>
      <c r="AR1346" s="206" t="str">
        <f t="shared" si="409"/>
        <v>YAMAHA_Mounter</v>
      </c>
      <c r="AS1346" s="22">
        <f t="shared" si="410"/>
        <v>1</v>
      </c>
      <c r="AT1346" s="24" t="str">
        <f t="shared" si="411"/>
        <v>0-3 months</v>
      </c>
    </row>
    <row r="1347" spans="1:46" s="12" customFormat="1">
      <c r="A1347" s="33" t="str">
        <f t="shared" si="399"/>
        <v>FY 18/19</v>
      </c>
      <c r="B1347" s="152">
        <v>2018</v>
      </c>
      <c r="C1347" s="152">
        <v>10</v>
      </c>
      <c r="D1347" s="33" t="str">
        <f t="shared" si="400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401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402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14"/>
        <v>1070000</v>
      </c>
      <c r="AA1347" s="13">
        <v>1.135</v>
      </c>
      <c r="AB1347" s="21">
        <f t="shared" si="403"/>
        <v>1046939.6551724139</v>
      </c>
      <c r="AC1347" s="130">
        <f t="shared" si="404"/>
        <v>125632.75862068967</v>
      </c>
      <c r="AD1347" s="169">
        <v>0.12</v>
      </c>
      <c r="AE1347" s="154">
        <f t="shared" si="405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15"/>
        <v>31296887.037898075</v>
      </c>
      <c r="AJ1347" s="19">
        <f t="shared" si="416"/>
        <v>3588873.9502021763</v>
      </c>
      <c r="AK1347" s="20">
        <f t="shared" si="406"/>
        <v>0.11467191436184473</v>
      </c>
      <c r="AL1347" s="17"/>
      <c r="AM1347" s="17"/>
      <c r="AN1347" s="17"/>
      <c r="AO1347" s="17"/>
      <c r="AP1347" s="28" t="str">
        <f t="shared" si="407"/>
        <v>20196</v>
      </c>
      <c r="AQ1347" s="28" t="str">
        <f t="shared" si="408"/>
        <v>20196RMB</v>
      </c>
      <c r="AR1347" s="206" t="str">
        <f t="shared" si="409"/>
        <v>YAMAHA_Mounter</v>
      </c>
      <c r="AS1347" s="22">
        <f t="shared" si="410"/>
        <v>8</v>
      </c>
      <c r="AT1347" s="24" t="str">
        <f t="shared" si="411"/>
        <v>&gt; 6 months</v>
      </c>
    </row>
    <row r="1348" spans="1:46" s="12" customFormat="1">
      <c r="A1348" s="33" t="str">
        <f t="shared" si="399"/>
        <v>FY 20/21</v>
      </c>
      <c r="B1348" s="152">
        <v>2020</v>
      </c>
      <c r="C1348" s="152">
        <v>9</v>
      </c>
      <c r="D1348" s="33" t="str">
        <f t="shared" si="400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401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402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14"/>
        <v>6600000</v>
      </c>
      <c r="AA1348" s="13">
        <v>7.6100000000000001E-2</v>
      </c>
      <c r="AB1348" s="21">
        <f t="shared" si="403"/>
        <v>502260</v>
      </c>
      <c r="AC1348" s="130">
        <f t="shared" si="404"/>
        <v>59316.905999999995</v>
      </c>
      <c r="AD1348" s="169">
        <v>0.1181</v>
      </c>
      <c r="AE1348" s="154">
        <f t="shared" si="405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15"/>
        <v>44078731.611185849</v>
      </c>
      <c r="AJ1348" s="19">
        <f t="shared" si="416"/>
        <v>5508173.2163771465</v>
      </c>
      <c r="AK1348" s="20">
        <f t="shared" si="406"/>
        <v>0.12496215328889679</v>
      </c>
      <c r="AL1348" s="17"/>
      <c r="AM1348" s="17"/>
      <c r="AN1348" s="17"/>
      <c r="AO1348" s="17"/>
      <c r="AP1348" s="28" t="str">
        <f t="shared" si="407"/>
        <v>202011</v>
      </c>
      <c r="AQ1348" s="28" t="str">
        <f t="shared" si="408"/>
        <v>202011JPY</v>
      </c>
      <c r="AR1348" s="206" t="str">
        <f t="shared" si="409"/>
        <v>YAMAHA_Mounter</v>
      </c>
      <c r="AS1348" s="22">
        <f t="shared" si="410"/>
        <v>2</v>
      </c>
      <c r="AT1348" s="24" t="str">
        <f t="shared" si="411"/>
        <v>0-3 months</v>
      </c>
    </row>
    <row r="1349" spans="1:46" s="12" customFormat="1">
      <c r="A1349" s="33" t="str">
        <f t="shared" si="399"/>
        <v>FY 20/21</v>
      </c>
      <c r="B1349" s="152">
        <v>2020</v>
      </c>
      <c r="C1349" s="152">
        <v>12</v>
      </c>
      <c r="D1349" s="33" t="str">
        <f t="shared" si="400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401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402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14"/>
        <v>8900000</v>
      </c>
      <c r="AA1349" s="13">
        <v>7.6799999999999993E-2</v>
      </c>
      <c r="AB1349" s="21">
        <f t="shared" si="403"/>
        <v>683519.99999999988</v>
      </c>
      <c r="AC1349" s="130">
        <f t="shared" si="404"/>
        <v>110866.94399999999</v>
      </c>
      <c r="AD1349" s="169">
        <v>0.16220000000000001</v>
      </c>
      <c r="AE1349" s="154">
        <f t="shared" si="405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15"/>
        <v>45803245.025628321</v>
      </c>
      <c r="AJ1349" s="19">
        <f t="shared" si="416"/>
        <v>5664636.2584379362</v>
      </c>
      <c r="AK1349" s="20">
        <f t="shared" si="406"/>
        <v>0.12367325186825515</v>
      </c>
      <c r="AL1349" s="17"/>
      <c r="AM1349" s="17"/>
      <c r="AN1349" s="17"/>
      <c r="AO1349" s="17"/>
      <c r="AP1349" s="28" t="str">
        <f t="shared" si="407"/>
        <v>20211</v>
      </c>
      <c r="AQ1349" s="28" t="str">
        <f t="shared" si="408"/>
        <v>20211JPY</v>
      </c>
      <c r="AR1349" s="206" t="str">
        <f t="shared" si="409"/>
        <v>YAMAHA_Mounter</v>
      </c>
      <c r="AS1349" s="22">
        <f t="shared" si="410"/>
        <v>1</v>
      </c>
      <c r="AT1349" s="24" t="str">
        <f t="shared" si="411"/>
        <v>0-3 months</v>
      </c>
    </row>
    <row r="1350" spans="1:46" s="12" customFormat="1">
      <c r="A1350" s="33" t="str">
        <f t="shared" si="399"/>
        <v>FY 20/21</v>
      </c>
      <c r="B1350" s="152">
        <v>2020</v>
      </c>
      <c r="C1350" s="152">
        <v>7</v>
      </c>
      <c r="D1350" s="33" t="str">
        <f t="shared" si="400"/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si="401"/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si="402"/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14"/>
        <v>7771400</v>
      </c>
      <c r="AA1350" s="13">
        <v>7.4899999999999994E-2</v>
      </c>
      <c r="AB1350" s="21">
        <f t="shared" si="403"/>
        <v>582077.86</v>
      </c>
      <c r="AC1350" s="130">
        <f t="shared" si="404"/>
        <v>93423.496530000004</v>
      </c>
      <c r="AD1350" s="169">
        <v>0.1605</v>
      </c>
      <c r="AE1350" s="154">
        <f t="shared" si="405"/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15"/>
        <v>47907808.356810622</v>
      </c>
      <c r="AJ1350" s="19">
        <f t="shared" si="416"/>
        <v>6027384.8806384448</v>
      </c>
      <c r="AK1350" s="20">
        <f t="shared" si="406"/>
        <v>0.12581216063459488</v>
      </c>
      <c r="AL1350" s="17"/>
      <c r="AM1350" s="17"/>
      <c r="AN1350" s="17"/>
      <c r="AO1350" s="17"/>
      <c r="AP1350" s="28" t="str">
        <f t="shared" si="407"/>
        <v>20209</v>
      </c>
      <c r="AQ1350" s="28" t="str">
        <f t="shared" si="408"/>
        <v>20209JPY</v>
      </c>
      <c r="AR1350" s="206" t="str">
        <f t="shared" si="409"/>
        <v>YAMAHA_Mounter</v>
      </c>
      <c r="AS1350" s="22">
        <f t="shared" si="410"/>
        <v>2</v>
      </c>
      <c r="AT1350" s="24" t="str">
        <f t="shared" si="411"/>
        <v>0-3 months</v>
      </c>
    </row>
    <row r="1351" spans="1:46" s="12" customFormat="1">
      <c r="A1351" s="33" t="str">
        <f t="shared" si="399"/>
        <v>FY 21/22</v>
      </c>
      <c r="B1351" s="152">
        <v>2022</v>
      </c>
      <c r="C1351" s="152">
        <v>1</v>
      </c>
      <c r="D1351" s="33" t="str">
        <f t="shared" si="400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1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2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14"/>
        <v>600000</v>
      </c>
      <c r="AA1351" s="13">
        <v>1.22</v>
      </c>
      <c r="AB1351" s="21">
        <f t="shared" si="403"/>
        <v>647787.61061946908</v>
      </c>
      <c r="AC1351" s="130">
        <f t="shared" si="404"/>
        <v>184813.80530973454</v>
      </c>
      <c r="AD1351" s="169">
        <v>0.2853</v>
      </c>
      <c r="AE1351" s="154">
        <f t="shared" si="405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5"/>
        <v>46600814.041769907</v>
      </c>
      <c r="AJ1351" s="19">
        <f t="shared" si="416"/>
        <v>5956366.3435927071</v>
      </c>
      <c r="AK1351" s="20">
        <f t="shared" si="406"/>
        <v>0.1278167874546958</v>
      </c>
      <c r="AL1351" s="17"/>
      <c r="AM1351" s="17"/>
      <c r="AN1351" s="17"/>
      <c r="AO1351" s="17"/>
      <c r="AP1351" s="28" t="str">
        <f t="shared" si="407"/>
        <v>20224</v>
      </c>
      <c r="AQ1351" s="28" t="str">
        <f t="shared" si="408"/>
        <v>20224RMB</v>
      </c>
      <c r="AR1351" s="206" t="str">
        <f t="shared" si="409"/>
        <v>YAMAHA_Mounter</v>
      </c>
      <c r="AS1351" s="22">
        <f t="shared" si="410"/>
        <v>3</v>
      </c>
      <c r="AT1351" s="24" t="str">
        <f t="shared" si="411"/>
        <v>0-3 months</v>
      </c>
    </row>
    <row r="1352" spans="1:46" s="12" customFormat="1">
      <c r="A1352" s="33" t="str">
        <f t="shared" si="399"/>
        <v>FY 21/22</v>
      </c>
      <c r="B1352" s="152">
        <v>2021</v>
      </c>
      <c r="C1352" s="152">
        <v>11</v>
      </c>
      <c r="D1352" s="33" t="str">
        <f t="shared" si="400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1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2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14"/>
        <v>700000</v>
      </c>
      <c r="AA1352" s="13">
        <v>1.22</v>
      </c>
      <c r="AB1352" s="21">
        <f t="shared" si="403"/>
        <v>755752.21238938055</v>
      </c>
      <c r="AC1352" s="130">
        <f t="shared" si="404"/>
        <v>100666.1946902655</v>
      </c>
      <c r="AD1352" s="169">
        <v>0.13320000000000001</v>
      </c>
      <c r="AE1352" s="154">
        <f t="shared" si="405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5"/>
        <v>46600814.041769907</v>
      </c>
      <c r="AJ1352" s="19">
        <f t="shared" si="416"/>
        <v>5956366.3435927071</v>
      </c>
      <c r="AK1352" s="20">
        <f t="shared" si="406"/>
        <v>0.1278167874546958</v>
      </c>
      <c r="AL1352" s="17"/>
      <c r="AM1352" s="17"/>
      <c r="AN1352" s="17"/>
      <c r="AO1352" s="17"/>
      <c r="AP1352" s="28" t="str">
        <f t="shared" si="407"/>
        <v>20224</v>
      </c>
      <c r="AQ1352" s="28" t="str">
        <f t="shared" si="408"/>
        <v>20224RMB</v>
      </c>
      <c r="AR1352" s="206" t="str">
        <f t="shared" si="409"/>
        <v>YAMAHA_Mounter</v>
      </c>
      <c r="AS1352" s="22">
        <f t="shared" si="410"/>
        <v>5</v>
      </c>
      <c r="AT1352" s="24" t="str">
        <f t="shared" si="411"/>
        <v>4-6 months</v>
      </c>
    </row>
    <row r="1353" spans="1:46" s="12" customFormat="1">
      <c r="A1353" s="33" t="str">
        <f t="shared" si="399"/>
        <v>FY 21/22</v>
      </c>
      <c r="B1353" s="152">
        <v>2021</v>
      </c>
      <c r="C1353" s="152">
        <v>11</v>
      </c>
      <c r="D1353" s="33" t="str">
        <f t="shared" si="400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1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2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14"/>
        <v>900000</v>
      </c>
      <c r="AA1353" s="13">
        <v>1.22</v>
      </c>
      <c r="AB1353" s="21">
        <f t="shared" si="403"/>
        <v>971681.41592920362</v>
      </c>
      <c r="AC1353" s="130">
        <f t="shared" si="404"/>
        <v>129427.96460176994</v>
      </c>
      <c r="AD1353" s="169">
        <v>0.13320000000000001</v>
      </c>
      <c r="AE1353" s="154">
        <f t="shared" si="405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5"/>
        <v>46600814.041769907</v>
      </c>
      <c r="AJ1353" s="19">
        <f t="shared" si="416"/>
        <v>5956366.3435927071</v>
      </c>
      <c r="AK1353" s="20">
        <f t="shared" si="406"/>
        <v>0.1278167874546958</v>
      </c>
      <c r="AL1353" s="17"/>
      <c r="AM1353" s="17"/>
      <c r="AN1353" s="17"/>
      <c r="AO1353" s="17"/>
      <c r="AP1353" s="28" t="str">
        <f t="shared" si="407"/>
        <v>20224</v>
      </c>
      <c r="AQ1353" s="28" t="str">
        <f t="shared" si="408"/>
        <v>20224RMB</v>
      </c>
      <c r="AR1353" s="206" t="str">
        <f t="shared" si="409"/>
        <v>YAMAHA_Mounter</v>
      </c>
      <c r="AS1353" s="22">
        <f t="shared" si="410"/>
        <v>5</v>
      </c>
      <c r="AT1353" s="24" t="str">
        <f t="shared" si="411"/>
        <v>4-6 months</v>
      </c>
    </row>
    <row r="1354" spans="1:46" s="12" customFormat="1">
      <c r="A1354" s="33" t="str">
        <f t="shared" si="399"/>
        <v>FY 19/20</v>
      </c>
      <c r="B1354" s="152">
        <v>2020</v>
      </c>
      <c r="C1354" s="152">
        <v>1</v>
      </c>
      <c r="D1354" s="33" t="str">
        <f t="shared" si="400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1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2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si="414"/>
        <v>1400000</v>
      </c>
      <c r="AA1354" s="13">
        <v>1.089</v>
      </c>
      <c r="AB1354" s="21">
        <f t="shared" si="403"/>
        <v>1349203.5398230089</v>
      </c>
      <c r="AC1354" s="130">
        <f t="shared" si="404"/>
        <v>61658.601769911504</v>
      </c>
      <c r="AD1354" s="169">
        <v>4.5699999999999998E-2</v>
      </c>
      <c r="AE1354" s="154">
        <f t="shared" si="405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5"/>
        <v>29183109.05575221</v>
      </c>
      <c r="AJ1354" s="19">
        <f t="shared" si="416"/>
        <v>3741266.5648721238</v>
      </c>
      <c r="AK1354" s="20">
        <f t="shared" si="406"/>
        <v>0.12819972531798121</v>
      </c>
      <c r="AL1354" s="17"/>
      <c r="AM1354" s="17"/>
      <c r="AN1354" s="17"/>
      <c r="AO1354" s="17"/>
      <c r="AP1354" s="28" t="str">
        <f t="shared" si="407"/>
        <v>20206</v>
      </c>
      <c r="AQ1354" s="28" t="str">
        <f t="shared" si="408"/>
        <v>20206RMB</v>
      </c>
      <c r="AR1354" s="206" t="str">
        <f t="shared" si="409"/>
        <v>YAMAHA_Mounter</v>
      </c>
      <c r="AS1354" s="22">
        <f t="shared" si="410"/>
        <v>5</v>
      </c>
      <c r="AT1354" s="24" t="str">
        <f t="shared" si="411"/>
        <v>4-6 months</v>
      </c>
    </row>
    <row r="1355" spans="1:46" s="12" customFormat="1">
      <c r="A1355" s="33" t="str">
        <f t="shared" si="399"/>
        <v>cancel</v>
      </c>
      <c r="B1355" s="152"/>
      <c r="C1355" s="152" t="s">
        <v>186</v>
      </c>
      <c r="D1355" s="33" t="str">
        <f t="shared" si="400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1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2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4"/>
        <v>9225000</v>
      </c>
      <c r="AA1355" s="13">
        <v>7.4899999999999994E-2</v>
      </c>
      <c r="AB1355" s="21">
        <f t="shared" si="403"/>
        <v>690952.5</v>
      </c>
      <c r="AC1355" s="130">
        <f t="shared" si="404"/>
        <v>82914.3</v>
      </c>
      <c r="AD1355" s="169">
        <v>0.12</v>
      </c>
      <c r="AE1355" s="154">
        <f t="shared" si="405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5"/>
        <v>477651199.57437885</v>
      </c>
      <c r="AJ1355" s="19">
        <f t="shared" si="416"/>
        <v>56918800.518691957</v>
      </c>
      <c r="AK1355" s="20">
        <f t="shared" si="406"/>
        <v>0.11916394341605475</v>
      </c>
      <c r="AL1355" s="17"/>
      <c r="AM1355" s="17"/>
      <c r="AN1355" s="17"/>
      <c r="AO1355" s="17"/>
      <c r="AP1355" s="28" t="str">
        <f t="shared" si="407"/>
        <v>CancelCancel</v>
      </c>
      <c r="AQ1355" s="28" t="str">
        <f t="shared" si="408"/>
        <v>CancelCancelJPY</v>
      </c>
      <c r="AR1355" s="206" t="str">
        <f t="shared" si="409"/>
        <v>YAMAHA_Mounter</v>
      </c>
      <c r="AS1355" s="22" t="str">
        <f t="shared" si="410"/>
        <v/>
      </c>
      <c r="AT1355" s="24" t="str">
        <f t="shared" si="411"/>
        <v/>
      </c>
    </row>
    <row r="1356" spans="1:46" s="12" customFormat="1">
      <c r="A1356" s="33" t="str">
        <f t="shared" si="399"/>
        <v>cancel</v>
      </c>
      <c r="B1356" s="152"/>
      <c r="C1356" s="152" t="s">
        <v>186</v>
      </c>
      <c r="D1356" s="33" t="str">
        <f t="shared" si="400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1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2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4"/>
        <v>9225000</v>
      </c>
      <c r="AA1356" s="13">
        <v>7.4899999999999994E-2</v>
      </c>
      <c r="AB1356" s="21">
        <f t="shared" si="403"/>
        <v>690952.5</v>
      </c>
      <c r="AC1356" s="130">
        <f t="shared" si="404"/>
        <v>82914.3</v>
      </c>
      <c r="AD1356" s="169">
        <v>0.12</v>
      </c>
      <c r="AE1356" s="154">
        <f t="shared" si="405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5"/>
        <v>477651199.57437885</v>
      </c>
      <c r="AJ1356" s="19">
        <f t="shared" si="416"/>
        <v>56918800.518691957</v>
      </c>
      <c r="AK1356" s="20">
        <f t="shared" si="406"/>
        <v>0.11916394341605475</v>
      </c>
      <c r="AL1356" s="17"/>
      <c r="AM1356" s="17"/>
      <c r="AN1356" s="17"/>
      <c r="AO1356" s="17"/>
      <c r="AP1356" s="28" t="str">
        <f t="shared" si="407"/>
        <v>CancelCancel</v>
      </c>
      <c r="AQ1356" s="28" t="str">
        <f t="shared" si="408"/>
        <v>CancelCancelJPY</v>
      </c>
      <c r="AR1356" s="206" t="str">
        <f t="shared" si="409"/>
        <v>YAMAHA_Mounter</v>
      </c>
      <c r="AS1356" s="22" t="str">
        <f t="shared" si="410"/>
        <v/>
      </c>
      <c r="AT1356" s="24" t="str">
        <f t="shared" si="411"/>
        <v/>
      </c>
    </row>
    <row r="1357" spans="1:46" s="12" customFormat="1">
      <c r="A1357" s="33" t="str">
        <f t="shared" si="399"/>
        <v>FY 17/18</v>
      </c>
      <c r="B1357" s="152">
        <v>2017</v>
      </c>
      <c r="C1357" s="152">
        <v>5</v>
      </c>
      <c r="D1357" s="33" t="str">
        <f t="shared" si="400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1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2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4"/>
        <v>29000001</v>
      </c>
      <c r="AA1357" s="13">
        <v>7.0300000000000001E-2</v>
      </c>
      <c r="AB1357" s="21">
        <f t="shared" si="403"/>
        <v>2038700.0703</v>
      </c>
      <c r="AC1357" s="130">
        <f t="shared" si="404"/>
        <v>244644.008436</v>
      </c>
      <c r="AD1357" s="169">
        <v>0.12</v>
      </c>
      <c r="AE1357" s="154">
        <f t="shared" si="405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5"/>
        <v>477651199.57437885</v>
      </c>
      <c r="AJ1357" s="19">
        <f t="shared" si="416"/>
        <v>56918800.518691957</v>
      </c>
      <c r="AK1357" s="20">
        <f t="shared" si="406"/>
        <v>0.11916394341605475</v>
      </c>
      <c r="AL1357" s="17"/>
      <c r="AM1357" s="17"/>
      <c r="AN1357" s="17"/>
      <c r="AO1357" s="17"/>
      <c r="AP1357" s="28" t="str">
        <f t="shared" si="407"/>
        <v>CancelCancel</v>
      </c>
      <c r="AQ1357" s="28" t="str">
        <f t="shared" si="408"/>
        <v>CancelCancelJPY</v>
      </c>
      <c r="AR1357" s="206" t="str">
        <f t="shared" si="409"/>
        <v>YAMAHA_Mounter</v>
      </c>
      <c r="AS1357" s="22" t="str">
        <f t="shared" si="410"/>
        <v/>
      </c>
      <c r="AT1357" s="24" t="str">
        <f t="shared" si="411"/>
        <v/>
      </c>
    </row>
    <row r="1358" spans="1:46" s="12" customFormat="1">
      <c r="A1358" s="33" t="str">
        <f t="shared" si="399"/>
        <v>FY 18/19</v>
      </c>
      <c r="B1358" s="152">
        <v>2018</v>
      </c>
      <c r="C1358" s="152">
        <v>6</v>
      </c>
      <c r="D1358" s="33" t="str">
        <f t="shared" si="400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1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2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4"/>
        <v>29340000</v>
      </c>
      <c r="AA1358" s="13">
        <v>7.0400000000000004E-2</v>
      </c>
      <c r="AB1358" s="21">
        <f t="shared" si="403"/>
        <v>2065536.0000000002</v>
      </c>
      <c r="AC1358" s="130">
        <f t="shared" si="404"/>
        <v>404431.94880000007</v>
      </c>
      <c r="AD1358" s="169">
        <v>0.1958</v>
      </c>
      <c r="AE1358" s="154">
        <f t="shared" si="405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5"/>
        <v>29840797.698275864</v>
      </c>
      <c r="AJ1358" s="19">
        <f t="shared" si="416"/>
        <v>3940167.6555448272</v>
      </c>
      <c r="AK1358" s="20">
        <f t="shared" si="406"/>
        <v>0.13203962224416277</v>
      </c>
      <c r="AL1358" s="17"/>
      <c r="AM1358" s="17"/>
      <c r="AN1358" s="17"/>
      <c r="AO1358" s="17"/>
      <c r="AP1358" s="28" t="str">
        <f t="shared" si="407"/>
        <v>201812</v>
      </c>
      <c r="AQ1358" s="28" t="str">
        <f t="shared" si="408"/>
        <v>201812JPY</v>
      </c>
      <c r="AR1358" s="206" t="str">
        <f t="shared" si="409"/>
        <v>YAMAHA_Mounter</v>
      </c>
      <c r="AS1358" s="22">
        <f t="shared" si="410"/>
        <v>6</v>
      </c>
      <c r="AT1358" s="24" t="str">
        <f t="shared" si="411"/>
        <v>4-6 months</v>
      </c>
    </row>
    <row r="1359" spans="1:46" s="12" customFormat="1">
      <c r="A1359" s="33" t="str">
        <f t="shared" si="399"/>
        <v>FY 18/19</v>
      </c>
      <c r="B1359" s="152">
        <v>2018</v>
      </c>
      <c r="C1359" s="152">
        <v>6</v>
      </c>
      <c r="D1359" s="33" t="str">
        <f t="shared" si="400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1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2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4"/>
        <v>30400000</v>
      </c>
      <c r="AA1359" s="13">
        <v>7.0199999999999999E-2</v>
      </c>
      <c r="AB1359" s="21">
        <f t="shared" si="403"/>
        <v>2134080</v>
      </c>
      <c r="AC1359" s="130">
        <f t="shared" si="404"/>
        <v>347641.63199999998</v>
      </c>
      <c r="AD1359" s="169">
        <v>0.16289999999999999</v>
      </c>
      <c r="AE1359" s="154">
        <f t="shared" si="405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5"/>
        <v>10786543.370020689</v>
      </c>
      <c r="AJ1359" s="19">
        <f t="shared" si="416"/>
        <v>1330367.5841569281</v>
      </c>
      <c r="AK1359" s="20">
        <f t="shared" si="406"/>
        <v>0.123335858255987</v>
      </c>
      <c r="AL1359" s="17"/>
      <c r="AM1359" s="17"/>
      <c r="AN1359" s="17"/>
      <c r="AO1359" s="17"/>
      <c r="AP1359" s="28" t="str">
        <f t="shared" si="407"/>
        <v>201810</v>
      </c>
      <c r="AQ1359" s="28" t="str">
        <f t="shared" si="408"/>
        <v>201810JPY</v>
      </c>
      <c r="AR1359" s="206" t="str">
        <f t="shared" si="409"/>
        <v>YAMAHA_Mounter</v>
      </c>
      <c r="AS1359" s="22">
        <f t="shared" si="410"/>
        <v>4</v>
      </c>
      <c r="AT1359" s="24" t="str">
        <f t="shared" si="411"/>
        <v>4-6 months</v>
      </c>
    </row>
    <row r="1360" spans="1:46" s="12" customFormat="1">
      <c r="A1360" s="33" t="str">
        <f t="shared" si="399"/>
        <v>FY 20/21</v>
      </c>
      <c r="B1360" s="152">
        <v>2020</v>
      </c>
      <c r="C1360" s="152">
        <v>11</v>
      </c>
      <c r="D1360" s="33" t="str">
        <f t="shared" si="400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1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2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4"/>
        <v>15081320</v>
      </c>
      <c r="AA1360" s="13">
        <v>7.6799999999999993E-2</v>
      </c>
      <c r="AB1360" s="21">
        <f t="shared" si="403"/>
        <v>1158245.3759999999</v>
      </c>
      <c r="AC1360" s="130">
        <f t="shared" si="404"/>
        <v>200723.92366080001</v>
      </c>
      <c r="AD1360" s="169">
        <v>0.17330000000000001</v>
      </c>
      <c r="AE1360" s="154">
        <f t="shared" si="405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5"/>
        <v>45803245.025628321</v>
      </c>
      <c r="AJ1360" s="19">
        <f t="shared" si="416"/>
        <v>5664636.2584379362</v>
      </c>
      <c r="AK1360" s="20">
        <f t="shared" si="406"/>
        <v>0.12367325186825515</v>
      </c>
      <c r="AL1360" s="17"/>
      <c r="AM1360" s="17"/>
      <c r="AN1360" s="17"/>
      <c r="AO1360" s="17"/>
      <c r="AP1360" s="28" t="str">
        <f t="shared" si="407"/>
        <v>20211</v>
      </c>
      <c r="AQ1360" s="28" t="str">
        <f t="shared" si="408"/>
        <v>20211JPY</v>
      </c>
      <c r="AR1360" s="206" t="str">
        <f t="shared" si="409"/>
        <v>YAMAHA_Mounter</v>
      </c>
      <c r="AS1360" s="22">
        <f t="shared" si="410"/>
        <v>2</v>
      </c>
      <c r="AT1360" s="24" t="str">
        <f t="shared" si="411"/>
        <v>0-3 months</v>
      </c>
    </row>
    <row r="1361" spans="1:46" s="12" customFormat="1">
      <c r="A1361" s="33" t="str">
        <f t="shared" si="399"/>
        <v>FY 20/21</v>
      </c>
      <c r="B1361" s="152">
        <v>2020</v>
      </c>
      <c r="C1361" s="152">
        <v>11</v>
      </c>
      <c r="D1361" s="33" t="str">
        <f t="shared" si="400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1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2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4"/>
        <v>15081320</v>
      </c>
      <c r="AA1361" s="13">
        <v>7.6799999999999993E-2</v>
      </c>
      <c r="AB1361" s="21">
        <f t="shared" si="403"/>
        <v>1158245.3759999999</v>
      </c>
      <c r="AC1361" s="130">
        <f t="shared" si="404"/>
        <v>200723.92366080001</v>
      </c>
      <c r="AD1361" s="169">
        <v>0.17330000000000001</v>
      </c>
      <c r="AE1361" s="154">
        <f t="shared" si="405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5"/>
        <v>45803245.025628321</v>
      </c>
      <c r="AJ1361" s="19">
        <f t="shared" si="416"/>
        <v>5664636.2584379362</v>
      </c>
      <c r="AK1361" s="20">
        <f t="shared" si="406"/>
        <v>0.12367325186825515</v>
      </c>
      <c r="AL1361" s="17"/>
      <c r="AM1361" s="17"/>
      <c r="AN1361" s="17"/>
      <c r="AO1361" s="17"/>
      <c r="AP1361" s="28" t="str">
        <f t="shared" si="407"/>
        <v>20211</v>
      </c>
      <c r="AQ1361" s="28" t="str">
        <f t="shared" si="408"/>
        <v>20211JPY</v>
      </c>
      <c r="AR1361" s="206" t="str">
        <f t="shared" si="409"/>
        <v>YAMAHA_Mounter</v>
      </c>
      <c r="AS1361" s="22">
        <f t="shared" si="410"/>
        <v>2</v>
      </c>
      <c r="AT1361" s="24" t="str">
        <f t="shared" si="411"/>
        <v>0-3 months</v>
      </c>
    </row>
    <row r="1362" spans="1:46" s="12" customFormat="1">
      <c r="A1362" s="33" t="str">
        <f t="shared" si="399"/>
        <v>FY 23/24</v>
      </c>
      <c r="B1362" s="23">
        <v>2024</v>
      </c>
      <c r="C1362" s="152">
        <v>3</v>
      </c>
      <c r="D1362" s="33" t="str">
        <f t="shared" si="400"/>
        <v>Q4</v>
      </c>
      <c r="E1362" s="33" t="str">
        <f>IF(G1362="Cancel","Cancel",IF(G1362="TBA","TBA",IFERROR(IF(I1362="Q4","FY "&amp;RIGHT(F1362,2)-1&amp;"/"&amp;RIGHT(F1362,2),"FY "&amp;RIGHT(F1362,2)&amp;"/"&amp;RIGHT(F1362,2)+1),"")))</f>
        <v>FY 24/25</v>
      </c>
      <c r="F1362" s="23">
        <v>2024</v>
      </c>
      <c r="G1362" s="23">
        <v>6</v>
      </c>
      <c r="H1362" s="29"/>
      <c r="I1362" s="33" t="str">
        <f t="shared" si="401"/>
        <v>Q1</v>
      </c>
      <c r="J1362" s="188" t="s">
        <v>3341</v>
      </c>
      <c r="K1362" s="29" t="s">
        <v>3342</v>
      </c>
      <c r="L1362" s="17" t="s">
        <v>93</v>
      </c>
      <c r="M1362" s="22" t="s">
        <v>61</v>
      </c>
      <c r="N1362" s="22">
        <v>1</v>
      </c>
      <c r="O1362" s="22"/>
      <c r="P1362" s="33" t="str">
        <f t="shared" si="402"/>
        <v>MAIN UNIT</v>
      </c>
      <c r="Q1362" s="13" t="s">
        <v>62</v>
      </c>
      <c r="R1362" s="22" t="s">
        <v>63</v>
      </c>
      <c r="S1362" s="22" t="s">
        <v>50</v>
      </c>
      <c r="T1362" s="22" t="s">
        <v>79</v>
      </c>
      <c r="U1362" s="22" t="s">
        <v>79</v>
      </c>
      <c r="V1362" s="22" t="s">
        <v>113</v>
      </c>
      <c r="W1362" s="22" t="s">
        <v>110</v>
      </c>
      <c r="X1362" s="30">
        <v>11000000</v>
      </c>
      <c r="Y1362" s="31" t="str">
        <f>IF(W1362="","",IF(W1362="RMB","1.13", "1"))</f>
        <v>1</v>
      </c>
      <c r="Z1362" s="18">
        <f t="shared" si="414"/>
        <v>11000000</v>
      </c>
      <c r="AA1362" s="13">
        <v>5.0999999999999997E-2</v>
      </c>
      <c r="AB1362" s="21">
        <f t="shared" si="403"/>
        <v>561000</v>
      </c>
      <c r="AC1362" s="25">
        <f t="shared" si="404"/>
        <v>40392</v>
      </c>
      <c r="AD1362" s="170">
        <v>7.1999999999999995E-2</v>
      </c>
      <c r="AE1362" s="26">
        <f t="shared" si="405"/>
        <v>0</v>
      </c>
      <c r="AF1362" s="26" t="str">
        <f>IF(AND(COUNTIFS($J$18:J1362,J1362)=1,AE1362=1),1,"")</f>
        <v/>
      </c>
      <c r="AG1362" s="26" t="str">
        <f>IF(C1362="","",IF(AND(COUNTIFS($J$18:J1362,J1362)=1,C1362&lt;&gt;""),1,""))</f>
        <v/>
      </c>
      <c r="AH1362" s="26" t="str">
        <f>IF(G1362="","",IF(AND(COUNTIFS($J$18:J1362,J1362)=1,G1362&lt;&gt;""),1,""))</f>
        <v/>
      </c>
      <c r="AI1362" s="27">
        <f t="shared" si="415"/>
        <v>27308925.887079656</v>
      </c>
      <c r="AJ1362" s="27">
        <f t="shared" si="416"/>
        <v>3319273.860338124</v>
      </c>
      <c r="AK1362" s="28">
        <f t="shared" si="406"/>
        <v>0.12154538314919709</v>
      </c>
      <c r="AL1362" s="24"/>
      <c r="AM1362" s="24"/>
      <c r="AN1362" s="24"/>
      <c r="AO1362" s="24"/>
      <c r="AP1362" s="28" t="str">
        <f t="shared" si="407"/>
        <v>20246</v>
      </c>
      <c r="AQ1362" s="28" t="str">
        <f t="shared" si="408"/>
        <v>20246JPY</v>
      </c>
      <c r="AR1362" s="206" t="str">
        <f t="shared" si="409"/>
        <v>YAMAHA_Mounter</v>
      </c>
      <c r="AS1362" s="22">
        <f t="shared" si="410"/>
        <v>3</v>
      </c>
      <c r="AT1362" s="24" t="str">
        <f t="shared" si="411"/>
        <v>0-3 months</v>
      </c>
    </row>
    <row r="1363" spans="1:46" s="12" customFormat="1">
      <c r="A1363" s="33" t="str">
        <f t="shared" si="399"/>
        <v>FY 23/24</v>
      </c>
      <c r="B1363" s="23">
        <v>2024</v>
      </c>
      <c r="C1363" s="152">
        <v>3</v>
      </c>
      <c r="D1363" s="33" t="str">
        <f t="shared" si="400"/>
        <v>Q4</v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6</v>
      </c>
      <c r="H1363" s="29"/>
      <c r="I1363" s="33" t="str">
        <f t="shared" si="401"/>
        <v>Q1</v>
      </c>
      <c r="J1363" s="188" t="s">
        <v>3341</v>
      </c>
      <c r="K1363" s="29" t="s">
        <v>3342</v>
      </c>
      <c r="L1363" s="17" t="s">
        <v>68</v>
      </c>
      <c r="M1363" s="22" t="s">
        <v>61</v>
      </c>
      <c r="N1363" s="22">
        <v>1</v>
      </c>
      <c r="O1363" s="22"/>
      <c r="P1363" s="33" t="str">
        <f t="shared" si="402"/>
        <v>MAIN UNIT</v>
      </c>
      <c r="Q1363" s="13" t="s">
        <v>62</v>
      </c>
      <c r="R1363" s="22" t="s">
        <v>63</v>
      </c>
      <c r="S1363" s="22" t="s">
        <v>50</v>
      </c>
      <c r="T1363" s="22" t="s">
        <v>79</v>
      </c>
      <c r="U1363" s="22" t="s">
        <v>79</v>
      </c>
      <c r="V1363" s="22" t="s">
        <v>113</v>
      </c>
      <c r="W1363" s="22" t="s">
        <v>110</v>
      </c>
      <c r="X1363" s="30">
        <v>9652900</v>
      </c>
      <c r="Y1363" s="31" t="str">
        <f>IF(W1363="","",IF(W1363="RMB","1.13", "1"))</f>
        <v>1</v>
      </c>
      <c r="Z1363" s="18">
        <f t="shared" si="414"/>
        <v>9652900</v>
      </c>
      <c r="AA1363" s="13">
        <v>5.0999999999999997E-2</v>
      </c>
      <c r="AB1363" s="21">
        <f t="shared" si="403"/>
        <v>492297.89999999997</v>
      </c>
      <c r="AC1363" s="25">
        <f t="shared" si="404"/>
        <v>35445.448799999998</v>
      </c>
      <c r="AD1363" s="170">
        <v>7.1999999999999995E-2</v>
      </c>
      <c r="AE1363" s="26">
        <f t="shared" si="405"/>
        <v>0</v>
      </c>
      <c r="AF1363" s="26" t="str">
        <f>IF(AND(COUNTIFS($J$18:J1363,J1363)=1,AE1363=1),1,"")</f>
        <v/>
      </c>
      <c r="AG1363" s="26" t="str">
        <f>IF(C1363="","",IF(AND(COUNTIFS($J$18:J1363,J1363)=1,C1363&lt;&gt;""),1,""))</f>
        <v/>
      </c>
      <c r="AH1363" s="26" t="str">
        <f>IF(G1363="","",IF(AND(COUNTIFS($J$18:J1363,J1363)=1,G1363&lt;&gt;""),1,""))</f>
        <v/>
      </c>
      <c r="AI1363" s="27">
        <f t="shared" si="415"/>
        <v>27308925.887079656</v>
      </c>
      <c r="AJ1363" s="27">
        <f t="shared" si="416"/>
        <v>3319273.860338124</v>
      </c>
      <c r="AK1363" s="28">
        <f t="shared" si="406"/>
        <v>0.12154538314919709</v>
      </c>
      <c r="AL1363" s="24"/>
      <c r="AM1363" s="24"/>
      <c r="AN1363" s="24"/>
      <c r="AO1363" s="24"/>
      <c r="AP1363" s="28" t="str">
        <f t="shared" si="407"/>
        <v>20246</v>
      </c>
      <c r="AQ1363" s="28" t="str">
        <f t="shared" si="408"/>
        <v>20246JPY</v>
      </c>
      <c r="AR1363" s="206" t="str">
        <f t="shared" si="409"/>
        <v>YAMAHA_Mounter</v>
      </c>
      <c r="AS1363" s="22">
        <f t="shared" si="410"/>
        <v>3</v>
      </c>
      <c r="AT1363" s="24" t="str">
        <f t="shared" si="411"/>
        <v>0-3 months</v>
      </c>
    </row>
    <row r="1364" spans="1:46" s="12" customFormat="1">
      <c r="A1364" s="33" t="str">
        <f t="shared" si="399"/>
        <v>FY 17/18</v>
      </c>
      <c r="B1364" s="152">
        <v>2018</v>
      </c>
      <c r="C1364" s="152">
        <v>1</v>
      </c>
      <c r="D1364" s="33" t="str">
        <f t="shared" si="400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1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2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4"/>
        <v>106568000</v>
      </c>
      <c r="AA1364" s="13">
        <v>7.0699999999999999E-2</v>
      </c>
      <c r="AB1364" s="21">
        <f t="shared" si="403"/>
        <v>7534357.5999999996</v>
      </c>
      <c r="AC1364" s="130">
        <f t="shared" si="404"/>
        <v>904122.91199999989</v>
      </c>
      <c r="AD1364" s="169">
        <v>0.12</v>
      </c>
      <c r="AE1364" s="154">
        <f t="shared" si="405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5"/>
        <v>477651199.57437885</v>
      </c>
      <c r="AJ1364" s="19">
        <f t="shared" si="416"/>
        <v>56918800.518691957</v>
      </c>
      <c r="AK1364" s="20">
        <f t="shared" si="406"/>
        <v>0.11916394341605475</v>
      </c>
      <c r="AL1364" s="17"/>
      <c r="AM1364" s="17"/>
      <c r="AN1364" s="17"/>
      <c r="AO1364" s="17"/>
      <c r="AP1364" s="28" t="str">
        <f t="shared" si="407"/>
        <v>CancelCancel</v>
      </c>
      <c r="AQ1364" s="28" t="str">
        <f t="shared" si="408"/>
        <v>CancelCancelJPY</v>
      </c>
      <c r="AR1364" s="206" t="str">
        <f t="shared" si="409"/>
        <v>YAMAHA_Mounter</v>
      </c>
      <c r="AS1364" s="22" t="str">
        <f t="shared" si="410"/>
        <v/>
      </c>
      <c r="AT1364" s="24" t="str">
        <f t="shared" si="411"/>
        <v/>
      </c>
    </row>
    <row r="1365" spans="1:46" s="12" customFormat="1">
      <c r="A1365" s="33" t="str">
        <f t="shared" si="399"/>
        <v>FY 23/24</v>
      </c>
      <c r="B1365" s="152">
        <v>2023</v>
      </c>
      <c r="C1365" s="152">
        <v>11</v>
      </c>
      <c r="D1365" s="33" t="str">
        <f t="shared" si="400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1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2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4"/>
        <v>430000</v>
      </c>
      <c r="AA1365" s="13">
        <v>1.07</v>
      </c>
      <c r="AB1365" s="21">
        <f t="shared" si="403"/>
        <v>407168.14159292041</v>
      </c>
      <c r="AC1365" s="130">
        <f t="shared" si="404"/>
        <v>52117.52212389381</v>
      </c>
      <c r="AD1365" s="169">
        <v>0.128</v>
      </c>
      <c r="AE1365" s="154">
        <f t="shared" si="405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5"/>
        <v>11730565.00042478</v>
      </c>
      <c r="AJ1365" s="19">
        <f t="shared" si="416"/>
        <v>1439625.5685810833</v>
      </c>
      <c r="AK1365" s="20">
        <f t="shared" si="406"/>
        <v>0.12272431622253084</v>
      </c>
      <c r="AL1365" s="17"/>
      <c r="AM1365" s="17"/>
      <c r="AN1365" s="17"/>
      <c r="AO1365" s="17"/>
      <c r="AP1365" s="28" t="str">
        <f t="shared" si="407"/>
        <v>202311</v>
      </c>
      <c r="AQ1365" s="28" t="str">
        <f t="shared" si="408"/>
        <v>202311RMB</v>
      </c>
      <c r="AR1365" s="206" t="str">
        <f t="shared" si="409"/>
        <v>YAMAHA_Mounter</v>
      </c>
      <c r="AS1365" s="22">
        <f t="shared" si="410"/>
        <v>0</v>
      </c>
      <c r="AT1365" s="24" t="str">
        <f t="shared" si="411"/>
        <v>0-3 months</v>
      </c>
    </row>
    <row r="1366" spans="1:46" s="12" customFormat="1">
      <c r="A1366" s="33" t="str">
        <f t="shared" si="399"/>
        <v>cancel</v>
      </c>
      <c r="B1366" s="152"/>
      <c r="C1366" s="152" t="s">
        <v>186</v>
      </c>
      <c r="D1366" s="33" t="str">
        <f t="shared" si="400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1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2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4"/>
        <v>515000</v>
      </c>
      <c r="AA1366" s="13">
        <v>1.2</v>
      </c>
      <c r="AB1366" s="21">
        <f t="shared" si="403"/>
        <v>546902.65486725664</v>
      </c>
      <c r="AC1366" s="130">
        <f t="shared" si="404"/>
        <v>65628.318584070788</v>
      </c>
      <c r="AD1366" s="169">
        <v>0.12</v>
      </c>
      <c r="AE1366" s="154">
        <f t="shared" si="405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5"/>
        <v>477651199.57437885</v>
      </c>
      <c r="AJ1366" s="19">
        <f t="shared" si="416"/>
        <v>56918800.518691957</v>
      </c>
      <c r="AK1366" s="20">
        <f t="shared" si="406"/>
        <v>0.11916394341605475</v>
      </c>
      <c r="AL1366" s="17"/>
      <c r="AM1366" s="17"/>
      <c r="AN1366" s="17"/>
      <c r="AO1366" s="17"/>
      <c r="AP1366" s="28" t="str">
        <f t="shared" si="407"/>
        <v>CancelCANCEL</v>
      </c>
      <c r="AQ1366" s="28" t="str">
        <f t="shared" si="408"/>
        <v>CancelCANCELRMB</v>
      </c>
      <c r="AR1366" s="206" t="str">
        <f t="shared" si="409"/>
        <v>YAMAHA_Mounter</v>
      </c>
      <c r="AS1366" s="22" t="str">
        <f t="shared" si="410"/>
        <v/>
      </c>
      <c r="AT1366" s="24" t="str">
        <f t="shared" si="411"/>
        <v/>
      </c>
    </row>
    <row r="1367" spans="1:46" s="12" customFormat="1">
      <c r="A1367" s="33" t="str">
        <f t="shared" si="399"/>
        <v>cancel</v>
      </c>
      <c r="B1367" s="152"/>
      <c r="C1367" s="152" t="s">
        <v>186</v>
      </c>
      <c r="D1367" s="33" t="str">
        <f t="shared" si="400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1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2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4"/>
        <v>13600000</v>
      </c>
      <c r="AA1367" s="13">
        <v>6.25E-2</v>
      </c>
      <c r="AB1367" s="21">
        <f t="shared" si="403"/>
        <v>850000</v>
      </c>
      <c r="AC1367" s="130">
        <f t="shared" si="404"/>
        <v>102000</v>
      </c>
      <c r="AD1367" s="169">
        <v>0.12</v>
      </c>
      <c r="AE1367" s="154">
        <f t="shared" si="405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5"/>
        <v>477651199.57437885</v>
      </c>
      <c r="AJ1367" s="19">
        <f t="shared" si="416"/>
        <v>56918800.518691957</v>
      </c>
      <c r="AK1367" s="20">
        <f t="shared" si="406"/>
        <v>0.11916394341605475</v>
      </c>
      <c r="AL1367" s="17"/>
      <c r="AM1367" s="17"/>
      <c r="AN1367" s="17"/>
      <c r="AO1367" s="17"/>
      <c r="AP1367" s="28" t="str">
        <f t="shared" si="407"/>
        <v>CancelCancel</v>
      </c>
      <c r="AQ1367" s="28" t="str">
        <f t="shared" si="408"/>
        <v>CancelCancelJPY</v>
      </c>
      <c r="AR1367" s="206" t="str">
        <f t="shared" si="409"/>
        <v>YAMAHA_Mounter</v>
      </c>
      <c r="AS1367" s="22" t="str">
        <f t="shared" si="410"/>
        <v/>
      </c>
      <c r="AT1367" s="24" t="str">
        <f t="shared" si="411"/>
        <v/>
      </c>
    </row>
    <row r="1368" spans="1:46" s="12" customFormat="1">
      <c r="A1368" s="33" t="str">
        <f t="shared" si="399"/>
        <v>FY 18/19</v>
      </c>
      <c r="B1368" s="152">
        <v>2018</v>
      </c>
      <c r="C1368" s="152">
        <v>5</v>
      </c>
      <c r="D1368" s="33" t="str">
        <f t="shared" si="400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1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2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4"/>
        <v>843000</v>
      </c>
      <c r="AA1368" s="13">
        <v>1.1499999999999999</v>
      </c>
      <c r="AB1368" s="21">
        <f t="shared" si="403"/>
        <v>835732.75862068962</v>
      </c>
      <c r="AC1368" s="130">
        <f t="shared" si="404"/>
        <v>93100.629310344826</v>
      </c>
      <c r="AD1368" s="169">
        <v>0.1114</v>
      </c>
      <c r="AE1368" s="154">
        <f t="shared" si="405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5"/>
        <v>26754147.763010349</v>
      </c>
      <c r="AJ1368" s="19">
        <f t="shared" si="416"/>
        <v>3429137.9965357962</v>
      </c>
      <c r="AK1368" s="20">
        <f t="shared" si="406"/>
        <v>0.12817220069617921</v>
      </c>
      <c r="AL1368" s="17"/>
      <c r="AM1368" s="17"/>
      <c r="AN1368" s="17"/>
      <c r="AO1368" s="17"/>
      <c r="AP1368" s="28" t="str">
        <f t="shared" si="407"/>
        <v>20188</v>
      </c>
      <c r="AQ1368" s="28" t="str">
        <f t="shared" si="408"/>
        <v>20188RMB</v>
      </c>
      <c r="AR1368" s="206" t="str">
        <f t="shared" si="409"/>
        <v>YAMAHA_Mounter</v>
      </c>
      <c r="AS1368" s="22">
        <f t="shared" si="410"/>
        <v>3</v>
      </c>
      <c r="AT1368" s="24" t="str">
        <f t="shared" si="411"/>
        <v>0-3 months</v>
      </c>
    </row>
    <row r="1369" spans="1:46" s="12" customFormat="1">
      <c r="A1369" s="33" t="str">
        <f t="shared" si="399"/>
        <v>FY 20/21</v>
      </c>
      <c r="B1369" s="152">
        <v>2020</v>
      </c>
      <c r="C1369" s="152">
        <v>10</v>
      </c>
      <c r="D1369" s="33" t="str">
        <f t="shared" si="400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1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2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4"/>
        <v>900000</v>
      </c>
      <c r="AA1369" s="13">
        <v>1.175</v>
      </c>
      <c r="AB1369" s="21">
        <f t="shared" si="403"/>
        <v>935840.70796460181</v>
      </c>
      <c r="AC1369" s="130">
        <f t="shared" si="404"/>
        <v>95175</v>
      </c>
      <c r="AD1369" s="169">
        <v>0.1017</v>
      </c>
      <c r="AE1369" s="154">
        <f t="shared" si="405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5"/>
        <v>48763143.537654862</v>
      </c>
      <c r="AJ1369" s="19">
        <f t="shared" si="416"/>
        <v>5924029.9702154724</v>
      </c>
      <c r="AK1369" s="20">
        <f t="shared" si="406"/>
        <v>0.1214858095774925</v>
      </c>
      <c r="AL1369" s="17"/>
      <c r="AM1369" s="17"/>
      <c r="AN1369" s="17"/>
      <c r="AO1369" s="17"/>
      <c r="AP1369" s="28" t="str">
        <f t="shared" si="407"/>
        <v>202012</v>
      </c>
      <c r="AQ1369" s="28" t="str">
        <f t="shared" si="408"/>
        <v>202012RMB</v>
      </c>
      <c r="AR1369" s="206" t="str">
        <f t="shared" si="409"/>
        <v>YAMAHA_Mounter</v>
      </c>
      <c r="AS1369" s="22">
        <f t="shared" si="410"/>
        <v>2</v>
      </c>
      <c r="AT1369" s="24" t="str">
        <f t="shared" si="411"/>
        <v>0-3 months</v>
      </c>
    </row>
    <row r="1370" spans="1:46" s="12" customFormat="1">
      <c r="A1370" s="33" t="str">
        <f t="shared" si="399"/>
        <v>FY 20/21</v>
      </c>
      <c r="B1370" s="152">
        <v>2020</v>
      </c>
      <c r="C1370" s="152">
        <v>10</v>
      </c>
      <c r="D1370" s="33" t="str">
        <f t="shared" si="400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1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2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4"/>
        <v>620000</v>
      </c>
      <c r="AA1370" s="13">
        <v>1.1850000000000001</v>
      </c>
      <c r="AB1370" s="21">
        <f t="shared" si="403"/>
        <v>650176.99115044263</v>
      </c>
      <c r="AC1370" s="130">
        <f t="shared" si="404"/>
        <v>66123.000000000015</v>
      </c>
      <c r="AD1370" s="169">
        <v>0.1017</v>
      </c>
      <c r="AE1370" s="154">
        <f t="shared" si="405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5"/>
        <v>45803245.025628321</v>
      </c>
      <c r="AJ1370" s="19">
        <f t="shared" si="416"/>
        <v>5664636.2584379362</v>
      </c>
      <c r="AK1370" s="20">
        <f t="shared" si="406"/>
        <v>0.12367325186825515</v>
      </c>
      <c r="AL1370" s="17"/>
      <c r="AM1370" s="17"/>
      <c r="AN1370" s="17"/>
      <c r="AO1370" s="17"/>
      <c r="AP1370" s="28" t="str">
        <f t="shared" si="407"/>
        <v>20211</v>
      </c>
      <c r="AQ1370" s="28" t="str">
        <f t="shared" si="408"/>
        <v>20211RMB</v>
      </c>
      <c r="AR1370" s="206" t="str">
        <f t="shared" si="409"/>
        <v>YAMAHA_Mounter</v>
      </c>
      <c r="AS1370" s="22">
        <f t="shared" si="410"/>
        <v>3</v>
      </c>
      <c r="AT1370" s="24" t="str">
        <f t="shared" si="411"/>
        <v>0-3 months</v>
      </c>
    </row>
    <row r="1371" spans="1:46" s="12" customFormat="1">
      <c r="A1371" s="33" t="str">
        <f t="shared" si="399"/>
        <v>FY 20/21</v>
      </c>
      <c r="B1371" s="152">
        <v>2020</v>
      </c>
      <c r="C1371" s="152">
        <v>4</v>
      </c>
      <c r="D1371" s="33" t="str">
        <f t="shared" si="400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1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2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4"/>
        <v>875000</v>
      </c>
      <c r="AA1371" s="13">
        <v>1.175</v>
      </c>
      <c r="AB1371" s="21">
        <f t="shared" si="403"/>
        <v>909845.13274336304</v>
      </c>
      <c r="AC1371" s="130">
        <f t="shared" si="404"/>
        <v>89801.714601769927</v>
      </c>
      <c r="AD1371" s="169">
        <v>9.8699999999999996E-2</v>
      </c>
      <c r="AE1371" s="154">
        <f t="shared" si="405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5"/>
        <v>48763143.537654862</v>
      </c>
      <c r="AJ1371" s="19">
        <f t="shared" si="416"/>
        <v>5924029.9702154724</v>
      </c>
      <c r="AK1371" s="20">
        <f t="shared" si="406"/>
        <v>0.1214858095774925</v>
      </c>
      <c r="AL1371" s="17"/>
      <c r="AM1371" s="17"/>
      <c r="AN1371" s="17"/>
      <c r="AO1371" s="17"/>
      <c r="AP1371" s="28" t="str">
        <f t="shared" si="407"/>
        <v>202012</v>
      </c>
      <c r="AQ1371" s="28" t="str">
        <f t="shared" si="408"/>
        <v>202012RMB</v>
      </c>
      <c r="AR1371" s="206" t="str">
        <f t="shared" si="409"/>
        <v>YAMAHA_Mounter</v>
      </c>
      <c r="AS1371" s="22">
        <f t="shared" si="410"/>
        <v>8</v>
      </c>
      <c r="AT1371" s="24" t="str">
        <f t="shared" si="411"/>
        <v>&gt; 6 months</v>
      </c>
    </row>
    <row r="1372" spans="1:46" s="12" customFormat="1">
      <c r="A1372" s="33" t="str">
        <f t="shared" si="399"/>
        <v>FY 20/21</v>
      </c>
      <c r="B1372" s="152">
        <v>2020</v>
      </c>
      <c r="C1372" s="152">
        <v>4</v>
      </c>
      <c r="D1372" s="33" t="str">
        <f t="shared" si="400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1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2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4"/>
        <v>875000</v>
      </c>
      <c r="AA1372" s="13">
        <v>1.175</v>
      </c>
      <c r="AB1372" s="21">
        <f t="shared" si="403"/>
        <v>909845.13274336304</v>
      </c>
      <c r="AC1372" s="130">
        <f t="shared" si="404"/>
        <v>89801.714601769927</v>
      </c>
      <c r="AD1372" s="169">
        <v>9.8699999999999996E-2</v>
      </c>
      <c r="AE1372" s="154">
        <f t="shared" si="405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5"/>
        <v>48763143.537654862</v>
      </c>
      <c r="AJ1372" s="19">
        <f t="shared" si="416"/>
        <v>5924029.9702154724</v>
      </c>
      <c r="AK1372" s="20">
        <f t="shared" si="406"/>
        <v>0.1214858095774925</v>
      </c>
      <c r="AL1372" s="17"/>
      <c r="AM1372" s="17"/>
      <c r="AN1372" s="17"/>
      <c r="AO1372" s="17"/>
      <c r="AP1372" s="28" t="str">
        <f t="shared" si="407"/>
        <v>202012</v>
      </c>
      <c r="AQ1372" s="28" t="str">
        <f t="shared" si="408"/>
        <v>202012RMB</v>
      </c>
      <c r="AR1372" s="206" t="str">
        <f t="shared" si="409"/>
        <v>YAMAHA_Mounter</v>
      </c>
      <c r="AS1372" s="22">
        <f t="shared" si="410"/>
        <v>8</v>
      </c>
      <c r="AT1372" s="24" t="str">
        <f t="shared" si="411"/>
        <v>&gt; 6 months</v>
      </c>
    </row>
    <row r="1373" spans="1:46" s="12" customFormat="1">
      <c r="A1373" s="33" t="str">
        <f t="shared" si="399"/>
        <v>FY 20/21</v>
      </c>
      <c r="B1373" s="152">
        <v>2020</v>
      </c>
      <c r="C1373" s="152">
        <v>9</v>
      </c>
      <c r="D1373" s="33" t="str">
        <f t="shared" si="400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1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2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17">IF(W1373="RMB","1.13", "1")</f>
        <v>1.13</v>
      </c>
      <c r="Z1373" s="18">
        <f t="shared" si="414"/>
        <v>927000</v>
      </c>
      <c r="AA1373" s="13">
        <v>1.155</v>
      </c>
      <c r="AB1373" s="21">
        <f t="shared" si="403"/>
        <v>947508.84955752222</v>
      </c>
      <c r="AC1373" s="130">
        <f t="shared" si="404"/>
        <v>106689.496460177</v>
      </c>
      <c r="AD1373" s="169">
        <v>0.11260000000000001</v>
      </c>
      <c r="AE1373" s="154">
        <f t="shared" si="405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5"/>
        <v>44078731.611185849</v>
      </c>
      <c r="AJ1373" s="19">
        <f t="shared" si="416"/>
        <v>5508173.2163771465</v>
      </c>
      <c r="AK1373" s="20">
        <f t="shared" si="406"/>
        <v>0.12496215328889679</v>
      </c>
      <c r="AL1373" s="17"/>
      <c r="AM1373" s="17"/>
      <c r="AN1373" s="17"/>
      <c r="AO1373" s="17"/>
      <c r="AP1373" s="28" t="str">
        <f t="shared" si="407"/>
        <v>202011</v>
      </c>
      <c r="AQ1373" s="28" t="str">
        <f t="shared" si="408"/>
        <v>202011RMB</v>
      </c>
      <c r="AR1373" s="206" t="str">
        <f t="shared" si="409"/>
        <v>YAMAHA_Mounter</v>
      </c>
      <c r="AS1373" s="22">
        <f t="shared" si="410"/>
        <v>2</v>
      </c>
      <c r="AT1373" s="24" t="str">
        <f t="shared" si="411"/>
        <v>0-3 months</v>
      </c>
    </row>
    <row r="1374" spans="1:46" s="12" customFormat="1">
      <c r="A1374" s="33" t="str">
        <f t="shared" si="399"/>
        <v>FY 20/21</v>
      </c>
      <c r="B1374" s="152">
        <v>2020</v>
      </c>
      <c r="C1374" s="152">
        <v>9</v>
      </c>
      <c r="D1374" s="33" t="str">
        <f t="shared" si="400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1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2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17"/>
        <v>1.13</v>
      </c>
      <c r="Z1374" s="18">
        <f t="shared" si="414"/>
        <v>927000</v>
      </c>
      <c r="AA1374" s="13">
        <v>1.155</v>
      </c>
      <c r="AB1374" s="21">
        <f t="shared" si="403"/>
        <v>947508.84955752222</v>
      </c>
      <c r="AC1374" s="130">
        <f t="shared" si="404"/>
        <v>106689.496460177</v>
      </c>
      <c r="AD1374" s="169">
        <v>0.11260000000000001</v>
      </c>
      <c r="AE1374" s="154">
        <f t="shared" si="405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5"/>
        <v>44078731.611185849</v>
      </c>
      <c r="AJ1374" s="19">
        <f t="shared" si="416"/>
        <v>5508173.2163771465</v>
      </c>
      <c r="AK1374" s="20">
        <f t="shared" si="406"/>
        <v>0.12496215328889679</v>
      </c>
      <c r="AL1374" s="17"/>
      <c r="AM1374" s="17"/>
      <c r="AN1374" s="17"/>
      <c r="AO1374" s="17"/>
      <c r="AP1374" s="28" t="str">
        <f t="shared" si="407"/>
        <v>202011</v>
      </c>
      <c r="AQ1374" s="28" t="str">
        <f t="shared" si="408"/>
        <v>202011RMB</v>
      </c>
      <c r="AR1374" s="206" t="str">
        <f t="shared" si="409"/>
        <v>YAMAHA_Mounter</v>
      </c>
      <c r="AS1374" s="22">
        <f t="shared" si="410"/>
        <v>2</v>
      </c>
      <c r="AT1374" s="24" t="str">
        <f t="shared" si="411"/>
        <v>0-3 months</v>
      </c>
    </row>
    <row r="1375" spans="1:46" s="12" customFormat="1">
      <c r="A1375" s="33" t="str">
        <f t="shared" si="399"/>
        <v>FY 20/21</v>
      </c>
      <c r="B1375" s="152">
        <v>2020</v>
      </c>
      <c r="C1375" s="152">
        <v>9</v>
      </c>
      <c r="D1375" s="33" t="str">
        <f t="shared" si="400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1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2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17"/>
        <v>1.13</v>
      </c>
      <c r="Z1375" s="18">
        <f t="shared" si="414"/>
        <v>927000</v>
      </c>
      <c r="AA1375" s="13">
        <v>1.155</v>
      </c>
      <c r="AB1375" s="21">
        <f t="shared" si="403"/>
        <v>947508.84955752222</v>
      </c>
      <c r="AC1375" s="130">
        <f t="shared" si="404"/>
        <v>106689.496460177</v>
      </c>
      <c r="AD1375" s="169">
        <v>0.11260000000000001</v>
      </c>
      <c r="AE1375" s="154">
        <f t="shared" si="405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5"/>
        <v>44078731.611185849</v>
      </c>
      <c r="AJ1375" s="19">
        <f t="shared" si="416"/>
        <v>5508173.2163771465</v>
      </c>
      <c r="AK1375" s="20">
        <f t="shared" si="406"/>
        <v>0.12496215328889679</v>
      </c>
      <c r="AL1375" s="17"/>
      <c r="AM1375" s="17"/>
      <c r="AN1375" s="17"/>
      <c r="AO1375" s="17"/>
      <c r="AP1375" s="28" t="str">
        <f t="shared" si="407"/>
        <v>202011</v>
      </c>
      <c r="AQ1375" s="28" t="str">
        <f t="shared" si="408"/>
        <v>202011RMB</v>
      </c>
      <c r="AR1375" s="206" t="str">
        <f t="shared" si="409"/>
        <v>YAMAHA_Mounter</v>
      </c>
      <c r="AS1375" s="22">
        <f t="shared" si="410"/>
        <v>2</v>
      </c>
      <c r="AT1375" s="24" t="str">
        <f t="shared" si="411"/>
        <v>0-3 months</v>
      </c>
    </row>
    <row r="1376" spans="1:46" s="12" customFormat="1">
      <c r="A1376" s="33" t="str">
        <f t="shared" ref="A1376:A1439" si="418">IF(C1376="cancel","cancel",IFERROR(IF(D1376="Q4","FY "&amp;RIGHT(B1376,2)-1&amp;"/"&amp;RIGHT(B1376,2),"FY "&amp;RIGHT(B1376,2)&amp;"/"&amp;RIGHT(B1376,2)+1),""))</f>
        <v>FY 20/21</v>
      </c>
      <c r="B1376" s="152">
        <v>2020</v>
      </c>
      <c r="C1376" s="152">
        <v>9</v>
      </c>
      <c r="D1376" s="33" t="str">
        <f t="shared" ref="D1376:D1439" si="419">IF(B1376="","",IF(AND(C1376&gt;=10,C1376&lt;=12),"Q3",IF(AND(C1376&gt;=1,C1376&lt;=3),"Q4",IF(AND(C1376&gt;=7,C1376&lt;=9),"Q2",IF(AND(C1376&gt;=4,C1376&lt;=6),"Q1")))))</f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ref="I1376:I1439" si="420">IFERROR(IF(F1376="","",IF(F1376="TBA","TBA",IF(F1376="Cancel","Cancel",IF(AND(G1376&gt;=10,G1376&lt;=12),"Q3",IF(AND(G1376&gt;=1,G1376&lt;=3),"Q4",IF(AND(G1376&gt;=7,G1376&lt;=9),"Q2",IF(AND(G1376&gt;=4,G1376&lt;=6),"Q1"))))))),"")</f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ref="P1376:P1439" si="421">IF(M1376="","",IF(AND(N1376&gt;0,L1376&lt;&gt;""),"MAIN UNIT",IF(AND(O1376&gt;0,L1376&lt;&gt;""),"SERVICE/ PARTS","C66 SERVICE/OTHERS")))</f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17"/>
        <v>1.13</v>
      </c>
      <c r="Z1376" s="18">
        <f t="shared" si="414"/>
        <v>927000</v>
      </c>
      <c r="AA1376" s="13">
        <v>1.155</v>
      </c>
      <c r="AB1376" s="21">
        <f t="shared" ref="AB1376:AB1439" si="422">IF(AND(R1376&lt;&gt;"C66",R1376&lt;&gt;""),Z1376/Y1376*AA1376,"")</f>
        <v>947508.84955752222</v>
      </c>
      <c r="AC1376" s="130">
        <f t="shared" ref="AC1376:AC1439" si="423">IF(R1376&lt;&gt;"",AB1376*AD1376,"")</f>
        <v>106689.496460177</v>
      </c>
      <c r="AD1376" s="169">
        <v>0.11260000000000001</v>
      </c>
      <c r="AE1376" s="154">
        <f t="shared" ref="AE1376:AE1439" si="424">IF(Q1376="","",IF(Q1376="Yes",1,0))</f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5"/>
        <v>44078731.611185849</v>
      </c>
      <c r="AJ1376" s="19">
        <f t="shared" si="416"/>
        <v>5508173.2163771465</v>
      </c>
      <c r="AK1376" s="20">
        <f t="shared" ref="AK1376:AK1439" si="425">IF(AJ1376&gt;0,AJ1376/AI1376,"")</f>
        <v>0.12496215328889679</v>
      </c>
      <c r="AL1376" s="17"/>
      <c r="AM1376" s="17"/>
      <c r="AN1376" s="17"/>
      <c r="AO1376" s="17"/>
      <c r="AP1376" s="28" t="str">
        <f t="shared" ref="AP1376:AP1439" si="426">IF(F1376="","",F1376&amp;G1376)</f>
        <v>202011</v>
      </c>
      <c r="AQ1376" s="28" t="str">
        <f t="shared" ref="AQ1376:AQ1439" si="427">IF(W1376="","",F1376&amp;G1376&amp;W1376)</f>
        <v>202011RMB</v>
      </c>
      <c r="AR1376" s="206" t="str">
        <f t="shared" ref="AR1376:AR1439" si="428">IFERROR(IF(AND(M1376="YAMAHA", R1376="C28"), "YAMAHA_Non_Mounter", IF(AND(M1376="YAMAHA", R1376="C49"), "YAMAHA_Mounter", M1376)),"")</f>
        <v>YAMAHA_Mounter</v>
      </c>
      <c r="AS1376" s="22">
        <f t="shared" ref="AS1376:AS1439" si="429">IFERROR(IF(OR(G1376="TBA", G1376=""), "", DATEDIF(DATE(B1376, C1376, 1), DATE(F1376, G1376, 1), "M")),"")</f>
        <v>2</v>
      </c>
      <c r="AT1376" s="24" t="str">
        <f t="shared" ref="AT1376:AT1439" si="430">IF(ISNUMBER(AS1376), IF(AS1376&gt;=0, IF(AS1376&lt;=3, "0-3 months", IF(AS1376&lt;=6, "4-6 months", "&gt; 6 months"))), "")</f>
        <v>0-3 months</v>
      </c>
    </row>
    <row r="1377" spans="1:46" s="12" customFormat="1">
      <c r="A1377" s="33" t="str">
        <f t="shared" si="418"/>
        <v>FY 20/21</v>
      </c>
      <c r="B1377" s="152">
        <v>2020</v>
      </c>
      <c r="C1377" s="152">
        <v>9</v>
      </c>
      <c r="D1377" s="33" t="str">
        <f t="shared" si="419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20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21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17"/>
        <v>1.13</v>
      </c>
      <c r="Z1377" s="18">
        <f t="shared" si="414"/>
        <v>927000</v>
      </c>
      <c r="AA1377" s="13">
        <v>1.155</v>
      </c>
      <c r="AB1377" s="21">
        <f t="shared" si="422"/>
        <v>947508.84955752222</v>
      </c>
      <c r="AC1377" s="130">
        <f t="shared" si="423"/>
        <v>106689.496460177</v>
      </c>
      <c r="AD1377" s="169">
        <v>0.11260000000000001</v>
      </c>
      <c r="AE1377" s="154">
        <f t="shared" si="424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5"/>
        <v>44078731.611185849</v>
      </c>
      <c r="AJ1377" s="19">
        <f t="shared" si="416"/>
        <v>5508173.2163771465</v>
      </c>
      <c r="AK1377" s="20">
        <f t="shared" si="425"/>
        <v>0.12496215328889679</v>
      </c>
      <c r="AL1377" s="17"/>
      <c r="AM1377" s="17"/>
      <c r="AN1377" s="17"/>
      <c r="AO1377" s="17"/>
      <c r="AP1377" s="28" t="str">
        <f t="shared" si="426"/>
        <v>202011</v>
      </c>
      <c r="AQ1377" s="28" t="str">
        <f t="shared" si="427"/>
        <v>202011RMB</v>
      </c>
      <c r="AR1377" s="206" t="str">
        <f t="shared" si="428"/>
        <v>YAMAHA_Mounter</v>
      </c>
      <c r="AS1377" s="22">
        <f t="shared" si="429"/>
        <v>2</v>
      </c>
      <c r="AT1377" s="24" t="str">
        <f t="shared" si="430"/>
        <v>0-3 months</v>
      </c>
    </row>
    <row r="1378" spans="1:46" s="12" customFormat="1">
      <c r="A1378" s="33" t="str">
        <f t="shared" si="418"/>
        <v>FY 20/21</v>
      </c>
      <c r="B1378" s="152">
        <v>2020</v>
      </c>
      <c r="C1378" s="152">
        <v>11</v>
      </c>
      <c r="D1378" s="33" t="str">
        <f t="shared" si="419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20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21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17"/>
        <v>1.13</v>
      </c>
      <c r="Z1378" s="18">
        <f t="shared" si="414"/>
        <v>526000</v>
      </c>
      <c r="AA1378" s="13">
        <v>1.155</v>
      </c>
      <c r="AB1378" s="21">
        <f t="shared" si="422"/>
        <v>537637.16814159299</v>
      </c>
      <c r="AC1378" s="130">
        <f t="shared" si="423"/>
        <v>62580.966371681425</v>
      </c>
      <c r="AD1378" s="169">
        <v>0.1164</v>
      </c>
      <c r="AE1378" s="154">
        <f t="shared" si="424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5"/>
        <v>44078731.611185849</v>
      </c>
      <c r="AJ1378" s="19">
        <f t="shared" si="416"/>
        <v>5508173.2163771465</v>
      </c>
      <c r="AK1378" s="20">
        <f t="shared" si="425"/>
        <v>0.12496215328889679</v>
      </c>
      <c r="AL1378" s="17"/>
      <c r="AM1378" s="17"/>
      <c r="AN1378" s="17"/>
      <c r="AO1378" s="17"/>
      <c r="AP1378" s="28" t="str">
        <f t="shared" si="426"/>
        <v>202011</v>
      </c>
      <c r="AQ1378" s="28" t="str">
        <f t="shared" si="427"/>
        <v>202011RMB</v>
      </c>
      <c r="AR1378" s="206" t="str">
        <f t="shared" si="428"/>
        <v>YAMAHA_Mounter</v>
      </c>
      <c r="AS1378" s="22">
        <f t="shared" si="429"/>
        <v>0</v>
      </c>
      <c r="AT1378" s="24" t="str">
        <f t="shared" si="430"/>
        <v>0-3 months</v>
      </c>
    </row>
    <row r="1379" spans="1:46" s="12" customFormat="1">
      <c r="A1379" s="33" t="str">
        <f t="shared" si="418"/>
        <v>FY 21/22</v>
      </c>
      <c r="B1379" s="152">
        <v>2021</v>
      </c>
      <c r="C1379" s="152">
        <v>4</v>
      </c>
      <c r="D1379" s="33" t="str">
        <f t="shared" si="419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20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21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17"/>
        <v>1.13</v>
      </c>
      <c r="Z1379" s="18">
        <f t="shared" si="414"/>
        <v>624800</v>
      </c>
      <c r="AA1379" s="13">
        <v>1.2150000000000001</v>
      </c>
      <c r="AB1379" s="21">
        <f t="shared" si="422"/>
        <v>671798.23008849577</v>
      </c>
      <c r="AC1379" s="130">
        <f t="shared" si="423"/>
        <v>108898.49309734516</v>
      </c>
      <c r="AD1379" s="169">
        <v>0.16209999999999999</v>
      </c>
      <c r="AE1379" s="154">
        <f t="shared" si="424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5"/>
        <v>54700260.692079648</v>
      </c>
      <c r="AJ1379" s="19">
        <f t="shared" si="416"/>
        <v>7482899.5749188727</v>
      </c>
      <c r="AK1379" s="20">
        <f t="shared" si="425"/>
        <v>0.13679824337660537</v>
      </c>
      <c r="AL1379" s="17"/>
      <c r="AM1379" s="17"/>
      <c r="AN1379" s="17"/>
      <c r="AO1379" s="17"/>
      <c r="AP1379" s="28" t="str">
        <f t="shared" si="426"/>
        <v>20216</v>
      </c>
      <c r="AQ1379" s="28" t="str">
        <f t="shared" si="427"/>
        <v>20216RMB</v>
      </c>
      <c r="AR1379" s="206" t="str">
        <f t="shared" si="428"/>
        <v>YAMAHA_Mounter</v>
      </c>
      <c r="AS1379" s="22">
        <f t="shared" si="429"/>
        <v>2</v>
      </c>
      <c r="AT1379" s="24" t="str">
        <f t="shared" si="430"/>
        <v>0-3 months</v>
      </c>
    </row>
    <row r="1380" spans="1:46" s="12" customFormat="1">
      <c r="A1380" s="33" t="str">
        <f t="shared" si="418"/>
        <v>FY 21/22</v>
      </c>
      <c r="B1380" s="152">
        <v>2021</v>
      </c>
      <c r="C1380" s="152">
        <v>4</v>
      </c>
      <c r="D1380" s="33" t="str">
        <f t="shared" si="419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20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21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17"/>
        <v>1.13</v>
      </c>
      <c r="Z1380" s="18">
        <f t="shared" si="414"/>
        <v>624800</v>
      </c>
      <c r="AA1380" s="13">
        <v>1.2150000000000001</v>
      </c>
      <c r="AB1380" s="21">
        <f t="shared" si="422"/>
        <v>671798.23008849577</v>
      </c>
      <c r="AC1380" s="130">
        <f t="shared" si="423"/>
        <v>108898.49309734516</v>
      </c>
      <c r="AD1380" s="169">
        <v>0.16209999999999999</v>
      </c>
      <c r="AE1380" s="154">
        <f t="shared" si="424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5"/>
        <v>54700260.692079648</v>
      </c>
      <c r="AJ1380" s="19">
        <f t="shared" si="416"/>
        <v>7482899.5749188727</v>
      </c>
      <c r="AK1380" s="20">
        <f t="shared" si="425"/>
        <v>0.13679824337660537</v>
      </c>
      <c r="AL1380" s="17"/>
      <c r="AM1380" s="17"/>
      <c r="AN1380" s="17"/>
      <c r="AO1380" s="17"/>
      <c r="AP1380" s="28" t="str">
        <f t="shared" si="426"/>
        <v>20216</v>
      </c>
      <c r="AQ1380" s="28" t="str">
        <f t="shared" si="427"/>
        <v>20216RMB</v>
      </c>
      <c r="AR1380" s="206" t="str">
        <f t="shared" si="428"/>
        <v>YAMAHA_Mounter</v>
      </c>
      <c r="AS1380" s="22">
        <f t="shared" si="429"/>
        <v>2</v>
      </c>
      <c r="AT1380" s="24" t="str">
        <f t="shared" si="430"/>
        <v>0-3 months</v>
      </c>
    </row>
    <row r="1381" spans="1:46" s="12" customFormat="1">
      <c r="A1381" s="33" t="str">
        <f t="shared" si="418"/>
        <v>FY 21/22</v>
      </c>
      <c r="B1381" s="152">
        <v>2021</v>
      </c>
      <c r="C1381" s="152">
        <v>4</v>
      </c>
      <c r="D1381" s="33" t="str">
        <f t="shared" si="419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20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21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17"/>
        <v>1.13</v>
      </c>
      <c r="Z1381" s="18">
        <f t="shared" si="414"/>
        <v>624800</v>
      </c>
      <c r="AA1381" s="13">
        <v>1.2150000000000001</v>
      </c>
      <c r="AB1381" s="21">
        <f t="shared" si="422"/>
        <v>671798.23008849577</v>
      </c>
      <c r="AC1381" s="130">
        <f t="shared" si="423"/>
        <v>108898.49309734516</v>
      </c>
      <c r="AD1381" s="169">
        <v>0.16209999999999999</v>
      </c>
      <c r="AE1381" s="154">
        <f t="shared" si="424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5"/>
        <v>54700260.692079648</v>
      </c>
      <c r="AJ1381" s="19">
        <f t="shared" si="416"/>
        <v>7482899.5749188727</v>
      </c>
      <c r="AK1381" s="20">
        <f t="shared" si="425"/>
        <v>0.13679824337660537</v>
      </c>
      <c r="AL1381" s="17"/>
      <c r="AM1381" s="17"/>
      <c r="AN1381" s="17"/>
      <c r="AO1381" s="17"/>
      <c r="AP1381" s="28" t="str">
        <f t="shared" si="426"/>
        <v>20216</v>
      </c>
      <c r="AQ1381" s="28" t="str">
        <f t="shared" si="427"/>
        <v>20216RMB</v>
      </c>
      <c r="AR1381" s="206" t="str">
        <f t="shared" si="428"/>
        <v>YAMAHA_Mounter</v>
      </c>
      <c r="AS1381" s="22">
        <f t="shared" si="429"/>
        <v>2</v>
      </c>
      <c r="AT1381" s="24" t="str">
        <f t="shared" si="430"/>
        <v>0-3 months</v>
      </c>
    </row>
    <row r="1382" spans="1:46" s="12" customFormat="1">
      <c r="A1382" s="33" t="str">
        <f t="shared" si="418"/>
        <v>FY 21/22</v>
      </c>
      <c r="B1382" s="152">
        <v>2021</v>
      </c>
      <c r="C1382" s="152">
        <v>4</v>
      </c>
      <c r="D1382" s="33" t="str">
        <f t="shared" si="419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20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21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17"/>
        <v>1.13</v>
      </c>
      <c r="Z1382" s="18">
        <f t="shared" si="414"/>
        <v>624800</v>
      </c>
      <c r="AA1382" s="13">
        <v>1.2150000000000001</v>
      </c>
      <c r="AB1382" s="21">
        <f t="shared" si="422"/>
        <v>671798.23008849577</v>
      </c>
      <c r="AC1382" s="130">
        <f t="shared" si="423"/>
        <v>108898.49309734516</v>
      </c>
      <c r="AD1382" s="169">
        <v>0.16209999999999999</v>
      </c>
      <c r="AE1382" s="154">
        <f t="shared" si="424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5"/>
        <v>54700260.692079648</v>
      </c>
      <c r="AJ1382" s="19">
        <f t="shared" si="416"/>
        <v>7482899.5749188727</v>
      </c>
      <c r="AK1382" s="20">
        <f t="shared" si="425"/>
        <v>0.13679824337660537</v>
      </c>
      <c r="AL1382" s="17"/>
      <c r="AM1382" s="17"/>
      <c r="AN1382" s="17"/>
      <c r="AO1382" s="17"/>
      <c r="AP1382" s="28" t="str">
        <f t="shared" si="426"/>
        <v>20216</v>
      </c>
      <c r="AQ1382" s="28" t="str">
        <f t="shared" si="427"/>
        <v>20216RMB</v>
      </c>
      <c r="AR1382" s="206" t="str">
        <f t="shared" si="428"/>
        <v>YAMAHA_Mounter</v>
      </c>
      <c r="AS1382" s="22">
        <f t="shared" si="429"/>
        <v>2</v>
      </c>
      <c r="AT1382" s="24" t="str">
        <f t="shared" si="430"/>
        <v>0-3 months</v>
      </c>
    </row>
    <row r="1383" spans="1:46" s="12" customFormat="1">
      <c r="A1383" s="33" t="str">
        <f t="shared" si="418"/>
        <v>FY 21/22</v>
      </c>
      <c r="B1383" s="152">
        <v>2021</v>
      </c>
      <c r="C1383" s="152">
        <v>4</v>
      </c>
      <c r="D1383" s="33" t="str">
        <f t="shared" si="419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20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21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17"/>
        <v>1.13</v>
      </c>
      <c r="Z1383" s="18">
        <f t="shared" si="414"/>
        <v>624800</v>
      </c>
      <c r="AA1383" s="13">
        <v>1.2150000000000001</v>
      </c>
      <c r="AB1383" s="21">
        <f t="shared" si="422"/>
        <v>671798.23008849577</v>
      </c>
      <c r="AC1383" s="130">
        <f t="shared" si="423"/>
        <v>108898.49309734516</v>
      </c>
      <c r="AD1383" s="169">
        <v>0.16209999999999999</v>
      </c>
      <c r="AE1383" s="154">
        <f t="shared" si="424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5"/>
        <v>54700260.692079648</v>
      </c>
      <c r="AJ1383" s="19">
        <f t="shared" si="416"/>
        <v>7482899.5749188727</v>
      </c>
      <c r="AK1383" s="20">
        <f t="shared" si="425"/>
        <v>0.13679824337660537</v>
      </c>
      <c r="AL1383" s="17"/>
      <c r="AM1383" s="17"/>
      <c r="AN1383" s="17"/>
      <c r="AO1383" s="17"/>
      <c r="AP1383" s="28" t="str">
        <f t="shared" si="426"/>
        <v>20216</v>
      </c>
      <c r="AQ1383" s="28" t="str">
        <f t="shared" si="427"/>
        <v>20216RMB</v>
      </c>
      <c r="AR1383" s="206" t="str">
        <f t="shared" si="428"/>
        <v>YAMAHA_Mounter</v>
      </c>
      <c r="AS1383" s="22">
        <f t="shared" si="429"/>
        <v>2</v>
      </c>
      <c r="AT1383" s="24" t="str">
        <f t="shared" si="430"/>
        <v>0-3 months</v>
      </c>
    </row>
    <row r="1384" spans="1:46" s="12" customFormat="1" ht="28">
      <c r="A1384" s="33" t="str">
        <f t="shared" si="418"/>
        <v>FY 21/22</v>
      </c>
      <c r="B1384" s="152">
        <v>2022</v>
      </c>
      <c r="C1384" s="152">
        <v>3</v>
      </c>
      <c r="D1384" s="33" t="str">
        <f t="shared" si="419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20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21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17"/>
        <v>1.13</v>
      </c>
      <c r="Z1384" s="18">
        <f t="shared" si="414"/>
        <v>8000</v>
      </c>
      <c r="AA1384" s="13">
        <v>1.22</v>
      </c>
      <c r="AB1384" s="21">
        <f t="shared" si="422"/>
        <v>8637.1681415929215</v>
      </c>
      <c r="AC1384" s="130">
        <f t="shared" si="423"/>
        <v>1814.6690265486729</v>
      </c>
      <c r="AD1384" s="169">
        <v>0.21010000000000001</v>
      </c>
      <c r="AE1384" s="154">
        <f t="shared" si="424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5"/>
        <v>28726768.133805312</v>
      </c>
      <c r="AJ1384" s="19">
        <f t="shared" si="416"/>
        <v>3853638.1988864429</v>
      </c>
      <c r="AK1384" s="20">
        <f t="shared" si="425"/>
        <v>0.1341479898099476</v>
      </c>
      <c r="AL1384" s="17"/>
      <c r="AM1384" s="17"/>
      <c r="AN1384" s="17"/>
      <c r="AO1384" s="17"/>
      <c r="AP1384" s="28" t="str">
        <f t="shared" si="426"/>
        <v>20223</v>
      </c>
      <c r="AQ1384" s="28" t="str">
        <f t="shared" si="427"/>
        <v>20223RMB</v>
      </c>
      <c r="AR1384" s="206" t="str">
        <f t="shared" si="428"/>
        <v>YAMAHA_Mounter</v>
      </c>
      <c r="AS1384" s="22">
        <f t="shared" si="429"/>
        <v>0</v>
      </c>
      <c r="AT1384" s="24" t="str">
        <f t="shared" si="430"/>
        <v>0-3 months</v>
      </c>
    </row>
    <row r="1385" spans="1:46" s="12" customFormat="1">
      <c r="A1385" s="33" t="str">
        <f t="shared" si="418"/>
        <v>FY 21/22</v>
      </c>
      <c r="B1385" s="152">
        <v>2022</v>
      </c>
      <c r="C1385" s="152">
        <v>2</v>
      </c>
      <c r="D1385" s="33" t="str">
        <f t="shared" si="419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20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21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17"/>
        <v>1.13</v>
      </c>
      <c r="Z1385" s="18">
        <f t="shared" si="414"/>
        <v>561000</v>
      </c>
      <c r="AA1385" s="13">
        <v>1.1950000000000001</v>
      </c>
      <c r="AB1385" s="21">
        <f t="shared" si="422"/>
        <v>593269.91150442488</v>
      </c>
      <c r="AC1385" s="130">
        <f t="shared" si="423"/>
        <v>97177.6115044248</v>
      </c>
      <c r="AD1385" s="169">
        <v>0.1638</v>
      </c>
      <c r="AE1385" s="154">
        <f t="shared" si="424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5"/>
        <v>44014086.982070789</v>
      </c>
      <c r="AJ1385" s="19">
        <f t="shared" si="416"/>
        <v>6419974.0221889298</v>
      </c>
      <c r="AK1385" s="20">
        <f t="shared" si="425"/>
        <v>0.14586180158193709</v>
      </c>
      <c r="AL1385" s="17"/>
      <c r="AM1385" s="17"/>
      <c r="AN1385" s="17"/>
      <c r="AO1385" s="17"/>
      <c r="AP1385" s="28" t="str">
        <f t="shared" si="426"/>
        <v>20225</v>
      </c>
      <c r="AQ1385" s="28" t="str">
        <f t="shared" si="427"/>
        <v>20225RMB</v>
      </c>
      <c r="AR1385" s="206" t="str">
        <f t="shared" si="428"/>
        <v>YAMAHA_Mounter</v>
      </c>
      <c r="AS1385" s="22">
        <f t="shared" si="429"/>
        <v>3</v>
      </c>
      <c r="AT1385" s="24" t="str">
        <f t="shared" si="430"/>
        <v>0-3 months</v>
      </c>
    </row>
    <row r="1386" spans="1:46" s="12" customFormat="1" ht="28">
      <c r="A1386" s="33" t="str">
        <f t="shared" si="418"/>
        <v>FY 22/23</v>
      </c>
      <c r="B1386" s="152">
        <v>2022</v>
      </c>
      <c r="C1386" s="152">
        <v>6</v>
      </c>
      <c r="D1386" s="33" t="str">
        <f t="shared" si="419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20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21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17"/>
        <v>1.13</v>
      </c>
      <c r="Z1386" s="18">
        <f t="shared" si="414"/>
        <v>5600</v>
      </c>
      <c r="AA1386" s="13">
        <v>1.105</v>
      </c>
      <c r="AB1386" s="21">
        <f t="shared" si="422"/>
        <v>5476.1061946902664</v>
      </c>
      <c r="AC1386" s="130">
        <f t="shared" si="423"/>
        <v>657.132743362832</v>
      </c>
      <c r="AD1386" s="169">
        <v>0.12</v>
      </c>
      <c r="AE1386" s="154">
        <f t="shared" si="424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5"/>
        <v>35682787.057522126</v>
      </c>
      <c r="AJ1386" s="19">
        <f t="shared" si="416"/>
        <v>5833368.3789623892</v>
      </c>
      <c r="AK1386" s="20">
        <f t="shared" si="425"/>
        <v>0.16347849649632912</v>
      </c>
      <c r="AL1386" s="17"/>
      <c r="AM1386" s="17"/>
      <c r="AN1386" s="17"/>
      <c r="AO1386" s="17"/>
      <c r="AP1386" s="28" t="str">
        <f t="shared" si="426"/>
        <v>20226</v>
      </c>
      <c r="AQ1386" s="28" t="str">
        <f t="shared" si="427"/>
        <v>20226RMB</v>
      </c>
      <c r="AR1386" s="206" t="str">
        <f t="shared" si="428"/>
        <v>YAMAHA_Mounter</v>
      </c>
      <c r="AS1386" s="22">
        <f t="shared" si="429"/>
        <v>0</v>
      </c>
      <c r="AT1386" s="24" t="str">
        <f t="shared" si="430"/>
        <v>0-3 months</v>
      </c>
    </row>
    <row r="1387" spans="1:46" s="12" customFormat="1">
      <c r="A1387" s="33" t="str">
        <f t="shared" si="418"/>
        <v>FY 23/24</v>
      </c>
      <c r="B1387" s="152">
        <v>2023</v>
      </c>
      <c r="C1387" s="152">
        <v>5</v>
      </c>
      <c r="D1387" s="33" t="str">
        <f t="shared" si="419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20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21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17"/>
        <v>1.13</v>
      </c>
      <c r="Z1387" s="18">
        <f t="shared" si="414"/>
        <v>420000</v>
      </c>
      <c r="AA1387" s="13">
        <v>1.081</v>
      </c>
      <c r="AB1387" s="21">
        <f t="shared" si="422"/>
        <v>401787.61061946902</v>
      </c>
      <c r="AC1387" s="130">
        <f t="shared" si="423"/>
        <v>36321.599999999999</v>
      </c>
      <c r="AD1387" s="169">
        <v>9.0399999999999994E-2</v>
      </c>
      <c r="AE1387" s="154">
        <f t="shared" si="424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5"/>
        <v>15951056.41591504</v>
      </c>
      <c r="AJ1387" s="19">
        <f t="shared" si="416"/>
        <v>1966354.6022462982</v>
      </c>
      <c r="AK1387" s="20">
        <f t="shared" si="425"/>
        <v>0.12327425538313459</v>
      </c>
      <c r="AL1387" s="17"/>
      <c r="AM1387" s="17"/>
      <c r="AN1387" s="17"/>
      <c r="AO1387" s="17"/>
      <c r="AP1387" s="28" t="str">
        <f t="shared" si="426"/>
        <v>20237</v>
      </c>
      <c r="AQ1387" s="28" t="str">
        <f t="shared" si="427"/>
        <v>20237RMB</v>
      </c>
      <c r="AR1387" s="206" t="str">
        <f t="shared" si="428"/>
        <v>YAMAHA_Mounter</v>
      </c>
      <c r="AS1387" s="22">
        <f t="shared" si="429"/>
        <v>2</v>
      </c>
      <c r="AT1387" s="24" t="str">
        <f t="shared" si="430"/>
        <v>0-3 months</v>
      </c>
    </row>
    <row r="1388" spans="1:46" s="12" customFormat="1">
      <c r="A1388" s="33" t="str">
        <f t="shared" si="418"/>
        <v>FY 23/24</v>
      </c>
      <c r="B1388" s="152">
        <v>2023</v>
      </c>
      <c r="C1388" s="152">
        <v>5</v>
      </c>
      <c r="D1388" s="33" t="str">
        <f t="shared" si="419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20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21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17"/>
        <v>1.13</v>
      </c>
      <c r="Z1388" s="18">
        <f t="shared" si="414"/>
        <v>420000</v>
      </c>
      <c r="AA1388" s="13">
        <v>1.081</v>
      </c>
      <c r="AB1388" s="21">
        <f t="shared" si="422"/>
        <v>401787.61061946902</v>
      </c>
      <c r="AC1388" s="130">
        <f t="shared" si="423"/>
        <v>36321.599999999999</v>
      </c>
      <c r="AD1388" s="169">
        <v>9.0399999999999994E-2</v>
      </c>
      <c r="AE1388" s="154">
        <f t="shared" si="424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5"/>
        <v>15951056.41591504</v>
      </c>
      <c r="AJ1388" s="19">
        <f t="shared" si="416"/>
        <v>1966354.6022462982</v>
      </c>
      <c r="AK1388" s="20">
        <f t="shared" si="425"/>
        <v>0.12327425538313459</v>
      </c>
      <c r="AL1388" s="17"/>
      <c r="AM1388" s="17"/>
      <c r="AN1388" s="17"/>
      <c r="AO1388" s="17"/>
      <c r="AP1388" s="28" t="str">
        <f t="shared" si="426"/>
        <v>20237</v>
      </c>
      <c r="AQ1388" s="28" t="str">
        <f t="shared" si="427"/>
        <v>20237RMB</v>
      </c>
      <c r="AR1388" s="206" t="str">
        <f t="shared" si="428"/>
        <v>YAMAHA_Mounter</v>
      </c>
      <c r="AS1388" s="22">
        <f t="shared" si="429"/>
        <v>2</v>
      </c>
      <c r="AT1388" s="24" t="str">
        <f t="shared" si="430"/>
        <v>0-3 months</v>
      </c>
    </row>
    <row r="1389" spans="1:46" s="12" customFormat="1">
      <c r="A1389" s="33" t="str">
        <f t="shared" si="418"/>
        <v>FY 23/24</v>
      </c>
      <c r="B1389" s="152">
        <v>2023</v>
      </c>
      <c r="C1389" s="152">
        <v>8</v>
      </c>
      <c r="D1389" s="33" t="str">
        <f t="shared" si="419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20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21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17"/>
        <v>1.13</v>
      </c>
      <c r="Z1389" s="18">
        <f t="shared" si="414"/>
        <v>670000</v>
      </c>
      <c r="AA1389" s="13">
        <v>1.077</v>
      </c>
      <c r="AB1389" s="21">
        <f t="shared" si="422"/>
        <v>638575.22123893816</v>
      </c>
      <c r="AC1389" s="130">
        <f t="shared" si="423"/>
        <v>65900.962831858415</v>
      </c>
      <c r="AD1389" s="169">
        <v>0.1032</v>
      </c>
      <c r="AE1389" s="154">
        <f t="shared" si="424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5"/>
        <v>26078226.463097349</v>
      </c>
      <c r="AJ1389" s="19">
        <f t="shared" si="416"/>
        <v>3137870.4427774516</v>
      </c>
      <c r="AK1389" s="20">
        <f t="shared" si="425"/>
        <v>0.12032530077218917</v>
      </c>
      <c r="AL1389" s="17"/>
      <c r="AM1389" s="17"/>
      <c r="AN1389" s="17"/>
      <c r="AO1389" s="17"/>
      <c r="AP1389" s="28" t="str">
        <f t="shared" si="426"/>
        <v>20239</v>
      </c>
      <c r="AQ1389" s="28" t="str">
        <f t="shared" si="427"/>
        <v>20239RMB</v>
      </c>
      <c r="AR1389" s="206" t="str">
        <f t="shared" si="428"/>
        <v>YAMAHA_Mounter</v>
      </c>
      <c r="AS1389" s="22">
        <f t="shared" si="429"/>
        <v>1</v>
      </c>
      <c r="AT1389" s="24" t="str">
        <f t="shared" si="430"/>
        <v>0-3 months</v>
      </c>
    </row>
    <row r="1390" spans="1:46" s="12" customFormat="1">
      <c r="A1390" s="33" t="str">
        <f t="shared" si="418"/>
        <v>FY 23/24</v>
      </c>
      <c r="B1390" s="23">
        <v>2024</v>
      </c>
      <c r="C1390" s="152">
        <v>3</v>
      </c>
      <c r="D1390" s="33" t="str">
        <f t="shared" si="419"/>
        <v>Q4</v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6</v>
      </c>
      <c r="H1390" s="29"/>
      <c r="I1390" s="33" t="str">
        <f t="shared" si="420"/>
        <v>Q1</v>
      </c>
      <c r="J1390" s="188" t="s">
        <v>3341</v>
      </c>
      <c r="K1390" s="29" t="s">
        <v>3342</v>
      </c>
      <c r="L1390" s="17" t="s">
        <v>68</v>
      </c>
      <c r="M1390" s="22" t="s">
        <v>61</v>
      </c>
      <c r="N1390" s="22">
        <v>1</v>
      </c>
      <c r="O1390" s="22"/>
      <c r="P1390" s="33" t="str">
        <f t="shared" si="421"/>
        <v>MAIN UNIT</v>
      </c>
      <c r="Q1390" s="13" t="s">
        <v>62</v>
      </c>
      <c r="R1390" s="22" t="s">
        <v>63</v>
      </c>
      <c r="S1390" s="22" t="s">
        <v>50</v>
      </c>
      <c r="T1390" s="22" t="s">
        <v>79</v>
      </c>
      <c r="U1390" s="22" t="s">
        <v>79</v>
      </c>
      <c r="V1390" s="22" t="s">
        <v>113</v>
      </c>
      <c r="W1390" s="22" t="s">
        <v>110</v>
      </c>
      <c r="X1390" s="30">
        <v>9652900</v>
      </c>
      <c r="Y1390" s="31" t="str">
        <f>IF(W1390="","",IF(W1390="RMB","1.13", "1"))</f>
        <v>1</v>
      </c>
      <c r="Z1390" s="18">
        <f t="shared" si="414"/>
        <v>9652900</v>
      </c>
      <c r="AA1390" s="13">
        <v>5.0999999999999997E-2</v>
      </c>
      <c r="AB1390" s="21">
        <f t="shared" si="422"/>
        <v>492297.89999999997</v>
      </c>
      <c r="AC1390" s="25">
        <f t="shared" si="423"/>
        <v>35445.448799999998</v>
      </c>
      <c r="AD1390" s="170">
        <v>7.1999999999999995E-2</v>
      </c>
      <c r="AE1390" s="26">
        <f t="shared" si="424"/>
        <v>0</v>
      </c>
      <c r="AF1390" s="26" t="str">
        <f>IF(AND(COUNTIFS($J$18:J1390,J1390)=1,AE1390=1),1,"")</f>
        <v/>
      </c>
      <c r="AG1390" s="26" t="str">
        <f>IF(C1390="","",IF(AND(COUNTIFS($J$18:J1390,J1390)=1,C1390&lt;&gt;""),1,""))</f>
        <v/>
      </c>
      <c r="AH1390" s="26" t="str">
        <f>IF(G1390="","",IF(AND(COUNTIFS($J$18:J1390,J1390)=1,G1390&lt;&gt;""),1,""))</f>
        <v/>
      </c>
      <c r="AI1390" s="27">
        <f t="shared" si="415"/>
        <v>27308925.887079656</v>
      </c>
      <c r="AJ1390" s="27">
        <f t="shared" si="416"/>
        <v>3319273.860338124</v>
      </c>
      <c r="AK1390" s="28">
        <f t="shared" si="425"/>
        <v>0.12154538314919709</v>
      </c>
      <c r="AL1390" s="24"/>
      <c r="AM1390" s="24"/>
      <c r="AN1390" s="24"/>
      <c r="AO1390" s="24"/>
      <c r="AP1390" s="28" t="str">
        <f t="shared" si="426"/>
        <v>20246</v>
      </c>
      <c r="AQ1390" s="28" t="str">
        <f t="shared" si="427"/>
        <v>20246JPY</v>
      </c>
      <c r="AR1390" s="206" t="str">
        <f t="shared" si="428"/>
        <v>YAMAHA_Mounter</v>
      </c>
      <c r="AS1390" s="22">
        <f t="shared" si="429"/>
        <v>3</v>
      </c>
      <c r="AT1390" s="24" t="str">
        <f t="shared" si="430"/>
        <v>0-3 months</v>
      </c>
    </row>
    <row r="1391" spans="1:46" s="12" customFormat="1">
      <c r="A1391" s="33" t="str">
        <f t="shared" si="418"/>
        <v>FY 23/24</v>
      </c>
      <c r="B1391" s="152">
        <v>2023</v>
      </c>
      <c r="C1391" s="152">
        <v>7</v>
      </c>
      <c r="D1391" s="33" t="str">
        <f t="shared" si="419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20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21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4"/>
        <v>510000</v>
      </c>
      <c r="AA1391" s="158">
        <v>1.07</v>
      </c>
      <c r="AB1391" s="139">
        <f t="shared" si="422"/>
        <v>482920.35398230091</v>
      </c>
      <c r="AC1391" s="140">
        <f t="shared" si="423"/>
        <v>53893.911504424781</v>
      </c>
      <c r="AD1391" s="171">
        <v>0.1116</v>
      </c>
      <c r="AE1391" s="161">
        <f t="shared" si="424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5"/>
        <v>5219988.5752212387</v>
      </c>
      <c r="AJ1391" s="19">
        <f t="shared" si="416"/>
        <v>631627.0013460177</v>
      </c>
      <c r="AK1391" s="96">
        <f t="shared" si="425"/>
        <v>0.12100160608478869</v>
      </c>
      <c r="AL1391" s="17"/>
      <c r="AM1391" s="17"/>
      <c r="AN1391" s="17"/>
      <c r="AO1391" s="17"/>
      <c r="AP1391" s="28" t="str">
        <f t="shared" si="426"/>
        <v>202310</v>
      </c>
      <c r="AQ1391" s="28" t="str">
        <f t="shared" si="427"/>
        <v>202310RMB</v>
      </c>
      <c r="AR1391" s="206" t="str">
        <f t="shared" si="428"/>
        <v>YAMAHA_Mounter</v>
      </c>
      <c r="AS1391" s="22">
        <f t="shared" si="429"/>
        <v>3</v>
      </c>
      <c r="AT1391" s="24" t="str">
        <f t="shared" si="430"/>
        <v>0-3 months</v>
      </c>
    </row>
    <row r="1392" spans="1:46" s="12" customFormat="1">
      <c r="A1392" s="33" t="str">
        <f t="shared" si="418"/>
        <v>FY 23/24</v>
      </c>
      <c r="B1392" s="23">
        <v>2024</v>
      </c>
      <c r="C1392" s="152">
        <v>3</v>
      </c>
      <c r="D1392" s="33" t="str">
        <f t="shared" si="419"/>
        <v>Q4</v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6</v>
      </c>
      <c r="H1392" s="29"/>
      <c r="I1392" s="33" t="str">
        <f t="shared" si="420"/>
        <v>Q1</v>
      </c>
      <c r="J1392" s="188" t="s">
        <v>3341</v>
      </c>
      <c r="K1392" s="29" t="s">
        <v>3342</v>
      </c>
      <c r="L1392" s="17" t="s">
        <v>68</v>
      </c>
      <c r="M1392" s="22" t="s">
        <v>61</v>
      </c>
      <c r="N1392" s="22">
        <v>1</v>
      </c>
      <c r="O1392" s="22"/>
      <c r="P1392" s="33" t="str">
        <f t="shared" si="421"/>
        <v>MAIN UNIT</v>
      </c>
      <c r="Q1392" s="13" t="s">
        <v>62</v>
      </c>
      <c r="R1392" s="22" t="s">
        <v>63</v>
      </c>
      <c r="S1392" s="22" t="s">
        <v>50</v>
      </c>
      <c r="T1392" s="22" t="s">
        <v>79</v>
      </c>
      <c r="U1392" s="22" t="s">
        <v>79</v>
      </c>
      <c r="V1392" s="22" t="s">
        <v>113</v>
      </c>
      <c r="W1392" s="22" t="s">
        <v>110</v>
      </c>
      <c r="X1392" s="30">
        <v>9652900</v>
      </c>
      <c r="Y1392" s="31" t="str">
        <f>IF(W1392="","",IF(W1392="RMB","1.13", "1"))</f>
        <v>1</v>
      </c>
      <c r="Z1392" s="18">
        <f t="shared" si="414"/>
        <v>9652900</v>
      </c>
      <c r="AA1392" s="13">
        <v>5.0999999999999997E-2</v>
      </c>
      <c r="AB1392" s="21">
        <f t="shared" si="422"/>
        <v>492297.89999999997</v>
      </c>
      <c r="AC1392" s="25">
        <f t="shared" si="423"/>
        <v>35445.448799999998</v>
      </c>
      <c r="AD1392" s="170">
        <v>7.1999999999999995E-2</v>
      </c>
      <c r="AE1392" s="26">
        <f t="shared" si="424"/>
        <v>0</v>
      </c>
      <c r="AF1392" s="26" t="str">
        <f>IF(AND(COUNTIFS($J$18:J1392,J1392)=1,AE1392=1),1,"")</f>
        <v/>
      </c>
      <c r="AG1392" s="26" t="str">
        <f>IF(C1392="","",IF(AND(COUNTIFS($J$18:J1392,J1392)=1,C1392&lt;&gt;""),1,""))</f>
        <v/>
      </c>
      <c r="AH1392" s="26" t="str">
        <f>IF(G1392="","",IF(AND(COUNTIFS($J$18:J1392,J1392)=1,G1392&lt;&gt;""),1,""))</f>
        <v/>
      </c>
      <c r="AI1392" s="27">
        <f t="shared" si="415"/>
        <v>27308925.887079656</v>
      </c>
      <c r="AJ1392" s="27">
        <f t="shared" si="416"/>
        <v>3319273.860338124</v>
      </c>
      <c r="AK1392" s="28">
        <f t="shared" si="425"/>
        <v>0.12154538314919709</v>
      </c>
      <c r="AL1392" s="24"/>
      <c r="AM1392" s="24"/>
      <c r="AN1392" s="24"/>
      <c r="AO1392" s="24"/>
      <c r="AP1392" s="28" t="str">
        <f t="shared" si="426"/>
        <v>20246</v>
      </c>
      <c r="AQ1392" s="28" t="str">
        <f t="shared" si="427"/>
        <v>20246JPY</v>
      </c>
      <c r="AR1392" s="206" t="str">
        <f t="shared" si="428"/>
        <v>YAMAHA_Mounter</v>
      </c>
      <c r="AS1392" s="22">
        <f t="shared" si="429"/>
        <v>3</v>
      </c>
      <c r="AT1392" s="24" t="str">
        <f t="shared" si="430"/>
        <v>0-3 months</v>
      </c>
    </row>
    <row r="1393" spans="1:46" s="12" customFormat="1">
      <c r="A1393" s="33" t="str">
        <f t="shared" si="418"/>
        <v>FY 21/22</v>
      </c>
      <c r="B1393" s="152">
        <v>2021</v>
      </c>
      <c r="C1393" s="152">
        <v>7</v>
      </c>
      <c r="D1393" s="33" t="str">
        <f t="shared" si="419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20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21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4"/>
        <v>1090000</v>
      </c>
      <c r="AA1393" s="13">
        <v>1.22</v>
      </c>
      <c r="AB1393" s="21">
        <f t="shared" si="422"/>
        <v>1176814.1592920355</v>
      </c>
      <c r="AC1393" s="130">
        <f t="shared" si="423"/>
        <v>162518.0353982301</v>
      </c>
      <c r="AD1393" s="169">
        <v>0.1381</v>
      </c>
      <c r="AE1393" s="154">
        <f t="shared" si="424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5"/>
        <v>28726768.133805312</v>
      </c>
      <c r="AJ1393" s="19">
        <f t="shared" si="416"/>
        <v>3853638.1988864429</v>
      </c>
      <c r="AK1393" s="20">
        <f t="shared" si="425"/>
        <v>0.1341479898099476</v>
      </c>
      <c r="AL1393" s="17"/>
      <c r="AM1393" s="17"/>
      <c r="AN1393" s="17"/>
      <c r="AO1393" s="17"/>
      <c r="AP1393" s="28" t="str">
        <f t="shared" si="426"/>
        <v>20223</v>
      </c>
      <c r="AQ1393" s="28" t="str">
        <f t="shared" si="427"/>
        <v>20223RMB</v>
      </c>
      <c r="AR1393" s="206" t="str">
        <f t="shared" si="428"/>
        <v>YAMAHA_Mounter</v>
      </c>
      <c r="AS1393" s="22">
        <f t="shared" si="429"/>
        <v>8</v>
      </c>
      <c r="AT1393" s="24" t="str">
        <f t="shared" si="430"/>
        <v>&gt; 6 months</v>
      </c>
    </row>
    <row r="1394" spans="1:46" s="12" customFormat="1">
      <c r="A1394" s="33" t="str">
        <f t="shared" si="418"/>
        <v>FY 21/22</v>
      </c>
      <c r="B1394" s="152">
        <v>2021</v>
      </c>
      <c r="C1394" s="152">
        <v>7</v>
      </c>
      <c r="D1394" s="33" t="str">
        <f t="shared" si="419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20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21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4"/>
        <v>1090000</v>
      </c>
      <c r="AA1394" s="13">
        <v>1.22</v>
      </c>
      <c r="AB1394" s="21">
        <f t="shared" si="422"/>
        <v>1176814.1592920355</v>
      </c>
      <c r="AC1394" s="130">
        <f t="shared" si="423"/>
        <v>162518.0353982301</v>
      </c>
      <c r="AD1394" s="169">
        <v>0.1381</v>
      </c>
      <c r="AE1394" s="154">
        <f t="shared" si="424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5"/>
        <v>28726768.133805312</v>
      </c>
      <c r="AJ1394" s="19">
        <f t="shared" si="416"/>
        <v>3853638.1988864429</v>
      </c>
      <c r="AK1394" s="20">
        <f t="shared" si="425"/>
        <v>0.1341479898099476</v>
      </c>
      <c r="AL1394" s="17"/>
      <c r="AM1394" s="17"/>
      <c r="AN1394" s="17"/>
      <c r="AO1394" s="17"/>
      <c r="AP1394" s="28" t="str">
        <f t="shared" si="426"/>
        <v>20223</v>
      </c>
      <c r="AQ1394" s="28" t="str">
        <f t="shared" si="427"/>
        <v>20223RMB</v>
      </c>
      <c r="AR1394" s="206" t="str">
        <f t="shared" si="428"/>
        <v>YAMAHA_Mounter</v>
      </c>
      <c r="AS1394" s="22">
        <f t="shared" si="429"/>
        <v>8</v>
      </c>
      <c r="AT1394" s="24" t="str">
        <f t="shared" si="430"/>
        <v>&gt; 6 months</v>
      </c>
    </row>
    <row r="1395" spans="1:46" s="12" customFormat="1">
      <c r="A1395" s="33" t="str">
        <f t="shared" si="418"/>
        <v>FY 23/24</v>
      </c>
      <c r="B1395" s="152">
        <v>2023</v>
      </c>
      <c r="C1395" s="152">
        <v>11</v>
      </c>
      <c r="D1395" s="33" t="str">
        <f t="shared" si="419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20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21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4"/>
        <v>623600</v>
      </c>
      <c r="AA1395" s="22">
        <v>1.083</v>
      </c>
      <c r="AB1395" s="21">
        <f t="shared" si="422"/>
        <v>597662.65486725664</v>
      </c>
      <c r="AC1395" s="130">
        <f t="shared" si="423"/>
        <v>71719.5185840708</v>
      </c>
      <c r="AD1395" s="169">
        <v>0.12</v>
      </c>
      <c r="AE1395" s="154">
        <f t="shared" si="424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5"/>
        <v>477651199.57437885</v>
      </c>
      <c r="AJ1395" s="19">
        <f t="shared" si="416"/>
        <v>56918800.518691957</v>
      </c>
      <c r="AK1395" s="20">
        <f t="shared" si="425"/>
        <v>0.11916394341605475</v>
      </c>
      <c r="AL1395" s="17"/>
      <c r="AM1395" s="17"/>
      <c r="AN1395" s="17"/>
      <c r="AO1395" s="17"/>
      <c r="AP1395" s="28" t="str">
        <f t="shared" si="426"/>
        <v>CancelCancel</v>
      </c>
      <c r="AQ1395" s="28" t="str">
        <f t="shared" si="427"/>
        <v>CancelCancelRMB</v>
      </c>
      <c r="AR1395" s="206" t="str">
        <f t="shared" si="428"/>
        <v>YAMAHA_Mounter</v>
      </c>
      <c r="AS1395" s="22" t="str">
        <f t="shared" si="429"/>
        <v/>
      </c>
      <c r="AT1395" s="24" t="str">
        <f t="shared" si="430"/>
        <v/>
      </c>
    </row>
    <row r="1396" spans="1:46" s="12" customFormat="1">
      <c r="A1396" s="33" t="str">
        <f t="shared" si="418"/>
        <v>FY 23/24</v>
      </c>
      <c r="B1396" s="152">
        <v>2023</v>
      </c>
      <c r="C1396" s="152">
        <v>11</v>
      </c>
      <c r="D1396" s="33" t="str">
        <f t="shared" si="419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20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21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4"/>
        <v>623600</v>
      </c>
      <c r="AA1396" s="22">
        <v>1.083</v>
      </c>
      <c r="AB1396" s="21">
        <f t="shared" si="422"/>
        <v>597662.65486725664</v>
      </c>
      <c r="AC1396" s="130">
        <f t="shared" si="423"/>
        <v>71719.5185840708</v>
      </c>
      <c r="AD1396" s="169">
        <v>0.12</v>
      </c>
      <c r="AE1396" s="154">
        <f t="shared" si="424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5"/>
        <v>477651199.57437885</v>
      </c>
      <c r="AJ1396" s="19">
        <f t="shared" si="416"/>
        <v>56918800.518691957</v>
      </c>
      <c r="AK1396" s="20">
        <f t="shared" si="425"/>
        <v>0.11916394341605475</v>
      </c>
      <c r="AL1396" s="17"/>
      <c r="AM1396" s="17"/>
      <c r="AN1396" s="17"/>
      <c r="AO1396" s="17"/>
      <c r="AP1396" s="28" t="str">
        <f t="shared" si="426"/>
        <v>CancelCancel</v>
      </c>
      <c r="AQ1396" s="28" t="str">
        <f t="shared" si="427"/>
        <v>CancelCancelRMB</v>
      </c>
      <c r="AR1396" s="206" t="str">
        <f t="shared" si="428"/>
        <v>YAMAHA_Mounter</v>
      </c>
      <c r="AS1396" s="22" t="str">
        <f t="shared" si="429"/>
        <v/>
      </c>
      <c r="AT1396" s="24" t="str">
        <f t="shared" si="430"/>
        <v/>
      </c>
    </row>
    <row r="1397" spans="1:46" s="12" customFormat="1">
      <c r="A1397" s="33" t="str">
        <f t="shared" si="418"/>
        <v>FY 23/24</v>
      </c>
      <c r="B1397" s="23">
        <v>2024</v>
      </c>
      <c r="C1397" s="152">
        <v>3</v>
      </c>
      <c r="D1397" s="33" t="str">
        <f t="shared" si="419"/>
        <v>Q4</v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6</v>
      </c>
      <c r="H1397" s="29"/>
      <c r="I1397" s="33" t="str">
        <f t="shared" si="420"/>
        <v>Q1</v>
      </c>
      <c r="J1397" s="188" t="s">
        <v>3341</v>
      </c>
      <c r="K1397" s="29" t="s">
        <v>3342</v>
      </c>
      <c r="L1397" s="17" t="s">
        <v>68</v>
      </c>
      <c r="M1397" s="22" t="s">
        <v>61</v>
      </c>
      <c r="N1397" s="22">
        <v>1</v>
      </c>
      <c r="O1397" s="22"/>
      <c r="P1397" s="33" t="str">
        <f t="shared" si="421"/>
        <v>MAIN UNIT</v>
      </c>
      <c r="Q1397" s="13" t="s">
        <v>62</v>
      </c>
      <c r="R1397" s="22" t="s">
        <v>63</v>
      </c>
      <c r="S1397" s="22" t="s">
        <v>50</v>
      </c>
      <c r="T1397" s="22" t="s">
        <v>79</v>
      </c>
      <c r="U1397" s="22" t="s">
        <v>79</v>
      </c>
      <c r="V1397" s="22" t="s">
        <v>113</v>
      </c>
      <c r="W1397" s="22" t="s">
        <v>110</v>
      </c>
      <c r="X1397" s="30">
        <v>9652900</v>
      </c>
      <c r="Y1397" s="31" t="str">
        <f>IF(W1397="","",IF(W1397="RMB","1.13", "1"))</f>
        <v>1</v>
      </c>
      <c r="Z1397" s="18">
        <f t="shared" si="414"/>
        <v>9652900</v>
      </c>
      <c r="AA1397" s="13">
        <v>5.0999999999999997E-2</v>
      </c>
      <c r="AB1397" s="21">
        <f t="shared" si="422"/>
        <v>492297.89999999997</v>
      </c>
      <c r="AC1397" s="25">
        <f t="shared" si="423"/>
        <v>35445.448799999998</v>
      </c>
      <c r="AD1397" s="170">
        <v>7.1999999999999995E-2</v>
      </c>
      <c r="AE1397" s="26">
        <f t="shared" si="424"/>
        <v>0</v>
      </c>
      <c r="AF1397" s="26" t="str">
        <f>IF(AND(COUNTIFS($J$18:J1397,J1397)=1,AE1397=1),1,"")</f>
        <v/>
      </c>
      <c r="AG1397" s="26" t="str">
        <f>IF(C1397="","",IF(AND(COUNTIFS($J$18:J1397,J1397)=1,C1397&lt;&gt;""),1,""))</f>
        <v/>
      </c>
      <c r="AH1397" s="26" t="str">
        <f>IF(G1397="","",IF(AND(COUNTIFS($J$18:J1397,J1397)=1,G1397&lt;&gt;""),1,""))</f>
        <v/>
      </c>
      <c r="AI1397" s="27">
        <f t="shared" si="415"/>
        <v>27308925.887079656</v>
      </c>
      <c r="AJ1397" s="27">
        <f t="shared" si="416"/>
        <v>3319273.860338124</v>
      </c>
      <c r="AK1397" s="28">
        <f t="shared" si="425"/>
        <v>0.12154538314919709</v>
      </c>
      <c r="AL1397" s="24"/>
      <c r="AM1397" s="24"/>
      <c r="AN1397" s="24"/>
      <c r="AO1397" s="24"/>
      <c r="AP1397" s="28" t="str">
        <f t="shared" si="426"/>
        <v>20246</v>
      </c>
      <c r="AQ1397" s="28" t="str">
        <f t="shared" si="427"/>
        <v>20246JPY</v>
      </c>
      <c r="AR1397" s="206" t="str">
        <f t="shared" si="428"/>
        <v>YAMAHA_Mounter</v>
      </c>
      <c r="AS1397" s="22">
        <f t="shared" si="429"/>
        <v>3</v>
      </c>
      <c r="AT1397" s="24" t="str">
        <f t="shared" si="430"/>
        <v>0-3 months</v>
      </c>
    </row>
    <row r="1398" spans="1:46" s="12" customFormat="1">
      <c r="A1398" s="33" t="str">
        <f t="shared" si="418"/>
        <v>FY 23/24</v>
      </c>
      <c r="B1398" s="23">
        <v>2024</v>
      </c>
      <c r="C1398" s="152">
        <v>3</v>
      </c>
      <c r="D1398" s="33" t="str">
        <f t="shared" si="419"/>
        <v>Q4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20"/>
        <v>Q1</v>
      </c>
      <c r="J1398" s="188" t="s">
        <v>3341</v>
      </c>
      <c r="K1398" s="29" t="s">
        <v>3342</v>
      </c>
      <c r="L1398" s="17" t="s">
        <v>93</v>
      </c>
      <c r="M1398" s="22" t="s">
        <v>61</v>
      </c>
      <c r="N1398" s="22">
        <v>1</v>
      </c>
      <c r="O1398" s="22"/>
      <c r="P1398" s="33" t="str">
        <f t="shared" si="421"/>
        <v>MAIN UNIT</v>
      </c>
      <c r="Q1398" s="13" t="s">
        <v>62</v>
      </c>
      <c r="R1398" s="22" t="s">
        <v>63</v>
      </c>
      <c r="S1398" s="22" t="s">
        <v>50</v>
      </c>
      <c r="T1398" s="22" t="s">
        <v>79</v>
      </c>
      <c r="U1398" s="22" t="s">
        <v>79</v>
      </c>
      <c r="V1398" s="22" t="s">
        <v>113</v>
      </c>
      <c r="W1398" s="22" t="s">
        <v>110</v>
      </c>
      <c r="X1398" s="30">
        <v>11000000</v>
      </c>
      <c r="Y1398" s="31" t="str">
        <f>IF(W1398="","",IF(W1398="RMB","1.13", "1"))</f>
        <v>1</v>
      </c>
      <c r="Z1398" s="18">
        <f t="shared" si="414"/>
        <v>11000000</v>
      </c>
      <c r="AA1398" s="13">
        <v>5.0999999999999997E-2</v>
      </c>
      <c r="AB1398" s="21">
        <f t="shared" si="422"/>
        <v>561000</v>
      </c>
      <c r="AC1398" s="25">
        <f t="shared" si="423"/>
        <v>40392</v>
      </c>
      <c r="AD1398" s="170">
        <v>7.1999999999999995E-2</v>
      </c>
      <c r="AE1398" s="26">
        <f t="shared" si="424"/>
        <v>0</v>
      </c>
      <c r="AF1398" s="26" t="str">
        <f>IF(AND(COUNTIFS($J$18:J1398,J1398)=1,AE1398=1),1,"")</f>
        <v/>
      </c>
      <c r="AG1398" s="26" t="str">
        <f>IF(C1398="","",IF(AND(COUNTIFS($J$18:J1398,J1398)=1,C1398&lt;&gt;""),1,""))</f>
        <v/>
      </c>
      <c r="AH1398" s="26" t="str">
        <f>IF(G1398="","",IF(AND(COUNTIFS($J$18:J1398,J1398)=1,G1398&lt;&gt;""),1,""))</f>
        <v/>
      </c>
      <c r="AI1398" s="27">
        <f t="shared" si="415"/>
        <v>27308925.887079656</v>
      </c>
      <c r="AJ1398" s="27">
        <f t="shared" si="416"/>
        <v>3319273.860338124</v>
      </c>
      <c r="AK1398" s="28">
        <f t="shared" si="425"/>
        <v>0.12154538314919709</v>
      </c>
      <c r="AL1398" s="24"/>
      <c r="AM1398" s="24"/>
      <c r="AN1398" s="24"/>
      <c r="AO1398" s="24"/>
      <c r="AP1398" s="28" t="str">
        <f t="shared" si="426"/>
        <v>20246</v>
      </c>
      <c r="AQ1398" s="28" t="str">
        <f t="shared" si="427"/>
        <v>20246JPY</v>
      </c>
      <c r="AR1398" s="206" t="str">
        <f t="shared" si="428"/>
        <v>YAMAHA_Mounter</v>
      </c>
      <c r="AS1398" s="22">
        <f t="shared" si="429"/>
        <v>3</v>
      </c>
      <c r="AT1398" s="24" t="str">
        <f t="shared" si="430"/>
        <v>0-3 months</v>
      </c>
    </row>
    <row r="1399" spans="1:46" s="12" customFormat="1">
      <c r="A1399" s="33" t="str">
        <f t="shared" si="418"/>
        <v>FY 21/22</v>
      </c>
      <c r="B1399" s="152">
        <v>2021</v>
      </c>
      <c r="C1399" s="152">
        <v>11</v>
      </c>
      <c r="D1399" s="33" t="str">
        <f t="shared" si="419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20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21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4"/>
        <v>993800</v>
      </c>
      <c r="AA1399" s="13">
        <v>1.22</v>
      </c>
      <c r="AB1399" s="21">
        <f t="shared" si="422"/>
        <v>1072952.2123893807</v>
      </c>
      <c r="AC1399" s="130">
        <f t="shared" si="423"/>
        <v>190127.13203539824</v>
      </c>
      <c r="AD1399" s="169">
        <v>0.1772</v>
      </c>
      <c r="AE1399" s="154">
        <f t="shared" si="424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5"/>
        <v>26407088.359292038</v>
      </c>
      <c r="AJ1399" s="19">
        <f t="shared" si="416"/>
        <v>3424510.6998470789</v>
      </c>
      <c r="AK1399" s="20">
        <f t="shared" si="425"/>
        <v>0.12968149510667554</v>
      </c>
      <c r="AL1399" s="17"/>
      <c r="AM1399" s="17"/>
      <c r="AN1399" s="17"/>
      <c r="AO1399" s="17"/>
      <c r="AP1399" s="28" t="str">
        <f t="shared" si="426"/>
        <v>20221</v>
      </c>
      <c r="AQ1399" s="28" t="str">
        <f t="shared" si="427"/>
        <v>20221RMB</v>
      </c>
      <c r="AR1399" s="206" t="str">
        <f t="shared" si="428"/>
        <v>YAMAHA_Mounter</v>
      </c>
      <c r="AS1399" s="22">
        <f t="shared" si="429"/>
        <v>2</v>
      </c>
      <c r="AT1399" s="24" t="str">
        <f t="shared" si="430"/>
        <v>0-3 months</v>
      </c>
    </row>
    <row r="1400" spans="1:46" s="12" customFormat="1">
      <c r="A1400" s="33" t="str">
        <f t="shared" si="418"/>
        <v>FY 21/22</v>
      </c>
      <c r="B1400" s="152">
        <v>2021</v>
      </c>
      <c r="C1400" s="152">
        <v>12</v>
      </c>
      <c r="D1400" s="33" t="str">
        <f t="shared" si="419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20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21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4"/>
        <v>706050</v>
      </c>
      <c r="AA1400" s="13">
        <v>1.22</v>
      </c>
      <c r="AB1400" s="21">
        <f t="shared" si="422"/>
        <v>762284.07079646026</v>
      </c>
      <c r="AC1400" s="130">
        <f t="shared" si="423"/>
        <v>139421.75654867259</v>
      </c>
      <c r="AD1400" s="169">
        <v>0.18290000000000001</v>
      </c>
      <c r="AE1400" s="154">
        <f t="shared" si="424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5"/>
        <v>28726768.133805312</v>
      </c>
      <c r="AJ1400" s="19">
        <f t="shared" si="416"/>
        <v>3853638.1988864429</v>
      </c>
      <c r="AK1400" s="20">
        <f t="shared" si="425"/>
        <v>0.1341479898099476</v>
      </c>
      <c r="AL1400" s="17"/>
      <c r="AM1400" s="17"/>
      <c r="AN1400" s="17"/>
      <c r="AO1400" s="17"/>
      <c r="AP1400" s="28" t="str">
        <f t="shared" si="426"/>
        <v>20223</v>
      </c>
      <c r="AQ1400" s="28" t="str">
        <f t="shared" si="427"/>
        <v>20223RMB</v>
      </c>
      <c r="AR1400" s="206" t="str">
        <f t="shared" si="428"/>
        <v>YAMAHA_Mounter</v>
      </c>
      <c r="AS1400" s="22">
        <f t="shared" si="429"/>
        <v>3</v>
      </c>
      <c r="AT1400" s="24" t="str">
        <f t="shared" si="430"/>
        <v>0-3 months</v>
      </c>
    </row>
    <row r="1401" spans="1:46" s="12" customFormat="1">
      <c r="A1401" s="33" t="str">
        <f t="shared" si="418"/>
        <v>FY 21/22</v>
      </c>
      <c r="B1401" s="152">
        <v>2021</v>
      </c>
      <c r="C1401" s="152">
        <v>11</v>
      </c>
      <c r="D1401" s="33" t="str">
        <f t="shared" si="419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20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21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4"/>
        <v>993800</v>
      </c>
      <c r="AA1401" s="13">
        <v>1.22</v>
      </c>
      <c r="AB1401" s="21">
        <f t="shared" si="422"/>
        <v>1072952.2123893807</v>
      </c>
      <c r="AC1401" s="130">
        <f t="shared" si="423"/>
        <v>190127.13203539824</v>
      </c>
      <c r="AD1401" s="169">
        <v>0.1772</v>
      </c>
      <c r="AE1401" s="154">
        <f t="shared" si="424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5"/>
        <v>28726768.133805312</v>
      </c>
      <c r="AJ1401" s="19">
        <f t="shared" si="416"/>
        <v>3853638.1988864429</v>
      </c>
      <c r="AK1401" s="20">
        <f t="shared" si="425"/>
        <v>0.1341479898099476</v>
      </c>
      <c r="AL1401" s="17"/>
      <c r="AM1401" s="17"/>
      <c r="AN1401" s="17"/>
      <c r="AO1401" s="17"/>
      <c r="AP1401" s="28" t="str">
        <f t="shared" si="426"/>
        <v>20223</v>
      </c>
      <c r="AQ1401" s="28" t="str">
        <f t="shared" si="427"/>
        <v>20223RMB</v>
      </c>
      <c r="AR1401" s="206" t="str">
        <f t="shared" si="428"/>
        <v>YAMAHA_Mounter</v>
      </c>
      <c r="AS1401" s="22">
        <f t="shared" si="429"/>
        <v>4</v>
      </c>
      <c r="AT1401" s="24" t="str">
        <f t="shared" si="430"/>
        <v>4-6 months</v>
      </c>
    </row>
    <row r="1402" spans="1:46" s="12" customFormat="1">
      <c r="A1402" s="33" t="str">
        <f t="shared" si="418"/>
        <v>FY 21/22</v>
      </c>
      <c r="B1402" s="152">
        <v>2021</v>
      </c>
      <c r="C1402" s="152">
        <v>12</v>
      </c>
      <c r="D1402" s="33" t="str">
        <f t="shared" si="419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20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21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4"/>
        <v>706050</v>
      </c>
      <c r="AA1402" s="13">
        <v>1.175</v>
      </c>
      <c r="AB1402" s="21">
        <f t="shared" si="422"/>
        <v>734167.03539823019</v>
      </c>
      <c r="AC1402" s="130">
        <f t="shared" si="423"/>
        <v>134279.1507743363</v>
      </c>
      <c r="AD1402" s="169">
        <v>0.18290000000000001</v>
      </c>
      <c r="AE1402" s="154">
        <f t="shared" si="424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5"/>
        <v>35682787.057522126</v>
      </c>
      <c r="AJ1402" s="19">
        <f t="shared" si="416"/>
        <v>5833368.3789623892</v>
      </c>
      <c r="AK1402" s="20">
        <f t="shared" si="425"/>
        <v>0.16347849649632912</v>
      </c>
      <c r="AL1402" s="17"/>
      <c r="AM1402" s="17"/>
      <c r="AN1402" s="17"/>
      <c r="AO1402" s="17"/>
      <c r="AP1402" s="28" t="str">
        <f t="shared" si="426"/>
        <v>20226</v>
      </c>
      <c r="AQ1402" s="28" t="str">
        <f t="shared" si="427"/>
        <v>20226RMB</v>
      </c>
      <c r="AR1402" s="206" t="str">
        <f t="shared" si="428"/>
        <v>YAMAHA_Mounter</v>
      </c>
      <c r="AS1402" s="22">
        <f t="shared" si="429"/>
        <v>6</v>
      </c>
      <c r="AT1402" s="24" t="str">
        <f t="shared" si="430"/>
        <v>4-6 months</v>
      </c>
    </row>
    <row r="1403" spans="1:46" s="12" customFormat="1">
      <c r="A1403" s="33" t="str">
        <f t="shared" si="418"/>
        <v>FY 23/24</v>
      </c>
      <c r="B1403" s="152">
        <v>2023</v>
      </c>
      <c r="C1403" s="152">
        <v>11</v>
      </c>
      <c r="D1403" s="33" t="str">
        <f t="shared" si="419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20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21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4"/>
        <v>790000</v>
      </c>
      <c r="AA1403" s="13">
        <v>1.0900000000000001</v>
      </c>
      <c r="AB1403" s="21">
        <f t="shared" si="422"/>
        <v>762035.39823008864</v>
      </c>
      <c r="AC1403" s="130">
        <f t="shared" si="423"/>
        <v>91444.247787610628</v>
      </c>
      <c r="AD1403" s="169">
        <v>0.12</v>
      </c>
      <c r="AE1403" s="154">
        <f t="shared" si="424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5"/>
        <v>477651199.57437885</v>
      </c>
      <c r="AJ1403" s="19">
        <f t="shared" si="416"/>
        <v>56918800.518691957</v>
      </c>
      <c r="AK1403" s="20">
        <f t="shared" si="425"/>
        <v>0.11916394341605475</v>
      </c>
      <c r="AL1403" s="17"/>
      <c r="AM1403" s="17"/>
      <c r="AN1403" s="17"/>
      <c r="AO1403" s="17" t="s">
        <v>3367</v>
      </c>
      <c r="AP1403" s="28" t="str">
        <f t="shared" si="426"/>
        <v>CancelCancel</v>
      </c>
      <c r="AQ1403" s="28" t="str">
        <f t="shared" si="427"/>
        <v>CancelCancelRMB</v>
      </c>
      <c r="AR1403" s="206" t="str">
        <f t="shared" si="428"/>
        <v>YAMAHA_Mounter</v>
      </c>
      <c r="AS1403" s="22" t="str">
        <f t="shared" si="429"/>
        <v/>
      </c>
      <c r="AT1403" s="24" t="str">
        <f t="shared" si="430"/>
        <v/>
      </c>
    </row>
    <row r="1404" spans="1:46" s="12" customFormat="1">
      <c r="A1404" s="33" t="str">
        <f t="shared" si="418"/>
        <v>FY 23/24</v>
      </c>
      <c r="B1404" s="23">
        <v>2024</v>
      </c>
      <c r="C1404" s="152">
        <v>2</v>
      </c>
      <c r="D1404" s="33" t="str">
        <f t="shared" si="419"/>
        <v>Q4</v>
      </c>
      <c r="E1404" s="33" t="s">
        <v>3173</v>
      </c>
      <c r="F1404" s="152">
        <v>2024</v>
      </c>
      <c r="G1404" s="152">
        <v>4</v>
      </c>
      <c r="H1404" s="29"/>
      <c r="I1404" s="33" t="str">
        <f t="shared" si="420"/>
        <v>Q1</v>
      </c>
      <c r="J1404" s="188" t="s">
        <v>3165</v>
      </c>
      <c r="K1404" s="29" t="s">
        <v>3191</v>
      </c>
      <c r="L1404" s="17" t="s">
        <v>93</v>
      </c>
      <c r="M1404" s="13" t="s">
        <v>61</v>
      </c>
      <c r="N1404" s="22">
        <v>1</v>
      </c>
      <c r="O1404" s="22"/>
      <c r="P1404" s="33" t="str">
        <f t="shared" si="421"/>
        <v>MAIN UNIT</v>
      </c>
      <c r="Q1404" s="13" t="s">
        <v>69</v>
      </c>
      <c r="R1404" s="22" t="s">
        <v>63</v>
      </c>
      <c r="S1404" s="22" t="s">
        <v>51</v>
      </c>
      <c r="T1404" s="22" t="s">
        <v>89</v>
      </c>
      <c r="U1404" s="22" t="s">
        <v>71</v>
      </c>
      <c r="V1404" s="22" t="s">
        <v>1011</v>
      </c>
      <c r="W1404" s="22" t="s">
        <v>65</v>
      </c>
      <c r="X1404" s="30">
        <v>790000</v>
      </c>
      <c r="Y1404" s="31" t="str">
        <f>IF(W1404="","",IF(W1404="RMB","1.13", "1"))</f>
        <v>1.13</v>
      </c>
      <c r="Z1404" s="18">
        <f t="shared" ref="Z1404:Z1467" si="431">IF(X1404="","",X1404*MAX(O1404,N1404))</f>
        <v>790000</v>
      </c>
      <c r="AA1404" s="22">
        <v>1.083</v>
      </c>
      <c r="AB1404" s="21">
        <f t="shared" si="422"/>
        <v>757141.59292035399</v>
      </c>
      <c r="AC1404" s="25">
        <f t="shared" si="423"/>
        <v>67082.745132743366</v>
      </c>
      <c r="AD1404" s="169">
        <v>8.8599999999999998E-2</v>
      </c>
      <c r="AE1404" s="26">
        <f t="shared" si="424"/>
        <v>1</v>
      </c>
      <c r="AF1404" s="26">
        <f>IF(AND(COUNTIFS($J$18:J1404,J1404)=1,AE1404=1),1,"")</f>
        <v>1</v>
      </c>
      <c r="AG1404" s="26">
        <f>IF(C1404="","",IF(AND(COUNTIFS($J$18:J1404,J1404)=1,C1404&lt;&gt;""),1,""))</f>
        <v>1</v>
      </c>
      <c r="AH1404" s="26">
        <f>IF(G1404="","",IF(AND(COUNTIFS($J$18:J1404,J1404)=1,G1404&lt;&gt;""),1,""))</f>
        <v>1</v>
      </c>
      <c r="AI1404" s="27">
        <f t="shared" si="415"/>
        <v>20319282.700884953</v>
      </c>
      <c r="AJ1404" s="27">
        <f t="shared" si="416"/>
        <v>2408851.9638623013</v>
      </c>
      <c r="AK1404" s="28">
        <f t="shared" si="425"/>
        <v>0.11855004919821259</v>
      </c>
      <c r="AL1404" s="24"/>
      <c r="AM1404" s="24"/>
      <c r="AN1404" s="24"/>
      <c r="AO1404" s="24"/>
      <c r="AP1404" s="28" t="str">
        <f t="shared" si="426"/>
        <v>20244</v>
      </c>
      <c r="AQ1404" s="28" t="str">
        <f t="shared" si="427"/>
        <v>20244RMB</v>
      </c>
      <c r="AR1404" s="206" t="str">
        <f t="shared" si="428"/>
        <v>YAMAHA_Mounter</v>
      </c>
      <c r="AS1404" s="22">
        <f t="shared" si="429"/>
        <v>2</v>
      </c>
      <c r="AT1404" s="24" t="str">
        <f t="shared" si="430"/>
        <v>0-3 months</v>
      </c>
    </row>
    <row r="1405" spans="1:46" s="12" customFormat="1">
      <c r="A1405" s="33" t="str">
        <f t="shared" si="418"/>
        <v>FY 23/24</v>
      </c>
      <c r="B1405" s="23">
        <v>2024</v>
      </c>
      <c r="C1405" s="152">
        <v>3</v>
      </c>
      <c r="D1405" s="33" t="str">
        <f t="shared" si="419"/>
        <v>Q4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4</v>
      </c>
      <c r="H1405" s="29"/>
      <c r="I1405" s="33" t="str">
        <f t="shared" si="420"/>
        <v>Q1</v>
      </c>
      <c r="J1405" s="188" t="s">
        <v>3372</v>
      </c>
      <c r="K1405" s="29" t="s">
        <v>3166</v>
      </c>
      <c r="L1405" s="17" t="s">
        <v>68</v>
      </c>
      <c r="M1405" s="22" t="s">
        <v>61</v>
      </c>
      <c r="N1405" s="22">
        <v>1</v>
      </c>
      <c r="O1405" s="22"/>
      <c r="P1405" s="33" t="str">
        <f t="shared" si="421"/>
        <v>MAIN UNIT</v>
      </c>
      <c r="Q1405" s="13" t="s">
        <v>62</v>
      </c>
      <c r="R1405" s="22" t="s">
        <v>63</v>
      </c>
      <c r="S1405" s="22" t="s">
        <v>51</v>
      </c>
      <c r="T1405" s="22" t="s">
        <v>89</v>
      </c>
      <c r="U1405" s="22" t="s">
        <v>71</v>
      </c>
      <c r="V1405" s="22" t="s">
        <v>1011</v>
      </c>
      <c r="W1405" s="22" t="s">
        <v>65</v>
      </c>
      <c r="X1405" s="30">
        <v>427500</v>
      </c>
      <c r="Y1405" s="31" t="str">
        <f>IF(W1405="","",IF(W1405="RMB","1.13", "1"))</f>
        <v>1.13</v>
      </c>
      <c r="Z1405" s="18">
        <f t="shared" si="431"/>
        <v>427500</v>
      </c>
      <c r="AA1405" s="22">
        <v>1.083</v>
      </c>
      <c r="AB1405" s="21">
        <f t="shared" si="422"/>
        <v>409719.02654867258</v>
      </c>
      <c r="AC1405" s="25">
        <f t="shared" si="423"/>
        <v>34006.679203539825</v>
      </c>
      <c r="AD1405" s="169">
        <v>8.3000000000000004E-2</v>
      </c>
      <c r="AE1405" s="26">
        <f t="shared" si="424"/>
        <v>0</v>
      </c>
      <c r="AF1405" s="26" t="str">
        <f>IF(AND(COUNTIFS($J$18:J1405,J1405)=1,AE1405=1),1,"")</f>
        <v/>
      </c>
      <c r="AG1405" s="26">
        <f>IF(C1405="","",IF(AND(COUNTIFS($J$18:J1405,J1405)=1,C1405&lt;&gt;""),1,""))</f>
        <v>1</v>
      </c>
      <c r="AH1405" s="26">
        <f>IF(G1405="","",IF(AND(COUNTIFS($J$18:J1405,J1405)=1,G1405&lt;&gt;""),1,""))</f>
        <v>1</v>
      </c>
      <c r="AI1405" s="27">
        <f t="shared" si="415"/>
        <v>20319282.700884953</v>
      </c>
      <c r="AJ1405" s="27">
        <f t="shared" si="416"/>
        <v>2408851.9638623013</v>
      </c>
      <c r="AK1405" s="28">
        <f t="shared" si="425"/>
        <v>0.11855004919821259</v>
      </c>
      <c r="AL1405" s="24"/>
      <c r="AM1405" s="24"/>
      <c r="AN1405" s="24"/>
      <c r="AO1405" s="24"/>
      <c r="AP1405" s="28" t="str">
        <f t="shared" si="426"/>
        <v>20244</v>
      </c>
      <c r="AQ1405" s="28" t="str">
        <f t="shared" si="427"/>
        <v>20244RMB</v>
      </c>
      <c r="AR1405" s="206" t="str">
        <f t="shared" si="428"/>
        <v>YAMAHA_Mounter</v>
      </c>
      <c r="AS1405" s="22">
        <f t="shared" si="429"/>
        <v>1</v>
      </c>
      <c r="AT1405" s="24" t="str">
        <f t="shared" si="430"/>
        <v>0-3 months</v>
      </c>
    </row>
    <row r="1406" spans="1:46" s="12" customFormat="1">
      <c r="A1406" s="33" t="str">
        <f t="shared" si="418"/>
        <v>FY 23/24</v>
      </c>
      <c r="B1406" s="23">
        <v>2024</v>
      </c>
      <c r="C1406" s="152">
        <v>3</v>
      </c>
      <c r="D1406" s="33" t="str">
        <f t="shared" si="419"/>
        <v>Q4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4</v>
      </c>
      <c r="H1406" s="29"/>
      <c r="I1406" s="33" t="str">
        <f t="shared" si="420"/>
        <v>Q1</v>
      </c>
      <c r="J1406" s="188" t="s">
        <v>3372</v>
      </c>
      <c r="K1406" s="29" t="s">
        <v>3166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21"/>
        <v>MAIN UNIT</v>
      </c>
      <c r="Q1406" s="13" t="s">
        <v>62</v>
      </c>
      <c r="R1406" s="22" t="s">
        <v>63</v>
      </c>
      <c r="S1406" s="22" t="s">
        <v>51</v>
      </c>
      <c r="T1406" s="22" t="s">
        <v>326</v>
      </c>
      <c r="U1406" s="22" t="s">
        <v>71</v>
      </c>
      <c r="V1406" s="22" t="s">
        <v>1011</v>
      </c>
      <c r="W1406" s="22" t="s">
        <v>65</v>
      </c>
      <c r="X1406" s="30">
        <v>427500</v>
      </c>
      <c r="Y1406" s="31" t="str">
        <f>IF(W1406="","",IF(W1406="RMB","1.13", "1"))</f>
        <v>1.13</v>
      </c>
      <c r="Z1406" s="18">
        <f t="shared" si="431"/>
        <v>427500</v>
      </c>
      <c r="AA1406" s="22">
        <v>1.083</v>
      </c>
      <c r="AB1406" s="21">
        <f t="shared" si="422"/>
        <v>409719.02654867258</v>
      </c>
      <c r="AC1406" s="25">
        <f t="shared" si="423"/>
        <v>34006.679203539825</v>
      </c>
      <c r="AD1406" s="169">
        <v>8.3000000000000004E-2</v>
      </c>
      <c r="AE1406" s="26">
        <f t="shared" si="424"/>
        <v>0</v>
      </c>
      <c r="AF1406" s="26" t="str">
        <f>IF(AND(COUNTIFS($J$18:J1406,J1406)=1,AE1406=1),1,"")</f>
        <v/>
      </c>
      <c r="AG1406" s="26" t="str">
        <f>IF(C1406="","",IF(AND(COUNTIFS($J$18:J1406,J1406)=1,C1406&lt;&gt;""),1,""))</f>
        <v/>
      </c>
      <c r="AH1406" s="26" t="str">
        <f>IF(G1406="","",IF(AND(COUNTIFS($J$18:J1406,J1406)=1,G1406&lt;&gt;""),1,""))</f>
        <v/>
      </c>
      <c r="AI1406" s="27">
        <f t="shared" si="415"/>
        <v>20319282.700884953</v>
      </c>
      <c r="AJ1406" s="27">
        <f t="shared" si="416"/>
        <v>2408851.9638623013</v>
      </c>
      <c r="AK1406" s="28">
        <f t="shared" si="425"/>
        <v>0.11855004919821259</v>
      </c>
      <c r="AL1406" s="24"/>
      <c r="AM1406" s="24"/>
      <c r="AN1406" s="24"/>
      <c r="AO1406" s="24"/>
      <c r="AP1406" s="28" t="str">
        <f t="shared" si="426"/>
        <v>20244</v>
      </c>
      <c r="AQ1406" s="28" t="str">
        <f t="shared" si="427"/>
        <v>20244RMB</v>
      </c>
      <c r="AR1406" s="206" t="str">
        <f t="shared" si="428"/>
        <v>YAMAHA_Mounter</v>
      </c>
      <c r="AS1406" s="22">
        <f t="shared" si="429"/>
        <v>1</v>
      </c>
      <c r="AT1406" s="24" t="str">
        <f t="shared" si="430"/>
        <v>0-3 months</v>
      </c>
    </row>
    <row r="1407" spans="1:46" s="12" customFormat="1">
      <c r="A1407" s="33" t="str">
        <f t="shared" si="418"/>
        <v>FY 21/22</v>
      </c>
      <c r="B1407" s="152">
        <v>2021</v>
      </c>
      <c r="C1407" s="152">
        <v>4</v>
      </c>
      <c r="D1407" s="33" t="str">
        <f t="shared" si="419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20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21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32">IF(W1407="RMB","1.13", "1")</f>
        <v>1.13</v>
      </c>
      <c r="Z1407" s="18">
        <f t="shared" si="431"/>
        <v>930000</v>
      </c>
      <c r="AA1407" s="13">
        <v>1.18</v>
      </c>
      <c r="AB1407" s="21">
        <f t="shared" si="422"/>
        <v>971150.4424778762</v>
      </c>
      <c r="AC1407" s="130">
        <f t="shared" si="423"/>
        <v>124889.94690265488</v>
      </c>
      <c r="AD1407" s="169">
        <v>0.12859999999999999</v>
      </c>
      <c r="AE1407" s="154">
        <f t="shared" si="424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5"/>
        <v>43684091.636631854</v>
      </c>
      <c r="AJ1407" s="19">
        <f t="shared" si="416"/>
        <v>6483951.8242071122</v>
      </c>
      <c r="AK1407" s="20">
        <f t="shared" si="425"/>
        <v>0.14842821680123736</v>
      </c>
      <c r="AL1407" s="17"/>
      <c r="AM1407" s="17"/>
      <c r="AN1407" s="17"/>
      <c r="AO1407" s="17"/>
      <c r="AP1407" s="28" t="str">
        <f t="shared" si="426"/>
        <v>20214</v>
      </c>
      <c r="AQ1407" s="28" t="str">
        <f t="shared" si="427"/>
        <v>20214RMB</v>
      </c>
      <c r="AR1407" s="206" t="str">
        <f t="shared" si="428"/>
        <v>YAMAHA_Mounter</v>
      </c>
      <c r="AS1407" s="22">
        <f t="shared" si="429"/>
        <v>0</v>
      </c>
      <c r="AT1407" s="24" t="str">
        <f t="shared" si="430"/>
        <v>0-3 months</v>
      </c>
    </row>
    <row r="1408" spans="1:46" s="12" customFormat="1">
      <c r="A1408" s="33" t="str">
        <f t="shared" si="418"/>
        <v>FY 21/22</v>
      </c>
      <c r="B1408" s="152">
        <v>2021</v>
      </c>
      <c r="C1408" s="152">
        <v>4</v>
      </c>
      <c r="D1408" s="33" t="str">
        <f t="shared" si="419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20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21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32"/>
        <v>1.13</v>
      </c>
      <c r="Z1408" s="18">
        <f t="shared" si="431"/>
        <v>930000</v>
      </c>
      <c r="AA1408" s="13">
        <v>1.18</v>
      </c>
      <c r="AB1408" s="21">
        <f t="shared" si="422"/>
        <v>971150.4424778762</v>
      </c>
      <c r="AC1408" s="130">
        <f t="shared" si="423"/>
        <v>124889.94690265488</v>
      </c>
      <c r="AD1408" s="169">
        <v>0.12859999999999999</v>
      </c>
      <c r="AE1408" s="154">
        <f t="shared" si="424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5"/>
        <v>43684091.636631854</v>
      </c>
      <c r="AJ1408" s="19">
        <f t="shared" si="416"/>
        <v>6483951.8242071122</v>
      </c>
      <c r="AK1408" s="20">
        <f t="shared" si="425"/>
        <v>0.14842821680123736</v>
      </c>
      <c r="AL1408" s="17"/>
      <c r="AM1408" s="17"/>
      <c r="AN1408" s="17"/>
      <c r="AO1408" s="17"/>
      <c r="AP1408" s="28" t="str">
        <f t="shared" si="426"/>
        <v>20214</v>
      </c>
      <c r="AQ1408" s="28" t="str">
        <f t="shared" si="427"/>
        <v>20214RMB</v>
      </c>
      <c r="AR1408" s="206" t="str">
        <f t="shared" si="428"/>
        <v>YAMAHA_Mounter</v>
      </c>
      <c r="AS1408" s="22">
        <f t="shared" si="429"/>
        <v>0</v>
      </c>
      <c r="AT1408" s="24" t="str">
        <f t="shared" si="430"/>
        <v>0-3 months</v>
      </c>
    </row>
    <row r="1409" spans="1:46" s="12" customFormat="1">
      <c r="A1409" s="33" t="str">
        <f t="shared" si="418"/>
        <v>FY 21/22</v>
      </c>
      <c r="B1409" s="152">
        <v>2021</v>
      </c>
      <c r="C1409" s="152">
        <v>4</v>
      </c>
      <c r="D1409" s="33" t="str">
        <f t="shared" si="419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20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21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32"/>
        <v>1.13</v>
      </c>
      <c r="Z1409" s="18">
        <f t="shared" si="431"/>
        <v>500000</v>
      </c>
      <c r="AA1409" s="13">
        <v>1.175</v>
      </c>
      <c r="AB1409" s="21">
        <f t="shared" si="422"/>
        <v>519911.50442477886</v>
      </c>
      <c r="AC1409" s="130">
        <f t="shared" si="423"/>
        <v>81678.097345132759</v>
      </c>
      <c r="AD1409" s="169">
        <v>0.15709999999999999</v>
      </c>
      <c r="AE1409" s="154">
        <f t="shared" si="424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5"/>
        <v>35682787.057522126</v>
      </c>
      <c r="AJ1409" s="19">
        <f t="shared" si="416"/>
        <v>5833368.3789623892</v>
      </c>
      <c r="AK1409" s="20">
        <f t="shared" si="425"/>
        <v>0.16347849649632912</v>
      </c>
      <c r="AL1409" s="17"/>
      <c r="AM1409" s="17"/>
      <c r="AN1409" s="17"/>
      <c r="AO1409" s="17"/>
      <c r="AP1409" s="28" t="str">
        <f t="shared" si="426"/>
        <v>20226</v>
      </c>
      <c r="AQ1409" s="28" t="str">
        <f t="shared" si="427"/>
        <v>20226RMB</v>
      </c>
      <c r="AR1409" s="206" t="str">
        <f t="shared" si="428"/>
        <v>YAMAHA_Mounter</v>
      </c>
      <c r="AS1409" s="22">
        <f t="shared" si="429"/>
        <v>14</v>
      </c>
      <c r="AT1409" s="24" t="str">
        <f t="shared" si="430"/>
        <v>&gt; 6 months</v>
      </c>
    </row>
    <row r="1410" spans="1:46" s="12" customFormat="1">
      <c r="A1410" s="33" t="str">
        <f t="shared" si="418"/>
        <v>FY 21/22</v>
      </c>
      <c r="B1410" s="152">
        <v>2021</v>
      </c>
      <c r="C1410" s="152">
        <v>4</v>
      </c>
      <c r="D1410" s="33" t="str">
        <f t="shared" si="419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20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21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32"/>
        <v>1.13</v>
      </c>
      <c r="Z1410" s="18">
        <f t="shared" si="431"/>
        <v>500000</v>
      </c>
      <c r="AA1410" s="13">
        <v>1.175</v>
      </c>
      <c r="AB1410" s="21">
        <f t="shared" si="422"/>
        <v>519911.50442477886</v>
      </c>
      <c r="AC1410" s="130">
        <f t="shared" si="423"/>
        <v>81678.097345132759</v>
      </c>
      <c r="AD1410" s="169">
        <v>0.15709999999999999</v>
      </c>
      <c r="AE1410" s="154">
        <f t="shared" si="424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33">IF(P1410="C66 SERVICE","",SUMIFS(AB:AB,F:F,F1410,G:G,G1410,E:E,E1410))</f>
        <v>35682787.057522126</v>
      </c>
      <c r="AJ1410" s="19">
        <f t="shared" ref="AJ1410:AJ1473" si="434">IF(P1410="C66 SERVICE","",SUMIFS(AC:AC,F:F,F1410,G:G,G1410,E:E,E1410))</f>
        <v>5833368.3789623892</v>
      </c>
      <c r="AK1410" s="20">
        <f t="shared" si="425"/>
        <v>0.16347849649632912</v>
      </c>
      <c r="AL1410" s="17"/>
      <c r="AM1410" s="17"/>
      <c r="AN1410" s="17"/>
      <c r="AO1410" s="17"/>
      <c r="AP1410" s="28" t="str">
        <f t="shared" si="426"/>
        <v>20226</v>
      </c>
      <c r="AQ1410" s="28" t="str">
        <f t="shared" si="427"/>
        <v>20226RMB</v>
      </c>
      <c r="AR1410" s="206" t="str">
        <f t="shared" si="428"/>
        <v>YAMAHA_Mounter</v>
      </c>
      <c r="AS1410" s="22">
        <f t="shared" si="429"/>
        <v>14</v>
      </c>
      <c r="AT1410" s="24" t="str">
        <f t="shared" si="430"/>
        <v>&gt; 6 months</v>
      </c>
    </row>
    <row r="1411" spans="1:46" s="12" customFormat="1">
      <c r="A1411" s="33" t="str">
        <f t="shared" si="418"/>
        <v>FY 21/22</v>
      </c>
      <c r="B1411" s="152">
        <v>2021</v>
      </c>
      <c r="C1411" s="152">
        <v>6</v>
      </c>
      <c r="D1411" s="33" t="str">
        <f t="shared" si="419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20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21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32"/>
        <v>1.13</v>
      </c>
      <c r="Z1411" s="18">
        <f t="shared" si="431"/>
        <v>585200</v>
      </c>
      <c r="AA1411" s="13">
        <v>1.2</v>
      </c>
      <c r="AB1411" s="21">
        <f t="shared" si="422"/>
        <v>621451.32743362838</v>
      </c>
      <c r="AC1411" s="130">
        <f t="shared" si="423"/>
        <v>74574.159292035401</v>
      </c>
      <c r="AD1411" s="169">
        <v>0.12</v>
      </c>
      <c r="AE1411" s="154">
        <f t="shared" si="424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33"/>
        <v>477651199.57437885</v>
      </c>
      <c r="AJ1411" s="19">
        <f t="shared" si="434"/>
        <v>56918800.518691957</v>
      </c>
      <c r="AK1411" s="20">
        <f t="shared" si="425"/>
        <v>0.11916394341605475</v>
      </c>
      <c r="AL1411" s="17"/>
      <c r="AM1411" s="17"/>
      <c r="AN1411" s="17"/>
      <c r="AO1411" s="17"/>
      <c r="AP1411" s="28" t="str">
        <f t="shared" si="426"/>
        <v>CancelCANCEL</v>
      </c>
      <c r="AQ1411" s="28" t="str">
        <f t="shared" si="427"/>
        <v>CancelCANCELRMB</v>
      </c>
      <c r="AR1411" s="206" t="str">
        <f t="shared" si="428"/>
        <v>YAMAHA_Mounter</v>
      </c>
      <c r="AS1411" s="22" t="str">
        <f t="shared" si="429"/>
        <v/>
      </c>
      <c r="AT1411" s="24" t="str">
        <f t="shared" si="430"/>
        <v/>
      </c>
    </row>
    <row r="1412" spans="1:46" s="12" customFormat="1">
      <c r="A1412" s="33" t="str">
        <f t="shared" si="418"/>
        <v>FY 21/22</v>
      </c>
      <c r="B1412" s="152">
        <v>2021</v>
      </c>
      <c r="C1412" s="152">
        <v>6</v>
      </c>
      <c r="D1412" s="33" t="str">
        <f t="shared" si="419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20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21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32"/>
        <v>1.13</v>
      </c>
      <c r="Z1412" s="18">
        <f t="shared" si="431"/>
        <v>585200</v>
      </c>
      <c r="AA1412" s="13">
        <v>1.2</v>
      </c>
      <c r="AB1412" s="21">
        <f t="shared" si="422"/>
        <v>621451.32743362838</v>
      </c>
      <c r="AC1412" s="130">
        <f t="shared" si="423"/>
        <v>74574.159292035401</v>
      </c>
      <c r="AD1412" s="169">
        <v>0.12</v>
      </c>
      <c r="AE1412" s="154">
        <f t="shared" si="424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33"/>
        <v>477651199.57437885</v>
      </c>
      <c r="AJ1412" s="19">
        <f t="shared" si="434"/>
        <v>56918800.518691957</v>
      </c>
      <c r="AK1412" s="20">
        <f t="shared" si="425"/>
        <v>0.11916394341605475</v>
      </c>
      <c r="AL1412" s="17"/>
      <c r="AM1412" s="17"/>
      <c r="AN1412" s="17"/>
      <c r="AO1412" s="17"/>
      <c r="AP1412" s="28" t="str">
        <f t="shared" si="426"/>
        <v>CancelCANCEL</v>
      </c>
      <c r="AQ1412" s="28" t="str">
        <f t="shared" si="427"/>
        <v>CancelCANCELRMB</v>
      </c>
      <c r="AR1412" s="206" t="str">
        <f t="shared" si="428"/>
        <v>YAMAHA_Mounter</v>
      </c>
      <c r="AS1412" s="22" t="str">
        <f t="shared" si="429"/>
        <v/>
      </c>
      <c r="AT1412" s="24" t="str">
        <f t="shared" si="430"/>
        <v/>
      </c>
    </row>
    <row r="1413" spans="1:46" s="12" customFormat="1">
      <c r="A1413" s="33" t="str">
        <f t="shared" si="418"/>
        <v>FY 22/23</v>
      </c>
      <c r="B1413" s="152">
        <v>2022</v>
      </c>
      <c r="C1413" s="152">
        <v>6</v>
      </c>
      <c r="D1413" s="33" t="str">
        <f t="shared" si="419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20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21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32"/>
        <v>1.13</v>
      </c>
      <c r="Z1413" s="18">
        <f t="shared" si="431"/>
        <v>53744</v>
      </c>
      <c r="AA1413" s="13">
        <v>1.17</v>
      </c>
      <c r="AB1413" s="21">
        <f t="shared" si="422"/>
        <v>55646.442477876102</v>
      </c>
      <c r="AC1413" s="130">
        <f t="shared" si="423"/>
        <v>12192.135546902653</v>
      </c>
      <c r="AD1413" s="169">
        <v>0.21909999999999999</v>
      </c>
      <c r="AE1413" s="154">
        <f t="shared" si="424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33"/>
        <v>36480247.665929198</v>
      </c>
      <c r="AJ1413" s="19">
        <f t="shared" si="434"/>
        <v>5330996.6372757526</v>
      </c>
      <c r="AK1413" s="20">
        <f t="shared" si="425"/>
        <v>0.14613378412599562</v>
      </c>
      <c r="AL1413" s="17"/>
      <c r="AM1413" s="17"/>
      <c r="AN1413" s="17"/>
      <c r="AO1413" s="17" t="s">
        <v>3009</v>
      </c>
      <c r="AP1413" s="28" t="str">
        <f t="shared" si="426"/>
        <v>20227</v>
      </c>
      <c r="AQ1413" s="28" t="str">
        <f t="shared" si="427"/>
        <v>20227RMB</v>
      </c>
      <c r="AR1413" s="206" t="str">
        <f t="shared" si="428"/>
        <v>SOLDERSTAR</v>
      </c>
      <c r="AS1413" s="22">
        <f t="shared" si="429"/>
        <v>1</v>
      </c>
      <c r="AT1413" s="24" t="str">
        <f t="shared" si="430"/>
        <v>0-3 months</v>
      </c>
    </row>
    <row r="1414" spans="1:46" s="12" customFormat="1">
      <c r="A1414" s="33" t="str">
        <f t="shared" si="418"/>
        <v>FY 19/20</v>
      </c>
      <c r="B1414" s="152">
        <v>2019</v>
      </c>
      <c r="C1414" s="152">
        <v>12</v>
      </c>
      <c r="D1414" s="33" t="str">
        <f t="shared" si="419"/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si="420"/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si="421"/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31"/>
        <v>1090000</v>
      </c>
      <c r="AA1414" s="13">
        <v>1.1100000000000001</v>
      </c>
      <c r="AB1414" s="21">
        <f t="shared" si="422"/>
        <v>1070707.96460177</v>
      </c>
      <c r="AC1414" s="130">
        <f t="shared" si="423"/>
        <v>100325.33628318585</v>
      </c>
      <c r="AD1414" s="169">
        <v>9.3700000000000006E-2</v>
      </c>
      <c r="AE1414" s="154">
        <f t="shared" si="424"/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33"/>
        <v>27318180.088495575</v>
      </c>
      <c r="AJ1414" s="19">
        <f t="shared" si="434"/>
        <v>3014099.212353982</v>
      </c>
      <c r="AK1414" s="20">
        <f t="shared" si="425"/>
        <v>0.11033308963444827</v>
      </c>
      <c r="AL1414" s="17"/>
      <c r="AM1414" s="17"/>
      <c r="AN1414" s="17"/>
      <c r="AO1414" s="17"/>
      <c r="AP1414" s="28" t="str">
        <f t="shared" si="426"/>
        <v>201912</v>
      </c>
      <c r="AQ1414" s="28" t="str">
        <f t="shared" si="427"/>
        <v>201912RMB</v>
      </c>
      <c r="AR1414" s="206" t="str">
        <f t="shared" si="428"/>
        <v>YAMAHA_Mounter</v>
      </c>
      <c r="AS1414" s="22">
        <f t="shared" si="429"/>
        <v>0</v>
      </c>
      <c r="AT1414" s="24" t="str">
        <f t="shared" si="430"/>
        <v>0-3 months</v>
      </c>
    </row>
    <row r="1415" spans="1:46" s="12" customFormat="1">
      <c r="A1415" s="33" t="str">
        <f t="shared" si="418"/>
        <v>FY 19/20</v>
      </c>
      <c r="B1415" s="152">
        <v>2019</v>
      </c>
      <c r="C1415" s="152">
        <v>12</v>
      </c>
      <c r="D1415" s="33" t="str">
        <f t="shared" si="419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0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1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31"/>
        <v>600000</v>
      </c>
      <c r="AA1415" s="13">
        <v>1.1100000000000001</v>
      </c>
      <c r="AB1415" s="21">
        <f t="shared" si="422"/>
        <v>589380.53097345144</v>
      </c>
      <c r="AC1415" s="130">
        <f t="shared" si="423"/>
        <v>99958.938053097372</v>
      </c>
      <c r="AD1415" s="169">
        <v>0.1696</v>
      </c>
      <c r="AE1415" s="154">
        <f t="shared" si="424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33"/>
        <v>27318180.088495575</v>
      </c>
      <c r="AJ1415" s="19">
        <f t="shared" si="434"/>
        <v>3014099.212353982</v>
      </c>
      <c r="AK1415" s="20">
        <f t="shared" si="425"/>
        <v>0.11033308963444827</v>
      </c>
      <c r="AL1415" s="17"/>
      <c r="AM1415" s="17"/>
      <c r="AN1415" s="17"/>
      <c r="AO1415" s="17"/>
      <c r="AP1415" s="28" t="str">
        <f t="shared" si="426"/>
        <v>201912</v>
      </c>
      <c r="AQ1415" s="28" t="str">
        <f t="shared" si="427"/>
        <v>201912RMB</v>
      </c>
      <c r="AR1415" s="206" t="str">
        <f t="shared" si="428"/>
        <v>YAMAHA_Mounter</v>
      </c>
      <c r="AS1415" s="22">
        <f t="shared" si="429"/>
        <v>0</v>
      </c>
      <c r="AT1415" s="24" t="str">
        <f t="shared" si="430"/>
        <v>0-3 months</v>
      </c>
    </row>
    <row r="1416" spans="1:46" s="12" customFormat="1">
      <c r="A1416" s="33" t="str">
        <f t="shared" si="418"/>
        <v>cancel</v>
      </c>
      <c r="B1416" s="152"/>
      <c r="C1416" s="152" t="s">
        <v>186</v>
      </c>
      <c r="D1416" s="33" t="str">
        <f t="shared" si="419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0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1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31"/>
        <v>13360000</v>
      </c>
      <c r="AA1416" s="13">
        <v>7.4300000000000005E-2</v>
      </c>
      <c r="AB1416" s="21">
        <f t="shared" si="422"/>
        <v>992648.00000000012</v>
      </c>
      <c r="AC1416" s="130">
        <f t="shared" si="423"/>
        <v>119117.76000000001</v>
      </c>
      <c r="AD1416" s="169">
        <v>0.12</v>
      </c>
      <c r="AE1416" s="154">
        <f t="shared" si="424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33"/>
        <v>477651199.57437885</v>
      </c>
      <c r="AJ1416" s="19">
        <f t="shared" si="434"/>
        <v>56918800.518691957</v>
      </c>
      <c r="AK1416" s="20">
        <f t="shared" si="425"/>
        <v>0.11916394341605475</v>
      </c>
      <c r="AL1416" s="17"/>
      <c r="AM1416" s="17"/>
      <c r="AN1416" s="17"/>
      <c r="AO1416" s="17"/>
      <c r="AP1416" s="28" t="str">
        <f t="shared" si="426"/>
        <v>CancelCancel</v>
      </c>
      <c r="AQ1416" s="28" t="str">
        <f t="shared" si="427"/>
        <v>CancelCancelJPY</v>
      </c>
      <c r="AR1416" s="206" t="str">
        <f t="shared" si="428"/>
        <v>YAMAHA_Mounter</v>
      </c>
      <c r="AS1416" s="22" t="str">
        <f t="shared" si="429"/>
        <v/>
      </c>
      <c r="AT1416" s="24" t="str">
        <f t="shared" si="430"/>
        <v/>
      </c>
    </row>
    <row r="1417" spans="1:46" s="12" customFormat="1">
      <c r="A1417" s="33" t="str">
        <f t="shared" si="418"/>
        <v>cancel</v>
      </c>
      <c r="B1417" s="152"/>
      <c r="C1417" s="152" t="s">
        <v>186</v>
      </c>
      <c r="D1417" s="33" t="str">
        <f t="shared" si="419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0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1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31"/>
        <v>8500000</v>
      </c>
      <c r="AA1417" s="13">
        <v>7.4300000000000005E-2</v>
      </c>
      <c r="AB1417" s="21">
        <f t="shared" si="422"/>
        <v>631550</v>
      </c>
      <c r="AC1417" s="130">
        <f t="shared" si="423"/>
        <v>75786</v>
      </c>
      <c r="AD1417" s="169">
        <v>0.12</v>
      </c>
      <c r="AE1417" s="154">
        <f t="shared" si="424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33"/>
        <v>477651199.57437885</v>
      </c>
      <c r="AJ1417" s="19">
        <f t="shared" si="434"/>
        <v>56918800.518691957</v>
      </c>
      <c r="AK1417" s="20">
        <f t="shared" si="425"/>
        <v>0.11916394341605475</v>
      </c>
      <c r="AL1417" s="17"/>
      <c r="AM1417" s="17"/>
      <c r="AN1417" s="17"/>
      <c r="AO1417" s="17"/>
      <c r="AP1417" s="28" t="str">
        <f t="shared" si="426"/>
        <v>CancelCancel</v>
      </c>
      <c r="AQ1417" s="28" t="str">
        <f t="shared" si="427"/>
        <v>CancelCancelJPY</v>
      </c>
      <c r="AR1417" s="206" t="str">
        <f t="shared" si="428"/>
        <v>YAMAHA_Mounter</v>
      </c>
      <c r="AS1417" s="22" t="str">
        <f t="shared" si="429"/>
        <v/>
      </c>
      <c r="AT1417" s="24" t="str">
        <f t="shared" si="430"/>
        <v/>
      </c>
    </row>
    <row r="1418" spans="1:46" s="12" customFormat="1">
      <c r="A1418" s="33" t="str">
        <f t="shared" si="418"/>
        <v>cancel</v>
      </c>
      <c r="B1418" s="152"/>
      <c r="C1418" s="152" t="s">
        <v>186</v>
      </c>
      <c r="D1418" s="33" t="str">
        <f t="shared" si="419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0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1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si="431"/>
        <v>10000000</v>
      </c>
      <c r="AA1418" s="13">
        <v>5.8799999999999998E-2</v>
      </c>
      <c r="AB1418" s="21">
        <f t="shared" si="422"/>
        <v>588000</v>
      </c>
      <c r="AC1418" s="130">
        <f t="shared" si="423"/>
        <v>70560</v>
      </c>
      <c r="AD1418" s="169">
        <v>0.12</v>
      </c>
      <c r="AE1418" s="154">
        <f t="shared" si="424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33"/>
        <v>477651199.57437885</v>
      </c>
      <c r="AJ1418" s="19">
        <f t="shared" si="434"/>
        <v>56918800.518691957</v>
      </c>
      <c r="AK1418" s="20">
        <f t="shared" si="425"/>
        <v>0.11916394341605475</v>
      </c>
      <c r="AL1418" s="17"/>
      <c r="AM1418" s="17"/>
      <c r="AN1418" s="17"/>
      <c r="AO1418" s="17"/>
      <c r="AP1418" s="28" t="str">
        <f t="shared" si="426"/>
        <v>CancelCancel</v>
      </c>
      <c r="AQ1418" s="28" t="str">
        <f t="shared" si="427"/>
        <v>CancelCancelJPY</v>
      </c>
      <c r="AR1418" s="206" t="str">
        <f t="shared" si="428"/>
        <v>YAMAHA_Mounter</v>
      </c>
      <c r="AS1418" s="22" t="str">
        <f t="shared" si="429"/>
        <v/>
      </c>
      <c r="AT1418" s="24" t="str">
        <f t="shared" si="430"/>
        <v/>
      </c>
    </row>
    <row r="1419" spans="1:46" s="12" customFormat="1">
      <c r="A1419" s="33" t="str">
        <f t="shared" si="418"/>
        <v>cancel</v>
      </c>
      <c r="B1419" s="152"/>
      <c r="C1419" s="152" t="s">
        <v>186</v>
      </c>
      <c r="D1419" s="33" t="str">
        <f t="shared" si="419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0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1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1"/>
        <v>13000000</v>
      </c>
      <c r="AA1419" s="13">
        <v>5.8799999999999998E-2</v>
      </c>
      <c r="AB1419" s="21">
        <f t="shared" si="422"/>
        <v>764400</v>
      </c>
      <c r="AC1419" s="130">
        <f t="shared" si="423"/>
        <v>91728</v>
      </c>
      <c r="AD1419" s="169">
        <v>0.12</v>
      </c>
      <c r="AE1419" s="154">
        <f t="shared" si="424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33"/>
        <v>477651199.57437885</v>
      </c>
      <c r="AJ1419" s="19">
        <f t="shared" si="434"/>
        <v>56918800.518691957</v>
      </c>
      <c r="AK1419" s="20">
        <f t="shared" si="425"/>
        <v>0.11916394341605475</v>
      </c>
      <c r="AL1419" s="17"/>
      <c r="AM1419" s="17"/>
      <c r="AN1419" s="17"/>
      <c r="AO1419" s="17"/>
      <c r="AP1419" s="28" t="str">
        <f t="shared" si="426"/>
        <v>CancelCancel</v>
      </c>
      <c r="AQ1419" s="28" t="str">
        <f t="shared" si="427"/>
        <v>CancelCancelJPY</v>
      </c>
      <c r="AR1419" s="206" t="str">
        <f t="shared" si="428"/>
        <v>YAMAHA_Mounter</v>
      </c>
      <c r="AS1419" s="22" t="str">
        <f t="shared" si="429"/>
        <v/>
      </c>
      <c r="AT1419" s="24" t="str">
        <f t="shared" si="430"/>
        <v/>
      </c>
    </row>
    <row r="1420" spans="1:46" s="12" customFormat="1">
      <c r="A1420" s="33" t="str">
        <f t="shared" si="418"/>
        <v>FY 20/21</v>
      </c>
      <c r="B1420" s="152">
        <v>2021</v>
      </c>
      <c r="C1420" s="152">
        <v>3</v>
      </c>
      <c r="D1420" s="33" t="str">
        <f t="shared" si="419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0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1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1"/>
        <v>611000</v>
      </c>
      <c r="AA1420" s="13">
        <v>1.2150000000000001</v>
      </c>
      <c r="AB1420" s="21">
        <f t="shared" si="422"/>
        <v>656960.17699115048</v>
      </c>
      <c r="AC1420" s="130">
        <f t="shared" si="423"/>
        <v>106624.63672566372</v>
      </c>
      <c r="AD1420" s="169">
        <v>0.1623</v>
      </c>
      <c r="AE1420" s="154">
        <f t="shared" si="424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33"/>
        <v>54700260.692079648</v>
      </c>
      <c r="AJ1420" s="19">
        <f t="shared" si="434"/>
        <v>7482899.5749188727</v>
      </c>
      <c r="AK1420" s="20">
        <f t="shared" si="425"/>
        <v>0.13679824337660537</v>
      </c>
      <c r="AL1420" s="17"/>
      <c r="AM1420" s="17"/>
      <c r="AN1420" s="17"/>
      <c r="AO1420" s="17"/>
      <c r="AP1420" s="28" t="str">
        <f t="shared" si="426"/>
        <v>20216</v>
      </c>
      <c r="AQ1420" s="28" t="str">
        <f t="shared" si="427"/>
        <v>20216RMB</v>
      </c>
      <c r="AR1420" s="206" t="str">
        <f t="shared" si="428"/>
        <v>YAMAHA_Mounter</v>
      </c>
      <c r="AS1420" s="22">
        <f t="shared" si="429"/>
        <v>3</v>
      </c>
      <c r="AT1420" s="24" t="str">
        <f t="shared" si="430"/>
        <v>0-3 months</v>
      </c>
    </row>
    <row r="1421" spans="1:46" s="12" customFormat="1" ht="28">
      <c r="A1421" s="33" t="str">
        <f t="shared" si="418"/>
        <v>FY 23/24</v>
      </c>
      <c r="B1421" s="152">
        <v>2023</v>
      </c>
      <c r="C1421" s="152">
        <v>8</v>
      </c>
      <c r="D1421" s="33" t="str">
        <f t="shared" si="419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0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1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1"/>
        <v>101250</v>
      </c>
      <c r="AA1421" s="13">
        <v>1.07</v>
      </c>
      <c r="AB1421" s="21">
        <f t="shared" si="422"/>
        <v>95873.893805309752</v>
      </c>
      <c r="AC1421" s="130">
        <f t="shared" si="423"/>
        <v>40765.579646017708</v>
      </c>
      <c r="AD1421" s="169">
        <v>0.42520000000000002</v>
      </c>
      <c r="AE1421" s="154">
        <f t="shared" si="424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33"/>
        <v>5219988.5752212387</v>
      </c>
      <c r="AJ1421" s="19">
        <f t="shared" si="434"/>
        <v>631627.0013460177</v>
      </c>
      <c r="AK1421" s="20">
        <f t="shared" si="425"/>
        <v>0.12100160608478869</v>
      </c>
      <c r="AL1421" s="17"/>
      <c r="AM1421" s="17"/>
      <c r="AN1421" s="17"/>
      <c r="AO1421" s="17"/>
      <c r="AP1421" s="28" t="str">
        <f t="shared" si="426"/>
        <v>202310</v>
      </c>
      <c r="AQ1421" s="28" t="str">
        <f t="shared" si="427"/>
        <v>202310RMB</v>
      </c>
      <c r="AR1421" s="206" t="str">
        <f t="shared" si="428"/>
        <v>YAMAHA_Mounter</v>
      </c>
      <c r="AS1421" s="22">
        <f t="shared" si="429"/>
        <v>2</v>
      </c>
      <c r="AT1421" s="24" t="str">
        <f t="shared" si="430"/>
        <v>0-3 months</v>
      </c>
    </row>
    <row r="1422" spans="1:46" s="12" customFormat="1">
      <c r="A1422" s="33" t="str">
        <f t="shared" si="418"/>
        <v>FY 22/23</v>
      </c>
      <c r="B1422" s="152">
        <v>2023</v>
      </c>
      <c r="C1422" s="152">
        <v>1</v>
      </c>
      <c r="D1422" s="33" t="str">
        <f t="shared" si="419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0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1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1"/>
        <v>62000</v>
      </c>
      <c r="AA1422" s="13">
        <v>1.1599999999999999</v>
      </c>
      <c r="AB1422" s="21">
        <f t="shared" si="422"/>
        <v>63646.017699115044</v>
      </c>
      <c r="AC1422" s="130">
        <f t="shared" si="423"/>
        <v>16808.913274336282</v>
      </c>
      <c r="AD1422" s="169">
        <v>0.2641</v>
      </c>
      <c r="AE1422" s="154">
        <f t="shared" si="424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33"/>
        <v>21045012.884955753</v>
      </c>
      <c r="AJ1422" s="19">
        <f t="shared" si="434"/>
        <v>2650260.9603327443</v>
      </c>
      <c r="AK1422" s="20">
        <f t="shared" si="425"/>
        <v>0.12593296924172048</v>
      </c>
      <c r="AL1422" s="17"/>
      <c r="AM1422" s="17"/>
      <c r="AN1422" s="17"/>
      <c r="AO1422" s="17"/>
      <c r="AP1422" s="28" t="str">
        <f t="shared" si="426"/>
        <v>20232</v>
      </c>
      <c r="AQ1422" s="28" t="str">
        <f t="shared" si="427"/>
        <v>20232RMB</v>
      </c>
      <c r="AR1422" s="206" t="str">
        <f t="shared" si="428"/>
        <v>SOLDERSTAR</v>
      </c>
      <c r="AS1422" s="22">
        <f t="shared" si="429"/>
        <v>1</v>
      </c>
      <c r="AT1422" s="24" t="str">
        <f t="shared" si="430"/>
        <v>0-3 months</v>
      </c>
    </row>
    <row r="1423" spans="1:46" s="12" customFormat="1">
      <c r="A1423" s="33" t="str">
        <f t="shared" si="418"/>
        <v>FY 21/22</v>
      </c>
      <c r="B1423" s="152">
        <v>2021</v>
      </c>
      <c r="C1423" s="152">
        <v>9</v>
      </c>
      <c r="D1423" s="33" t="str">
        <f t="shared" si="419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0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1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5">IF(W1423="RMB","1.13", "1")</f>
        <v>1.13</v>
      </c>
      <c r="Z1423" s="18">
        <f t="shared" si="431"/>
        <v>776666</v>
      </c>
      <c r="AA1423" s="13">
        <v>1.2150000000000001</v>
      </c>
      <c r="AB1423" s="21">
        <f t="shared" si="422"/>
        <v>835087.77876106207</v>
      </c>
      <c r="AC1423" s="130">
        <f t="shared" si="423"/>
        <v>139042.11516371684</v>
      </c>
      <c r="AD1423" s="169">
        <v>0.16650000000000001</v>
      </c>
      <c r="AE1423" s="154">
        <f t="shared" si="424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33"/>
        <v>25380121.402654871</v>
      </c>
      <c r="AJ1423" s="19">
        <f t="shared" si="434"/>
        <v>3850343.1237796471</v>
      </c>
      <c r="AK1423" s="20">
        <f t="shared" si="425"/>
        <v>0.1517070412191521</v>
      </c>
      <c r="AL1423" s="17"/>
      <c r="AM1423" s="17"/>
      <c r="AN1423" s="17"/>
      <c r="AO1423" s="17"/>
      <c r="AP1423" s="28" t="str">
        <f t="shared" si="426"/>
        <v>202112</v>
      </c>
      <c r="AQ1423" s="28" t="str">
        <f t="shared" si="427"/>
        <v>202112RMB</v>
      </c>
      <c r="AR1423" s="206" t="str">
        <f t="shared" si="428"/>
        <v>YAMAHA_Mounter</v>
      </c>
      <c r="AS1423" s="22">
        <f t="shared" si="429"/>
        <v>3</v>
      </c>
      <c r="AT1423" s="24" t="str">
        <f t="shared" si="430"/>
        <v>0-3 months</v>
      </c>
    </row>
    <row r="1424" spans="1:46" s="12" customFormat="1">
      <c r="A1424" s="33" t="str">
        <f t="shared" si="418"/>
        <v>FY 21/22</v>
      </c>
      <c r="B1424" s="152">
        <v>2021</v>
      </c>
      <c r="C1424" s="152">
        <v>9</v>
      </c>
      <c r="D1424" s="33" t="str">
        <f t="shared" si="419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0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1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5"/>
        <v>1.13</v>
      </c>
      <c r="Z1424" s="18">
        <f t="shared" si="431"/>
        <v>1000000</v>
      </c>
      <c r="AA1424" s="13">
        <v>1.2150000000000001</v>
      </c>
      <c r="AB1424" s="21">
        <f t="shared" si="422"/>
        <v>1075221.2389380534</v>
      </c>
      <c r="AC1424" s="130">
        <f t="shared" si="423"/>
        <v>179024.3362831859</v>
      </c>
      <c r="AD1424" s="169">
        <v>0.16650000000000001</v>
      </c>
      <c r="AE1424" s="154">
        <f t="shared" si="424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33"/>
        <v>25380121.402654871</v>
      </c>
      <c r="AJ1424" s="19">
        <f t="shared" si="434"/>
        <v>3850343.1237796471</v>
      </c>
      <c r="AK1424" s="20">
        <f t="shared" si="425"/>
        <v>0.1517070412191521</v>
      </c>
      <c r="AL1424" s="17"/>
      <c r="AM1424" s="17"/>
      <c r="AN1424" s="17"/>
      <c r="AO1424" s="17"/>
      <c r="AP1424" s="28" t="str">
        <f t="shared" si="426"/>
        <v>202112</v>
      </c>
      <c r="AQ1424" s="28" t="str">
        <f t="shared" si="427"/>
        <v>202112RMB</v>
      </c>
      <c r="AR1424" s="206" t="str">
        <f t="shared" si="428"/>
        <v>YAMAHA_Mounter</v>
      </c>
      <c r="AS1424" s="22">
        <f t="shared" si="429"/>
        <v>3</v>
      </c>
      <c r="AT1424" s="24" t="str">
        <f t="shared" si="430"/>
        <v>0-3 months</v>
      </c>
    </row>
    <row r="1425" spans="1:46" s="12" customFormat="1">
      <c r="A1425" s="33" t="str">
        <f t="shared" si="418"/>
        <v>FY 21/22</v>
      </c>
      <c r="B1425" s="152">
        <v>2021</v>
      </c>
      <c r="C1425" s="152">
        <v>9</v>
      </c>
      <c r="D1425" s="33" t="str">
        <f t="shared" si="419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0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1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5"/>
        <v>1.13</v>
      </c>
      <c r="Z1425" s="18">
        <f t="shared" si="431"/>
        <v>1000000</v>
      </c>
      <c r="AA1425" s="13">
        <v>1.2150000000000001</v>
      </c>
      <c r="AB1425" s="21">
        <f t="shared" si="422"/>
        <v>1075221.2389380534</v>
      </c>
      <c r="AC1425" s="130">
        <f t="shared" si="423"/>
        <v>179024.3362831859</v>
      </c>
      <c r="AD1425" s="169">
        <v>0.16650000000000001</v>
      </c>
      <c r="AE1425" s="154">
        <f t="shared" si="424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33"/>
        <v>25380121.402654871</v>
      </c>
      <c r="AJ1425" s="19">
        <f t="shared" si="434"/>
        <v>3850343.1237796471</v>
      </c>
      <c r="AK1425" s="20">
        <f t="shared" si="425"/>
        <v>0.1517070412191521</v>
      </c>
      <c r="AL1425" s="17"/>
      <c r="AM1425" s="17"/>
      <c r="AN1425" s="17"/>
      <c r="AO1425" s="17"/>
      <c r="AP1425" s="28" t="str">
        <f t="shared" si="426"/>
        <v>202112</v>
      </c>
      <c r="AQ1425" s="28" t="str">
        <f t="shared" si="427"/>
        <v>202112RMB</v>
      </c>
      <c r="AR1425" s="206" t="str">
        <f t="shared" si="428"/>
        <v>YAMAHA_Mounter</v>
      </c>
      <c r="AS1425" s="22">
        <f t="shared" si="429"/>
        <v>3</v>
      </c>
      <c r="AT1425" s="24" t="str">
        <f t="shared" si="430"/>
        <v>0-3 months</v>
      </c>
    </row>
    <row r="1426" spans="1:46" s="12" customFormat="1">
      <c r="A1426" s="33" t="str">
        <f t="shared" si="418"/>
        <v>FY 21/22</v>
      </c>
      <c r="B1426" s="152">
        <v>2021</v>
      </c>
      <c r="C1426" s="152">
        <v>9</v>
      </c>
      <c r="D1426" s="33" t="str">
        <f t="shared" si="419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0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1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5"/>
        <v>1.13</v>
      </c>
      <c r="Z1426" s="18">
        <f t="shared" si="431"/>
        <v>776666</v>
      </c>
      <c r="AA1426" s="13">
        <v>1.22</v>
      </c>
      <c r="AB1426" s="21">
        <f t="shared" si="422"/>
        <v>838524.35398230096</v>
      </c>
      <c r="AC1426" s="130">
        <f t="shared" si="423"/>
        <v>139614.30493805313</v>
      </c>
      <c r="AD1426" s="169">
        <v>0.16650000000000001</v>
      </c>
      <c r="AE1426" s="154">
        <f t="shared" si="424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33"/>
        <v>26407088.359292038</v>
      </c>
      <c r="AJ1426" s="19">
        <f t="shared" si="434"/>
        <v>3424510.6998470789</v>
      </c>
      <c r="AK1426" s="20">
        <f t="shared" si="425"/>
        <v>0.12968149510667554</v>
      </c>
      <c r="AL1426" s="17"/>
      <c r="AM1426" s="17"/>
      <c r="AN1426" s="17"/>
      <c r="AO1426" s="17"/>
      <c r="AP1426" s="28" t="str">
        <f t="shared" si="426"/>
        <v>20221</v>
      </c>
      <c r="AQ1426" s="28" t="str">
        <f t="shared" si="427"/>
        <v>20221RMB</v>
      </c>
      <c r="AR1426" s="206" t="str">
        <f t="shared" si="428"/>
        <v>YAMAHA_Mounter</v>
      </c>
      <c r="AS1426" s="22">
        <f t="shared" si="429"/>
        <v>4</v>
      </c>
      <c r="AT1426" s="24" t="str">
        <f t="shared" si="430"/>
        <v>4-6 months</v>
      </c>
    </row>
    <row r="1427" spans="1:46" s="12" customFormat="1">
      <c r="A1427" s="33" t="str">
        <f t="shared" si="418"/>
        <v>FY 21/22</v>
      </c>
      <c r="B1427" s="152">
        <v>2021</v>
      </c>
      <c r="C1427" s="152">
        <v>9</v>
      </c>
      <c r="D1427" s="33" t="str">
        <f t="shared" si="419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0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1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5"/>
        <v>1.13</v>
      </c>
      <c r="Z1427" s="18">
        <f t="shared" si="431"/>
        <v>776666</v>
      </c>
      <c r="AA1427" s="13">
        <v>1.22</v>
      </c>
      <c r="AB1427" s="21">
        <f t="shared" si="422"/>
        <v>838524.35398230096</v>
      </c>
      <c r="AC1427" s="130">
        <f t="shared" si="423"/>
        <v>139614.30493805313</v>
      </c>
      <c r="AD1427" s="169">
        <v>0.16650000000000001</v>
      </c>
      <c r="AE1427" s="154">
        <f t="shared" si="424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33"/>
        <v>26407088.359292038</v>
      </c>
      <c r="AJ1427" s="19">
        <f t="shared" si="434"/>
        <v>3424510.6998470789</v>
      </c>
      <c r="AK1427" s="20">
        <f t="shared" si="425"/>
        <v>0.12968149510667554</v>
      </c>
      <c r="AL1427" s="17"/>
      <c r="AM1427" s="17"/>
      <c r="AN1427" s="17"/>
      <c r="AO1427" s="17"/>
      <c r="AP1427" s="28" t="str">
        <f t="shared" si="426"/>
        <v>20221</v>
      </c>
      <c r="AQ1427" s="28" t="str">
        <f t="shared" si="427"/>
        <v>20221RMB</v>
      </c>
      <c r="AR1427" s="206" t="str">
        <f t="shared" si="428"/>
        <v>YAMAHA_Mounter</v>
      </c>
      <c r="AS1427" s="22">
        <f t="shared" si="429"/>
        <v>4</v>
      </c>
      <c r="AT1427" s="24" t="str">
        <f t="shared" si="430"/>
        <v>4-6 months</v>
      </c>
    </row>
    <row r="1428" spans="1:46" s="12" customFormat="1">
      <c r="A1428" s="33" t="str">
        <f t="shared" si="418"/>
        <v>FY 21/22</v>
      </c>
      <c r="B1428" s="152">
        <v>2021</v>
      </c>
      <c r="C1428" s="152">
        <v>9</v>
      </c>
      <c r="D1428" s="33" t="str">
        <f t="shared" si="419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0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1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5"/>
        <v>1.13</v>
      </c>
      <c r="Z1428" s="18">
        <f t="shared" si="431"/>
        <v>1000000</v>
      </c>
      <c r="AA1428" s="13">
        <v>1.22</v>
      </c>
      <c r="AB1428" s="21">
        <f t="shared" si="422"/>
        <v>1079646.0176991152</v>
      </c>
      <c r="AC1428" s="130">
        <f t="shared" si="423"/>
        <v>179761.06194690269</v>
      </c>
      <c r="AD1428" s="169">
        <v>0.16650000000000001</v>
      </c>
      <c r="AE1428" s="154">
        <f t="shared" si="424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33"/>
        <v>26407088.359292038</v>
      </c>
      <c r="AJ1428" s="19">
        <f t="shared" si="434"/>
        <v>3424510.6998470789</v>
      </c>
      <c r="AK1428" s="20">
        <f t="shared" si="425"/>
        <v>0.12968149510667554</v>
      </c>
      <c r="AL1428" s="17"/>
      <c r="AM1428" s="17"/>
      <c r="AN1428" s="17"/>
      <c r="AO1428" s="17"/>
      <c r="AP1428" s="28" t="str">
        <f t="shared" si="426"/>
        <v>20221</v>
      </c>
      <c r="AQ1428" s="28" t="str">
        <f t="shared" si="427"/>
        <v>20221RMB</v>
      </c>
      <c r="AR1428" s="206" t="str">
        <f t="shared" si="428"/>
        <v>YAMAHA_Mounter</v>
      </c>
      <c r="AS1428" s="22">
        <f t="shared" si="429"/>
        <v>4</v>
      </c>
      <c r="AT1428" s="24" t="str">
        <f t="shared" si="430"/>
        <v>4-6 months</v>
      </c>
    </row>
    <row r="1429" spans="1:46" s="12" customFormat="1">
      <c r="A1429" s="33" t="str">
        <f t="shared" si="418"/>
        <v/>
      </c>
      <c r="B1429" s="152" t="s">
        <v>2585</v>
      </c>
      <c r="C1429" s="152" t="s">
        <v>2585</v>
      </c>
      <c r="D1429" s="33" t="b">
        <f t="shared" si="419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0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1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5"/>
        <v>1.13</v>
      </c>
      <c r="Z1429" s="18">
        <f t="shared" si="431"/>
        <v>800000</v>
      </c>
      <c r="AA1429" s="13">
        <v>1.095</v>
      </c>
      <c r="AB1429" s="21">
        <f t="shared" si="422"/>
        <v>775221.23893805314</v>
      </c>
      <c r="AC1429" s="130">
        <f t="shared" si="423"/>
        <v>93026.54867256638</v>
      </c>
      <c r="AD1429" s="169">
        <v>0.12</v>
      </c>
      <c r="AE1429" s="154">
        <f t="shared" si="424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33"/>
        <v>16602721.68141593</v>
      </c>
      <c r="AJ1429" s="19">
        <f t="shared" si="434"/>
        <v>1923201.4867699118</v>
      </c>
      <c r="AK1429" s="20">
        <f t="shared" si="425"/>
        <v>0.11583651907642503</v>
      </c>
      <c r="AL1429" s="17"/>
      <c r="AM1429" s="17"/>
      <c r="AN1429" s="17"/>
      <c r="AO1429" s="17"/>
      <c r="AP1429" s="28" t="str">
        <f t="shared" si="426"/>
        <v>TBATBA</v>
      </c>
      <c r="AQ1429" s="28" t="str">
        <f t="shared" si="427"/>
        <v>TBATBARMB</v>
      </c>
      <c r="AR1429" s="206" t="str">
        <f t="shared" si="428"/>
        <v>YAMAHA_Mounter</v>
      </c>
      <c r="AS1429" s="22" t="str">
        <f t="shared" si="429"/>
        <v/>
      </c>
      <c r="AT1429" s="24" t="str">
        <f t="shared" si="430"/>
        <v/>
      </c>
    </row>
    <row r="1430" spans="1:46" s="12" customFormat="1">
      <c r="A1430" s="33" t="str">
        <f t="shared" si="418"/>
        <v/>
      </c>
      <c r="B1430" s="152" t="s">
        <v>2585</v>
      </c>
      <c r="C1430" s="152" t="s">
        <v>2585</v>
      </c>
      <c r="D1430" s="33" t="b">
        <f t="shared" si="419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0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1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5"/>
        <v>1.13</v>
      </c>
      <c r="Z1430" s="18">
        <f t="shared" si="431"/>
        <v>720000</v>
      </c>
      <c r="AA1430" s="13">
        <v>1.095</v>
      </c>
      <c r="AB1430" s="21">
        <f t="shared" si="422"/>
        <v>697699.11504424782</v>
      </c>
      <c r="AC1430" s="130">
        <f t="shared" si="423"/>
        <v>83723.893805309737</v>
      </c>
      <c r="AD1430" s="169">
        <v>0.12</v>
      </c>
      <c r="AE1430" s="154">
        <f t="shared" si="424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33"/>
        <v>16602721.68141593</v>
      </c>
      <c r="AJ1430" s="19">
        <f t="shared" si="434"/>
        <v>1923201.4867699118</v>
      </c>
      <c r="AK1430" s="20">
        <f t="shared" si="425"/>
        <v>0.11583651907642503</v>
      </c>
      <c r="AL1430" s="17"/>
      <c r="AM1430" s="17"/>
      <c r="AN1430" s="17"/>
      <c r="AO1430" s="17"/>
      <c r="AP1430" s="28" t="str">
        <f t="shared" si="426"/>
        <v>TBATBA</v>
      </c>
      <c r="AQ1430" s="28" t="str">
        <f t="shared" si="427"/>
        <v>TBATBARMB</v>
      </c>
      <c r="AR1430" s="206" t="str">
        <f t="shared" si="428"/>
        <v>YAMAHA_Mounter</v>
      </c>
      <c r="AS1430" s="22" t="str">
        <f t="shared" si="429"/>
        <v/>
      </c>
      <c r="AT1430" s="24" t="str">
        <f t="shared" si="430"/>
        <v/>
      </c>
    </row>
    <row r="1431" spans="1:46" s="12" customFormat="1">
      <c r="A1431" s="33" t="str">
        <f t="shared" si="418"/>
        <v>FY 20/21</v>
      </c>
      <c r="B1431" s="152">
        <v>2020</v>
      </c>
      <c r="C1431" s="152">
        <v>11</v>
      </c>
      <c r="D1431" s="33" t="str">
        <f t="shared" si="419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0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1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5"/>
        <v>1.13</v>
      </c>
      <c r="Z1431" s="18">
        <f t="shared" si="431"/>
        <v>712800</v>
      </c>
      <c r="AA1431" s="13">
        <v>1.155</v>
      </c>
      <c r="AB1431" s="21">
        <f t="shared" si="422"/>
        <v>728569.91150442488</v>
      </c>
      <c r="AC1431" s="130">
        <f t="shared" si="423"/>
        <v>77082.696637168163</v>
      </c>
      <c r="AD1431" s="169">
        <v>0.10580000000000001</v>
      </c>
      <c r="AE1431" s="154">
        <f t="shared" si="424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33"/>
        <v>44078731.611185849</v>
      </c>
      <c r="AJ1431" s="19">
        <f t="shared" si="434"/>
        <v>5508173.2163771465</v>
      </c>
      <c r="AK1431" s="20">
        <f t="shared" si="425"/>
        <v>0.12496215328889679</v>
      </c>
      <c r="AL1431" s="17"/>
      <c r="AM1431" s="17"/>
      <c r="AN1431" s="17"/>
      <c r="AO1431" s="17"/>
      <c r="AP1431" s="28" t="str">
        <f t="shared" si="426"/>
        <v>202011</v>
      </c>
      <c r="AQ1431" s="28" t="str">
        <f t="shared" si="427"/>
        <v>202011RMB</v>
      </c>
      <c r="AR1431" s="206" t="str">
        <f t="shared" si="428"/>
        <v>YAMAHA_Mounter</v>
      </c>
      <c r="AS1431" s="22">
        <f t="shared" si="429"/>
        <v>0</v>
      </c>
      <c r="AT1431" s="24" t="str">
        <f t="shared" si="430"/>
        <v>0-3 months</v>
      </c>
    </row>
    <row r="1432" spans="1:46" s="12" customFormat="1">
      <c r="A1432" s="33" t="str">
        <f t="shared" si="418"/>
        <v>FY 21/22</v>
      </c>
      <c r="B1432" s="152">
        <v>2021</v>
      </c>
      <c r="C1432" s="152">
        <v>8</v>
      </c>
      <c r="D1432" s="33" t="str">
        <f t="shared" si="419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0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1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5"/>
        <v>1.13</v>
      </c>
      <c r="Z1432" s="18">
        <f t="shared" si="431"/>
        <v>690000</v>
      </c>
      <c r="AA1432" s="13">
        <v>1.175</v>
      </c>
      <c r="AB1432" s="21">
        <f t="shared" si="422"/>
        <v>717477.8761061948</v>
      </c>
      <c r="AC1432" s="130">
        <f t="shared" si="423"/>
        <v>86097.345132743372</v>
      </c>
      <c r="AD1432" s="169">
        <v>0.12</v>
      </c>
      <c r="AE1432" s="154">
        <f t="shared" si="424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33"/>
        <v>477651199.57437885</v>
      </c>
      <c r="AJ1432" s="19">
        <f t="shared" si="434"/>
        <v>56918800.518691957</v>
      </c>
      <c r="AK1432" s="20">
        <f t="shared" si="425"/>
        <v>0.11916394341605475</v>
      </c>
      <c r="AL1432" s="17"/>
      <c r="AM1432" s="17"/>
      <c r="AN1432" s="17"/>
      <c r="AO1432" s="17"/>
      <c r="AP1432" s="28" t="str">
        <f t="shared" si="426"/>
        <v>Cancelcancel</v>
      </c>
      <c r="AQ1432" s="28" t="str">
        <f t="shared" si="427"/>
        <v>CancelcancelRMB</v>
      </c>
      <c r="AR1432" s="206" t="str">
        <f t="shared" si="428"/>
        <v>YAMAHA_Mounter</v>
      </c>
      <c r="AS1432" s="22" t="str">
        <f t="shared" si="429"/>
        <v/>
      </c>
      <c r="AT1432" s="24" t="str">
        <f t="shared" si="430"/>
        <v/>
      </c>
    </row>
    <row r="1433" spans="1:46" s="12" customFormat="1">
      <c r="A1433" s="33" t="str">
        <f t="shared" si="418"/>
        <v>FY 23/24</v>
      </c>
      <c r="B1433" s="152">
        <v>2023</v>
      </c>
      <c r="C1433" s="152">
        <v>5</v>
      </c>
      <c r="D1433" s="33" t="str">
        <f t="shared" si="419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0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1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5"/>
        <v>1.13</v>
      </c>
      <c r="Z1433" s="18">
        <f t="shared" si="431"/>
        <v>610000</v>
      </c>
      <c r="AA1433" s="13">
        <v>1.081</v>
      </c>
      <c r="AB1433" s="21">
        <f t="shared" si="422"/>
        <v>583548.67256637174</v>
      </c>
      <c r="AC1433" s="130">
        <f t="shared" si="423"/>
        <v>49776.701769911509</v>
      </c>
      <c r="AD1433" s="169">
        <v>8.5300000000000001E-2</v>
      </c>
      <c r="AE1433" s="154">
        <f t="shared" si="424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33"/>
        <v>15951056.41591504</v>
      </c>
      <c r="AJ1433" s="19">
        <f t="shared" si="434"/>
        <v>1966354.6022462982</v>
      </c>
      <c r="AK1433" s="20">
        <f t="shared" si="425"/>
        <v>0.12327425538313459</v>
      </c>
      <c r="AL1433" s="17"/>
      <c r="AM1433" s="17"/>
      <c r="AN1433" s="17"/>
      <c r="AO1433" s="17"/>
      <c r="AP1433" s="28" t="str">
        <f t="shared" si="426"/>
        <v>20237</v>
      </c>
      <c r="AQ1433" s="28" t="str">
        <f t="shared" si="427"/>
        <v>20237RMB</v>
      </c>
      <c r="AR1433" s="206" t="str">
        <f t="shared" si="428"/>
        <v>YAMAHA_Mounter</v>
      </c>
      <c r="AS1433" s="22">
        <f t="shared" si="429"/>
        <v>2</v>
      </c>
      <c r="AT1433" s="24" t="str">
        <f t="shared" si="430"/>
        <v>0-3 months</v>
      </c>
    </row>
    <row r="1434" spans="1:46" s="12" customFormat="1">
      <c r="A1434" s="33" t="str">
        <f t="shared" si="418"/>
        <v/>
      </c>
      <c r="B1434" s="152" t="s">
        <v>2585</v>
      </c>
      <c r="C1434" s="152" t="s">
        <v>2585</v>
      </c>
      <c r="D1434" s="33" t="b">
        <f t="shared" si="419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0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1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1"/>
        <v>1000000</v>
      </c>
      <c r="AA1434" s="13">
        <v>1.095</v>
      </c>
      <c r="AB1434" s="21">
        <f t="shared" si="422"/>
        <v>969026.54867256642</v>
      </c>
      <c r="AC1434" s="130">
        <f t="shared" si="423"/>
        <v>116283.18584070797</v>
      </c>
      <c r="AD1434" s="169">
        <v>0.12</v>
      </c>
      <c r="AE1434" s="154">
        <f t="shared" si="424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33"/>
        <v>16602721.68141593</v>
      </c>
      <c r="AJ1434" s="19">
        <f t="shared" si="434"/>
        <v>1923201.4867699118</v>
      </c>
      <c r="AK1434" s="20">
        <f t="shared" si="425"/>
        <v>0.11583651907642503</v>
      </c>
      <c r="AL1434" s="17"/>
      <c r="AM1434" s="17"/>
      <c r="AN1434" s="17"/>
      <c r="AO1434" s="17"/>
      <c r="AP1434" s="28" t="str">
        <f t="shared" si="426"/>
        <v>TBATBA</v>
      </c>
      <c r="AQ1434" s="28" t="str">
        <f t="shared" si="427"/>
        <v>TBATBARMB</v>
      </c>
      <c r="AR1434" s="206" t="str">
        <f t="shared" si="428"/>
        <v>HELLER</v>
      </c>
      <c r="AS1434" s="22" t="str">
        <f t="shared" si="429"/>
        <v/>
      </c>
      <c r="AT1434" s="24" t="str">
        <f t="shared" si="430"/>
        <v/>
      </c>
    </row>
    <row r="1435" spans="1:46" s="12" customFormat="1">
      <c r="A1435" s="33" t="str">
        <f t="shared" si="418"/>
        <v>FY 22/23</v>
      </c>
      <c r="B1435" s="152">
        <v>2022</v>
      </c>
      <c r="C1435" s="152">
        <v>11</v>
      </c>
      <c r="D1435" s="33" t="str">
        <f t="shared" si="419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0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1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1"/>
        <v>530000</v>
      </c>
      <c r="AA1435" s="13">
        <v>1.1599999999999999</v>
      </c>
      <c r="AB1435" s="21">
        <f t="shared" si="422"/>
        <v>544070.79646017705</v>
      </c>
      <c r="AC1435" s="130">
        <f t="shared" si="423"/>
        <v>93797.805309734526</v>
      </c>
      <c r="AD1435" s="169">
        <v>0.1724</v>
      </c>
      <c r="AE1435" s="154">
        <f t="shared" si="424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33"/>
        <v>21045012.884955753</v>
      </c>
      <c r="AJ1435" s="19">
        <f t="shared" si="434"/>
        <v>2650260.9603327443</v>
      </c>
      <c r="AK1435" s="20">
        <f t="shared" si="425"/>
        <v>0.12593296924172048</v>
      </c>
      <c r="AL1435" s="17"/>
      <c r="AM1435" s="17"/>
      <c r="AN1435" s="17"/>
      <c r="AO1435" s="17"/>
      <c r="AP1435" s="28" t="str">
        <f t="shared" si="426"/>
        <v>20232</v>
      </c>
      <c r="AQ1435" s="28" t="str">
        <f t="shared" si="427"/>
        <v>20232RMB</v>
      </c>
      <c r="AR1435" s="206" t="str">
        <f t="shared" si="428"/>
        <v>PEMTRON</v>
      </c>
      <c r="AS1435" s="22">
        <f t="shared" si="429"/>
        <v>3</v>
      </c>
      <c r="AT1435" s="24" t="str">
        <f t="shared" si="430"/>
        <v>0-3 months</v>
      </c>
    </row>
    <row r="1436" spans="1:46" s="12" customFormat="1">
      <c r="A1436" s="33" t="str">
        <f t="shared" si="418"/>
        <v>FY 22/23</v>
      </c>
      <c r="B1436" s="152">
        <v>2022</v>
      </c>
      <c r="C1436" s="152">
        <v>11</v>
      </c>
      <c r="D1436" s="33" t="str">
        <f t="shared" si="419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0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1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1"/>
        <v>710000</v>
      </c>
      <c r="AA1436" s="13">
        <v>1.1599999999999999</v>
      </c>
      <c r="AB1436" s="21">
        <f t="shared" si="422"/>
        <v>728849.55752212391</v>
      </c>
      <c r="AC1436" s="130">
        <f t="shared" si="423"/>
        <v>87461.946902654861</v>
      </c>
      <c r="AD1436" s="169">
        <v>0.12</v>
      </c>
      <c r="AE1436" s="154">
        <f t="shared" si="424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33"/>
        <v>21045012.884955753</v>
      </c>
      <c r="AJ1436" s="19">
        <f t="shared" si="434"/>
        <v>2650260.9603327443</v>
      </c>
      <c r="AK1436" s="20">
        <f t="shared" si="425"/>
        <v>0.12593296924172048</v>
      </c>
      <c r="AL1436" s="17"/>
      <c r="AM1436" s="17"/>
      <c r="AN1436" s="17"/>
      <c r="AO1436" s="17"/>
      <c r="AP1436" s="28" t="str">
        <f t="shared" si="426"/>
        <v>20232</v>
      </c>
      <c r="AQ1436" s="28" t="str">
        <f t="shared" si="427"/>
        <v>20232RMB</v>
      </c>
      <c r="AR1436" s="206" t="str">
        <f t="shared" si="428"/>
        <v>PEMTRON</v>
      </c>
      <c r="AS1436" s="22">
        <f t="shared" si="429"/>
        <v>3</v>
      </c>
      <c r="AT1436" s="24" t="str">
        <f t="shared" si="430"/>
        <v>0-3 months</v>
      </c>
    </row>
    <row r="1437" spans="1:46" s="12" customFormat="1">
      <c r="A1437" s="33" t="str">
        <f t="shared" si="418"/>
        <v>FY 21/22</v>
      </c>
      <c r="B1437" s="152">
        <v>2022</v>
      </c>
      <c r="C1437" s="152">
        <v>1</v>
      </c>
      <c r="D1437" s="33" t="str">
        <f t="shared" si="419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0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1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1"/>
        <v>770000</v>
      </c>
      <c r="AA1437" s="13">
        <v>1.22</v>
      </c>
      <c r="AB1437" s="21">
        <f t="shared" si="422"/>
        <v>831327.4336283186</v>
      </c>
      <c r="AC1437" s="130">
        <f t="shared" si="423"/>
        <v>123285.85840707964</v>
      </c>
      <c r="AD1437" s="169">
        <v>0.14829999999999999</v>
      </c>
      <c r="AE1437" s="154">
        <f t="shared" si="424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33"/>
        <v>28726768.133805312</v>
      </c>
      <c r="AJ1437" s="19">
        <f t="shared" si="434"/>
        <v>3853638.1988864429</v>
      </c>
      <c r="AK1437" s="20">
        <f t="shared" si="425"/>
        <v>0.1341479898099476</v>
      </c>
      <c r="AL1437" s="17"/>
      <c r="AM1437" s="17"/>
      <c r="AN1437" s="17"/>
      <c r="AO1437" s="17"/>
      <c r="AP1437" s="28" t="str">
        <f t="shared" si="426"/>
        <v>20223</v>
      </c>
      <c r="AQ1437" s="28" t="str">
        <f t="shared" si="427"/>
        <v>20223RMB</v>
      </c>
      <c r="AR1437" s="206" t="str">
        <f t="shared" si="428"/>
        <v>PEMTRON</v>
      </c>
      <c r="AS1437" s="22">
        <f t="shared" si="429"/>
        <v>2</v>
      </c>
      <c r="AT1437" s="24" t="str">
        <f t="shared" si="430"/>
        <v>0-3 months</v>
      </c>
    </row>
    <row r="1438" spans="1:46" s="12" customFormat="1">
      <c r="A1438" s="33" t="str">
        <f t="shared" si="418"/>
        <v>FY 20/21</v>
      </c>
      <c r="B1438" s="152">
        <v>2020</v>
      </c>
      <c r="C1438" s="152">
        <v>8</v>
      </c>
      <c r="D1438" s="33" t="str">
        <f t="shared" si="419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0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1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1"/>
        <v>1290000</v>
      </c>
      <c r="AA1438" s="13">
        <v>1.2</v>
      </c>
      <c r="AB1438" s="21">
        <f t="shared" si="422"/>
        <v>1369911.5044247787</v>
      </c>
      <c r="AC1438" s="130">
        <f t="shared" si="423"/>
        <v>220555.75221238937</v>
      </c>
      <c r="AD1438" s="169">
        <v>0.161</v>
      </c>
      <c r="AE1438" s="154">
        <f t="shared" si="424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33"/>
        <v>47458373.787610628</v>
      </c>
      <c r="AJ1438" s="19">
        <f t="shared" si="434"/>
        <v>7436880.1411522133</v>
      </c>
      <c r="AK1438" s="20">
        <f t="shared" si="425"/>
        <v>0.15670322321692506</v>
      </c>
      <c r="AL1438" s="17" t="s">
        <v>1614</v>
      </c>
      <c r="AM1438" s="17"/>
      <c r="AN1438" s="17"/>
      <c r="AO1438" s="17"/>
      <c r="AP1438" s="28" t="str">
        <f t="shared" si="426"/>
        <v>20218</v>
      </c>
      <c r="AQ1438" s="28" t="str">
        <f t="shared" si="427"/>
        <v>20218RMB</v>
      </c>
      <c r="AR1438" s="206" t="str">
        <f t="shared" si="428"/>
        <v>YAMAHA_Mounter</v>
      </c>
      <c r="AS1438" s="22">
        <f t="shared" si="429"/>
        <v>12</v>
      </c>
      <c r="AT1438" s="24" t="str">
        <f t="shared" si="430"/>
        <v>&gt; 6 months</v>
      </c>
    </row>
    <row r="1439" spans="1:46" s="12" customFormat="1">
      <c r="A1439" s="33" t="str">
        <f t="shared" si="418"/>
        <v>FY 20/21</v>
      </c>
      <c r="B1439" s="152">
        <v>2020</v>
      </c>
      <c r="C1439" s="152">
        <v>11</v>
      </c>
      <c r="D1439" s="33" t="str">
        <f t="shared" si="419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0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1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1"/>
        <v>530000</v>
      </c>
      <c r="AA1439" s="13">
        <v>1.175</v>
      </c>
      <c r="AB1439" s="21">
        <f t="shared" si="422"/>
        <v>551106.19469026558</v>
      </c>
      <c r="AC1439" s="130">
        <f t="shared" si="423"/>
        <v>105536.83628318585</v>
      </c>
      <c r="AD1439" s="169">
        <v>0.1915</v>
      </c>
      <c r="AE1439" s="154">
        <f t="shared" si="424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33"/>
        <v>48763143.537654862</v>
      </c>
      <c r="AJ1439" s="19">
        <f t="shared" si="434"/>
        <v>5924029.9702154724</v>
      </c>
      <c r="AK1439" s="20">
        <f t="shared" si="425"/>
        <v>0.1214858095774925</v>
      </c>
      <c r="AL1439" s="17"/>
      <c r="AM1439" s="17"/>
      <c r="AN1439" s="17"/>
      <c r="AO1439" s="17"/>
      <c r="AP1439" s="28" t="str">
        <f t="shared" si="426"/>
        <v>202012</v>
      </c>
      <c r="AQ1439" s="28" t="str">
        <f t="shared" si="427"/>
        <v>202012RMB</v>
      </c>
      <c r="AR1439" s="206" t="str">
        <f t="shared" si="428"/>
        <v>YAMAHA_Mounter</v>
      </c>
      <c r="AS1439" s="22">
        <f t="shared" si="429"/>
        <v>1</v>
      </c>
      <c r="AT1439" s="24" t="str">
        <f t="shared" si="430"/>
        <v>0-3 months</v>
      </c>
    </row>
    <row r="1440" spans="1:46" s="12" customFormat="1">
      <c r="A1440" s="33" t="str">
        <f t="shared" ref="A1440:A1503" si="436">IF(C1440="cancel","cancel",IFERROR(IF(D1440="Q4","FY "&amp;RIGHT(B1440,2)-1&amp;"/"&amp;RIGHT(B1440,2),"FY "&amp;RIGHT(B1440,2)&amp;"/"&amp;RIGHT(B1440,2)+1),""))</f>
        <v>FY 18/19</v>
      </c>
      <c r="B1440" s="152">
        <v>2018</v>
      </c>
      <c r="C1440" s="152">
        <v>6</v>
      </c>
      <c r="D1440" s="33" t="str">
        <f t="shared" ref="D1440:D1503" si="437">IF(B1440="","",IF(AND(C1440&gt;=10,C1440&lt;=12),"Q3",IF(AND(C1440&gt;=1,C1440&lt;=3),"Q4",IF(AND(C1440&gt;=7,C1440&lt;=9),"Q2",IF(AND(C1440&gt;=4,C1440&lt;=6),"Q1")))))</f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ref="I1440:I1503" si="438">IFERROR(IF(F1440="","",IF(F1440="TBA","TBA",IF(F1440="Cancel","Cancel",IF(AND(G1440&gt;=10,G1440&lt;=12),"Q3",IF(AND(G1440&gt;=1,G1440&lt;=3),"Q4",IF(AND(G1440&gt;=7,G1440&lt;=9),"Q2",IF(AND(G1440&gt;=4,G1440&lt;=6),"Q1"))))))),"")</f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ref="P1440:P1503" si="439">IF(M1440="","",IF(AND(N1440&gt;0,L1440&lt;&gt;""),"MAIN UNIT",IF(AND(O1440&gt;0,L1440&lt;&gt;""),"SERVICE/ PARTS","C66 SERVICE/OTHERS")))</f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1"/>
        <v>585000</v>
      </c>
      <c r="AA1440" s="13">
        <v>1.125</v>
      </c>
      <c r="AB1440" s="21">
        <f t="shared" ref="AB1440:AB1503" si="440">IF(AND(R1440&lt;&gt;"C66",R1440&lt;&gt;""),Z1440/Y1440*AA1440,"")</f>
        <v>567349.13793103455</v>
      </c>
      <c r="AC1440" s="130">
        <f t="shared" ref="AC1440:AC1503" si="441">IF(R1440&lt;&gt;"",AB1440*AD1440,"")</f>
        <v>81868.48060344829</v>
      </c>
      <c r="AD1440" s="169">
        <v>0.14430000000000001</v>
      </c>
      <c r="AE1440" s="154">
        <f t="shared" ref="AE1440:AE1503" si="442">IF(Q1440="","",IF(Q1440="Yes",1,0))</f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33"/>
        <v>10785027.603448275</v>
      </c>
      <c r="AJ1440" s="19">
        <f t="shared" si="434"/>
        <v>1540894.1297982759</v>
      </c>
      <c r="AK1440" s="20">
        <f t="shared" ref="AK1440:AK1503" si="443">IF(AJ1440&gt;0,AJ1440/AI1440,"")</f>
        <v>0.1428734525728621</v>
      </c>
      <c r="AL1440" s="17"/>
      <c r="AM1440" s="17"/>
      <c r="AN1440" s="17"/>
      <c r="AO1440" s="17"/>
      <c r="AP1440" s="28" t="str">
        <f t="shared" ref="AP1440:AP1503" si="444">IF(F1440="","",F1440&amp;G1440)</f>
        <v>201811</v>
      </c>
      <c r="AQ1440" s="28" t="str">
        <f t="shared" ref="AQ1440:AQ1503" si="445">IF(W1440="","",F1440&amp;G1440&amp;W1440)</f>
        <v>201811RMB</v>
      </c>
      <c r="AR1440" s="206" t="str">
        <f t="shared" ref="AR1440:AR1503" si="446">IFERROR(IF(AND(M1440="YAMAHA", R1440="C28"), "YAMAHA_Non_Mounter", IF(AND(M1440="YAMAHA", R1440="C49"), "YAMAHA_Mounter", M1440)),"")</f>
        <v>YAMAHA_Mounter</v>
      </c>
      <c r="AS1440" s="22">
        <f t="shared" ref="AS1440:AS1503" si="447">IFERROR(IF(OR(G1440="TBA", G1440=""), "", DATEDIF(DATE(B1440, C1440, 1), DATE(F1440, G1440, 1), "M")),"")</f>
        <v>5</v>
      </c>
      <c r="AT1440" s="24" t="str">
        <f t="shared" ref="AT1440:AT1503" si="448">IF(ISNUMBER(AS1440), IF(AS1440&gt;=0, IF(AS1440&lt;=3, "0-3 months", IF(AS1440&lt;=6, "4-6 months", "&gt; 6 months"))), "")</f>
        <v>4-6 months</v>
      </c>
    </row>
    <row r="1441" spans="1:46" s="12" customFormat="1">
      <c r="A1441" s="33" t="str">
        <f t="shared" si="436"/>
        <v>FY 18/19</v>
      </c>
      <c r="B1441" s="152">
        <v>2019</v>
      </c>
      <c r="C1441" s="152">
        <v>1</v>
      </c>
      <c r="D1441" s="33" t="str">
        <f t="shared" si="437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38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39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1"/>
        <v>360000</v>
      </c>
      <c r="AA1441" s="13">
        <v>1.125</v>
      </c>
      <c r="AB1441" s="21">
        <f t="shared" si="440"/>
        <v>349137.93103448278</v>
      </c>
      <c r="AC1441" s="130">
        <f t="shared" si="441"/>
        <v>42455.172413793109</v>
      </c>
      <c r="AD1441" s="169">
        <v>0.1216</v>
      </c>
      <c r="AE1441" s="154">
        <f t="shared" si="442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33"/>
        <v>23237072.69172414</v>
      </c>
      <c r="AJ1441" s="19">
        <f t="shared" si="434"/>
        <v>2402195.7372206897</v>
      </c>
      <c r="AK1441" s="20">
        <f t="shared" si="443"/>
        <v>0.10337772614862238</v>
      </c>
      <c r="AL1441" s="17"/>
      <c r="AM1441" s="17"/>
      <c r="AN1441" s="17"/>
      <c r="AO1441" s="17"/>
      <c r="AP1441" s="28" t="str">
        <f t="shared" si="444"/>
        <v>20191</v>
      </c>
      <c r="AQ1441" s="28" t="str">
        <f t="shared" si="445"/>
        <v>20191RMB</v>
      </c>
      <c r="AR1441" s="206" t="str">
        <f t="shared" si="446"/>
        <v>YAMAHA_Mounter</v>
      </c>
      <c r="AS1441" s="22">
        <f t="shared" si="447"/>
        <v>0</v>
      </c>
      <c r="AT1441" s="24" t="str">
        <f t="shared" si="448"/>
        <v>0-3 months</v>
      </c>
    </row>
    <row r="1442" spans="1:46" s="12" customFormat="1">
      <c r="A1442" s="33" t="str">
        <f t="shared" si="436"/>
        <v>cancel</v>
      </c>
      <c r="B1442" s="152"/>
      <c r="C1442" s="152" t="s">
        <v>186</v>
      </c>
      <c r="D1442" s="33" t="str">
        <f t="shared" si="437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38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39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1"/>
        <v>500000</v>
      </c>
      <c r="AA1442" s="13">
        <v>1.175</v>
      </c>
      <c r="AB1442" s="21">
        <f t="shared" si="440"/>
        <v>519911.50442477886</v>
      </c>
      <c r="AC1442" s="130">
        <f t="shared" si="441"/>
        <v>62389.38053097346</v>
      </c>
      <c r="AD1442" s="169">
        <v>0.12</v>
      </c>
      <c r="AE1442" s="154">
        <f t="shared" si="442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33"/>
        <v>477651199.57437885</v>
      </c>
      <c r="AJ1442" s="19">
        <f t="shared" si="434"/>
        <v>56918800.518691957</v>
      </c>
      <c r="AK1442" s="20">
        <f t="shared" si="443"/>
        <v>0.11916394341605475</v>
      </c>
      <c r="AL1442" s="17"/>
      <c r="AM1442" s="17"/>
      <c r="AN1442" s="17"/>
      <c r="AO1442" s="17"/>
      <c r="AP1442" s="28" t="str">
        <f t="shared" si="444"/>
        <v>CancelCancel</v>
      </c>
      <c r="AQ1442" s="28" t="str">
        <f t="shared" si="445"/>
        <v>CancelCancelRMB</v>
      </c>
      <c r="AR1442" s="206" t="str">
        <f t="shared" si="446"/>
        <v>YAMAHA_Mounter</v>
      </c>
      <c r="AS1442" s="22" t="str">
        <f t="shared" si="447"/>
        <v/>
      </c>
      <c r="AT1442" s="24" t="str">
        <f t="shared" si="448"/>
        <v/>
      </c>
    </row>
    <row r="1443" spans="1:46" s="12" customFormat="1">
      <c r="A1443" s="33" t="str">
        <f t="shared" si="436"/>
        <v>FY 23/24</v>
      </c>
      <c r="B1443" s="23">
        <v>2024</v>
      </c>
      <c r="C1443" s="152">
        <v>3</v>
      </c>
      <c r="D1443" s="33" t="str">
        <f t="shared" si="437"/>
        <v>Q4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38"/>
        <v>Q1</v>
      </c>
      <c r="J1443" s="188" t="s">
        <v>3341</v>
      </c>
      <c r="K1443" s="29" t="s">
        <v>3342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39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79</v>
      </c>
      <c r="V1443" s="22" t="s">
        <v>113</v>
      </c>
      <c r="W1443" s="22" t="s">
        <v>110</v>
      </c>
      <c r="X1443" s="30">
        <v>11000000</v>
      </c>
      <c r="Y1443" s="31" t="str">
        <f>IF(W1443="","",IF(W1443="RMB","1.13", "1"))</f>
        <v>1</v>
      </c>
      <c r="Z1443" s="18">
        <f t="shared" si="431"/>
        <v>11000000</v>
      </c>
      <c r="AA1443" s="13">
        <v>5.0999999999999997E-2</v>
      </c>
      <c r="AB1443" s="21">
        <f t="shared" si="440"/>
        <v>561000</v>
      </c>
      <c r="AC1443" s="25">
        <f t="shared" si="441"/>
        <v>40392</v>
      </c>
      <c r="AD1443" s="170">
        <v>7.1999999999999995E-2</v>
      </c>
      <c r="AE1443" s="26">
        <f t="shared" si="442"/>
        <v>0</v>
      </c>
      <c r="AF1443" s="26" t="str">
        <f>IF(AND(COUNTIFS($J$18:J1443,J1443)=1,AE1443=1),1,"")</f>
        <v/>
      </c>
      <c r="AG1443" s="26" t="str">
        <f>IF(C1443="","",IF(AND(COUNTIFS($J$18:J1443,J1443)=1,C1443&lt;&gt;""),1,""))</f>
        <v/>
      </c>
      <c r="AH1443" s="26" t="str">
        <f>IF(G1443="","",IF(AND(COUNTIFS($J$18:J1443,J1443)=1,G1443&lt;&gt;""),1,""))</f>
        <v/>
      </c>
      <c r="AI1443" s="27">
        <f t="shared" si="433"/>
        <v>27308925.887079656</v>
      </c>
      <c r="AJ1443" s="27">
        <f t="shared" si="434"/>
        <v>3319273.860338124</v>
      </c>
      <c r="AK1443" s="28">
        <f t="shared" si="443"/>
        <v>0.12154538314919709</v>
      </c>
      <c r="AL1443" s="24"/>
      <c r="AM1443" s="24"/>
      <c r="AN1443" s="24"/>
      <c r="AO1443" s="24"/>
      <c r="AP1443" s="28" t="str">
        <f t="shared" si="444"/>
        <v>20246</v>
      </c>
      <c r="AQ1443" s="28" t="str">
        <f t="shared" si="445"/>
        <v>20246JPY</v>
      </c>
      <c r="AR1443" s="206" t="str">
        <f t="shared" si="446"/>
        <v>YAMAHA_Mounter</v>
      </c>
      <c r="AS1443" s="22">
        <f t="shared" si="447"/>
        <v>3</v>
      </c>
      <c r="AT1443" s="24" t="str">
        <f t="shared" si="448"/>
        <v>0-3 months</v>
      </c>
    </row>
    <row r="1444" spans="1:46" s="12" customFormat="1">
      <c r="A1444" s="33" t="str">
        <f t="shared" si="436"/>
        <v>FY 23/24</v>
      </c>
      <c r="B1444" s="23">
        <v>2024</v>
      </c>
      <c r="C1444" s="152">
        <v>3</v>
      </c>
      <c r="D1444" s="33" t="str">
        <f t="shared" si="437"/>
        <v>Q4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38"/>
        <v>Q1</v>
      </c>
      <c r="J1444" s="188" t="s">
        <v>3341</v>
      </c>
      <c r="K1444" s="29" t="s">
        <v>3342</v>
      </c>
      <c r="L1444" s="17" t="s">
        <v>93</v>
      </c>
      <c r="M1444" s="22" t="s">
        <v>61</v>
      </c>
      <c r="N1444" s="22">
        <v>1</v>
      </c>
      <c r="O1444" s="22"/>
      <c r="P1444" s="33" t="str">
        <f t="shared" si="439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79</v>
      </c>
      <c r="V1444" s="22" t="s">
        <v>113</v>
      </c>
      <c r="W1444" s="22" t="s">
        <v>110</v>
      </c>
      <c r="X1444" s="30">
        <v>11000000</v>
      </c>
      <c r="Y1444" s="31" t="str">
        <f>IF(W1444="","",IF(W1444="RMB","1.13", "1"))</f>
        <v>1</v>
      </c>
      <c r="Z1444" s="18">
        <f t="shared" si="431"/>
        <v>11000000</v>
      </c>
      <c r="AA1444" s="13">
        <v>5.0999999999999997E-2</v>
      </c>
      <c r="AB1444" s="21">
        <f t="shared" si="440"/>
        <v>561000</v>
      </c>
      <c r="AC1444" s="25">
        <f t="shared" si="441"/>
        <v>40392</v>
      </c>
      <c r="AD1444" s="170">
        <v>7.1999999999999995E-2</v>
      </c>
      <c r="AE1444" s="26">
        <f t="shared" si="442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33"/>
        <v>27308925.887079656</v>
      </c>
      <c r="AJ1444" s="27">
        <f t="shared" si="434"/>
        <v>3319273.860338124</v>
      </c>
      <c r="AK1444" s="28">
        <f t="shared" si="443"/>
        <v>0.12154538314919709</v>
      </c>
      <c r="AL1444" s="24"/>
      <c r="AM1444" s="24"/>
      <c r="AN1444" s="24"/>
      <c r="AO1444" s="24"/>
      <c r="AP1444" s="28" t="str">
        <f t="shared" si="444"/>
        <v>20246</v>
      </c>
      <c r="AQ1444" s="28" t="str">
        <f t="shared" si="445"/>
        <v>20246JPY</v>
      </c>
      <c r="AR1444" s="206" t="str">
        <f t="shared" si="446"/>
        <v>YAMAHA_Mounter</v>
      </c>
      <c r="AS1444" s="22">
        <f t="shared" si="447"/>
        <v>3</v>
      </c>
      <c r="AT1444" s="24" t="str">
        <f t="shared" si="448"/>
        <v>0-3 months</v>
      </c>
    </row>
    <row r="1445" spans="1:46" s="12" customFormat="1">
      <c r="A1445" s="33" t="str">
        <f t="shared" si="436"/>
        <v>FY 22/23</v>
      </c>
      <c r="B1445" s="152">
        <v>2022</v>
      </c>
      <c r="C1445" s="152">
        <v>9</v>
      </c>
      <c r="D1445" s="33" t="str">
        <f t="shared" si="437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38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39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1"/>
        <v>507000</v>
      </c>
      <c r="AA1445" s="13">
        <v>1.1000000000000001</v>
      </c>
      <c r="AB1445" s="21">
        <f t="shared" si="440"/>
        <v>493539.82300884963</v>
      </c>
      <c r="AC1445" s="130">
        <f t="shared" si="441"/>
        <v>77387.04424778762</v>
      </c>
      <c r="AD1445" s="169">
        <v>0.15679999999999999</v>
      </c>
      <c r="AE1445" s="154">
        <f t="shared" si="442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33"/>
        <v>22717528.991150443</v>
      </c>
      <c r="AJ1445" s="19">
        <f t="shared" si="434"/>
        <v>3947747.192555753</v>
      </c>
      <c r="AK1445" s="20">
        <f t="shared" si="443"/>
        <v>0.1737753782153679</v>
      </c>
      <c r="AL1445" s="17"/>
      <c r="AM1445" s="17"/>
      <c r="AN1445" s="17"/>
      <c r="AO1445" s="17"/>
      <c r="AP1445" s="28" t="str">
        <f t="shared" si="444"/>
        <v>202210</v>
      </c>
      <c r="AQ1445" s="28" t="str">
        <f t="shared" si="445"/>
        <v>202210RMB</v>
      </c>
      <c r="AR1445" s="206" t="str">
        <f t="shared" si="446"/>
        <v>YAMAHA_Mounter</v>
      </c>
      <c r="AS1445" s="22">
        <f t="shared" si="447"/>
        <v>1</v>
      </c>
      <c r="AT1445" s="24" t="str">
        <f t="shared" si="448"/>
        <v>0-3 months</v>
      </c>
    </row>
    <row r="1446" spans="1:46" s="12" customFormat="1">
      <c r="A1446" s="33" t="str">
        <f t="shared" si="436"/>
        <v>FY 23/24</v>
      </c>
      <c r="B1446" s="23">
        <v>2024</v>
      </c>
      <c r="C1446" s="152">
        <v>1</v>
      </c>
      <c r="D1446" s="33" t="str">
        <f t="shared" si="437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38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39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1"/>
        <v>463000</v>
      </c>
      <c r="AA1446" s="22">
        <v>1.1000000000000001</v>
      </c>
      <c r="AB1446" s="21">
        <f t="shared" si="440"/>
        <v>450707.96460177004</v>
      </c>
      <c r="AC1446" s="25">
        <f t="shared" si="441"/>
        <v>66118.858407079664</v>
      </c>
      <c r="AD1446" s="169">
        <v>0.1467</v>
      </c>
      <c r="AE1446" s="26">
        <f t="shared" si="442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33"/>
        <v>21575119.674336284</v>
      </c>
      <c r="AJ1446" s="27">
        <f t="shared" si="434"/>
        <v>2556656.3801490259</v>
      </c>
      <c r="AK1446" s="28">
        <f t="shared" si="443"/>
        <v>0.1185002177851269</v>
      </c>
      <c r="AL1446" s="24"/>
      <c r="AM1446" s="24"/>
      <c r="AN1446" s="24"/>
      <c r="AO1446" s="24"/>
      <c r="AP1446" s="28" t="str">
        <f t="shared" si="444"/>
        <v>20241</v>
      </c>
      <c r="AQ1446" s="28" t="str">
        <f t="shared" si="445"/>
        <v>20241RMB</v>
      </c>
      <c r="AR1446" s="206" t="str">
        <f t="shared" si="446"/>
        <v>YAMAHA_Mounter</v>
      </c>
      <c r="AS1446" s="22">
        <f t="shared" si="447"/>
        <v>0</v>
      </c>
      <c r="AT1446" s="24" t="str">
        <f t="shared" si="448"/>
        <v>0-3 months</v>
      </c>
    </row>
    <row r="1447" spans="1:46" s="12" customFormat="1">
      <c r="A1447" s="33" t="str">
        <f t="shared" si="436"/>
        <v>FY 18/19</v>
      </c>
      <c r="B1447" s="152">
        <v>2018</v>
      </c>
      <c r="C1447" s="152">
        <v>12</v>
      </c>
      <c r="D1447" s="33" t="str">
        <f t="shared" si="437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38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39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1"/>
        <v>860000</v>
      </c>
      <c r="AA1447" s="13">
        <v>1.1499999999999999</v>
      </c>
      <c r="AB1447" s="21">
        <f t="shared" si="440"/>
        <v>852586.20689655165</v>
      </c>
      <c r="AC1447" s="130">
        <f t="shared" si="441"/>
        <v>114758.10344827586</v>
      </c>
      <c r="AD1447" s="169">
        <v>0.1346</v>
      </c>
      <c r="AE1447" s="154">
        <f t="shared" si="442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33"/>
        <v>16455710.386637932</v>
      </c>
      <c r="AJ1447" s="19">
        <f t="shared" si="434"/>
        <v>2150644.6466930606</v>
      </c>
      <c r="AK1447" s="20">
        <f t="shared" si="443"/>
        <v>0.13069290818580451</v>
      </c>
      <c r="AL1447" s="17"/>
      <c r="AM1447" s="17"/>
      <c r="AN1447" s="17"/>
      <c r="AO1447" s="17"/>
      <c r="AP1447" s="28" t="str">
        <f t="shared" si="444"/>
        <v>20192</v>
      </c>
      <c r="AQ1447" s="28" t="str">
        <f t="shared" si="445"/>
        <v>20192RMB</v>
      </c>
      <c r="AR1447" s="206" t="str">
        <f t="shared" si="446"/>
        <v>YAMAHA_Mounter</v>
      </c>
      <c r="AS1447" s="22">
        <f t="shared" si="447"/>
        <v>2</v>
      </c>
      <c r="AT1447" s="24" t="str">
        <f t="shared" si="448"/>
        <v>0-3 months</v>
      </c>
    </row>
    <row r="1448" spans="1:46" s="12" customFormat="1">
      <c r="A1448" s="33" t="str">
        <f t="shared" si="436"/>
        <v>FY 20/21</v>
      </c>
      <c r="B1448" s="152">
        <v>2020</v>
      </c>
      <c r="C1448" s="152">
        <v>6</v>
      </c>
      <c r="D1448" s="33" t="str">
        <f t="shared" si="437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38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39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1"/>
        <v>940000</v>
      </c>
      <c r="AA1448" s="13">
        <v>1.105</v>
      </c>
      <c r="AB1448" s="21">
        <f t="shared" si="440"/>
        <v>919203.53982300893</v>
      </c>
      <c r="AC1448" s="130">
        <f t="shared" si="441"/>
        <v>147256.40707964604</v>
      </c>
      <c r="AD1448" s="169">
        <v>0.16020000000000001</v>
      </c>
      <c r="AE1448" s="154">
        <f t="shared" si="442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33"/>
        <v>37969334.083628319</v>
      </c>
      <c r="AJ1448" s="19">
        <f t="shared" si="434"/>
        <v>5097226.4551657084</v>
      </c>
      <c r="AK1448" s="20">
        <f t="shared" si="443"/>
        <v>0.13424587441904964</v>
      </c>
      <c r="AL1448" s="17"/>
      <c r="AM1448" s="17"/>
      <c r="AN1448" s="17"/>
      <c r="AO1448" s="17"/>
      <c r="AP1448" s="28" t="str">
        <f t="shared" si="444"/>
        <v>20208</v>
      </c>
      <c r="AQ1448" s="28" t="str">
        <f t="shared" si="445"/>
        <v>20208RMB</v>
      </c>
      <c r="AR1448" s="206" t="str">
        <f t="shared" si="446"/>
        <v>YAMAHA_Mounter</v>
      </c>
      <c r="AS1448" s="22">
        <f t="shared" si="447"/>
        <v>2</v>
      </c>
      <c r="AT1448" s="24" t="str">
        <f t="shared" si="448"/>
        <v>0-3 months</v>
      </c>
    </row>
    <row r="1449" spans="1:46" s="12" customFormat="1">
      <c r="A1449" s="33" t="str">
        <f t="shared" si="436"/>
        <v>FY 20/21</v>
      </c>
      <c r="B1449" s="152">
        <v>2020</v>
      </c>
      <c r="C1449" s="152">
        <v>6</v>
      </c>
      <c r="D1449" s="33" t="str">
        <f t="shared" si="437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38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39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1"/>
        <v>940000</v>
      </c>
      <c r="AA1449" s="13">
        <v>1.105</v>
      </c>
      <c r="AB1449" s="21">
        <f t="shared" si="440"/>
        <v>919203.53982300893</v>
      </c>
      <c r="AC1449" s="130">
        <f t="shared" si="441"/>
        <v>147256.40707964604</v>
      </c>
      <c r="AD1449" s="169">
        <v>0.16020000000000001</v>
      </c>
      <c r="AE1449" s="154">
        <f t="shared" si="442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33"/>
        <v>37969334.083628319</v>
      </c>
      <c r="AJ1449" s="19">
        <f t="shared" si="434"/>
        <v>5097226.4551657084</v>
      </c>
      <c r="AK1449" s="20">
        <f t="shared" si="443"/>
        <v>0.13424587441904964</v>
      </c>
      <c r="AL1449" s="17"/>
      <c r="AM1449" s="17"/>
      <c r="AN1449" s="17"/>
      <c r="AO1449" s="17"/>
      <c r="AP1449" s="28" t="str">
        <f t="shared" si="444"/>
        <v>20208</v>
      </c>
      <c r="AQ1449" s="28" t="str">
        <f t="shared" si="445"/>
        <v>20208RMB</v>
      </c>
      <c r="AR1449" s="206" t="str">
        <f t="shared" si="446"/>
        <v>YAMAHA_Mounter</v>
      </c>
      <c r="AS1449" s="22">
        <f t="shared" si="447"/>
        <v>2</v>
      </c>
      <c r="AT1449" s="24" t="str">
        <f t="shared" si="448"/>
        <v>0-3 months</v>
      </c>
    </row>
    <row r="1450" spans="1:46" s="12" customFormat="1">
      <c r="A1450" s="33" t="str">
        <f t="shared" si="436"/>
        <v>FY 21/22</v>
      </c>
      <c r="B1450" s="152">
        <v>2021</v>
      </c>
      <c r="C1450" s="152">
        <v>11</v>
      </c>
      <c r="D1450" s="33" t="str">
        <f t="shared" si="437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38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39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49">IF(W1450="RMB","1.13", "1")</f>
        <v>1</v>
      </c>
      <c r="Z1450" s="18">
        <f t="shared" si="431"/>
        <v>15000000</v>
      </c>
      <c r="AA1450" s="13">
        <v>6.9199999999999998E-2</v>
      </c>
      <c r="AB1450" s="21">
        <f t="shared" si="440"/>
        <v>1038000</v>
      </c>
      <c r="AC1450" s="130">
        <f t="shared" si="441"/>
        <v>132448.79999999999</v>
      </c>
      <c r="AD1450" s="169">
        <v>0.12759999999999999</v>
      </c>
      <c r="AE1450" s="154">
        <f t="shared" si="442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33"/>
        <v>31750699.113741599</v>
      </c>
      <c r="AJ1450" s="19">
        <f t="shared" si="434"/>
        <v>4396077.3195289988</v>
      </c>
      <c r="AK1450" s="20">
        <f t="shared" si="443"/>
        <v>0.13845607946397598</v>
      </c>
      <c r="AL1450" s="17"/>
      <c r="AM1450" s="17"/>
      <c r="AN1450" s="17"/>
      <c r="AO1450" s="17"/>
      <c r="AP1450" s="28" t="str">
        <f t="shared" si="444"/>
        <v>20222</v>
      </c>
      <c r="AQ1450" s="28" t="str">
        <f t="shared" si="445"/>
        <v>20222JPY</v>
      </c>
      <c r="AR1450" s="206" t="str">
        <f t="shared" si="446"/>
        <v>YAMAHA_Mounter</v>
      </c>
      <c r="AS1450" s="22">
        <f t="shared" si="447"/>
        <v>3</v>
      </c>
      <c r="AT1450" s="24" t="str">
        <f t="shared" si="448"/>
        <v>0-3 months</v>
      </c>
    </row>
    <row r="1451" spans="1:46" s="12" customFormat="1">
      <c r="A1451" s="33" t="str">
        <f t="shared" si="436"/>
        <v>FY 21/22</v>
      </c>
      <c r="B1451" s="152">
        <v>2021</v>
      </c>
      <c r="C1451" s="152">
        <v>11</v>
      </c>
      <c r="D1451" s="33" t="str">
        <f t="shared" si="437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38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39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49"/>
        <v>1</v>
      </c>
      <c r="Z1451" s="18">
        <f t="shared" si="431"/>
        <v>11000000</v>
      </c>
      <c r="AA1451" s="13">
        <v>6.9199999999999998E-2</v>
      </c>
      <c r="AB1451" s="21">
        <f t="shared" si="440"/>
        <v>761200</v>
      </c>
      <c r="AC1451" s="130">
        <f t="shared" si="441"/>
        <v>97129.12</v>
      </c>
      <c r="AD1451" s="169">
        <v>0.12759999999999999</v>
      </c>
      <c r="AE1451" s="154">
        <f t="shared" si="442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33"/>
        <v>31750699.113741599</v>
      </c>
      <c r="AJ1451" s="19">
        <f t="shared" si="434"/>
        <v>4396077.3195289988</v>
      </c>
      <c r="AK1451" s="20">
        <f t="shared" si="443"/>
        <v>0.13845607946397598</v>
      </c>
      <c r="AL1451" s="17"/>
      <c r="AM1451" s="17"/>
      <c r="AN1451" s="17"/>
      <c r="AO1451" s="17"/>
      <c r="AP1451" s="28" t="str">
        <f t="shared" si="444"/>
        <v>20222</v>
      </c>
      <c r="AQ1451" s="28" t="str">
        <f t="shared" si="445"/>
        <v>20222JPY</v>
      </c>
      <c r="AR1451" s="206" t="str">
        <f t="shared" si="446"/>
        <v>YAMAHA_Mounter</v>
      </c>
      <c r="AS1451" s="22">
        <f t="shared" si="447"/>
        <v>3</v>
      </c>
      <c r="AT1451" s="24" t="str">
        <f t="shared" si="448"/>
        <v>0-3 months</v>
      </c>
    </row>
    <row r="1452" spans="1:46" s="12" customFormat="1">
      <c r="A1452" s="33" t="str">
        <f t="shared" si="436"/>
        <v>FY 21/22</v>
      </c>
      <c r="B1452" s="152">
        <v>2021</v>
      </c>
      <c r="C1452" s="152">
        <v>11</v>
      </c>
      <c r="D1452" s="33" t="str">
        <f t="shared" si="437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38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39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49"/>
        <v>1</v>
      </c>
      <c r="Z1452" s="18">
        <f t="shared" si="431"/>
        <v>15000000</v>
      </c>
      <c r="AA1452" s="13">
        <v>6.2799999999999995E-2</v>
      </c>
      <c r="AB1452" s="21">
        <f t="shared" si="440"/>
        <v>941999.99999999988</v>
      </c>
      <c r="AC1452" s="130">
        <f t="shared" si="441"/>
        <v>120199.19999999998</v>
      </c>
      <c r="AD1452" s="169">
        <v>0.12759999999999999</v>
      </c>
      <c r="AE1452" s="154">
        <f t="shared" si="442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33"/>
        <v>44014086.982070789</v>
      </c>
      <c r="AJ1452" s="19">
        <f t="shared" si="434"/>
        <v>6419974.0221889298</v>
      </c>
      <c r="AK1452" s="20">
        <f t="shared" si="443"/>
        <v>0.14586180158193709</v>
      </c>
      <c r="AL1452" s="17"/>
      <c r="AM1452" s="17"/>
      <c r="AN1452" s="17"/>
      <c r="AO1452" s="17"/>
      <c r="AP1452" s="28" t="str">
        <f t="shared" si="444"/>
        <v>20225</v>
      </c>
      <c r="AQ1452" s="28" t="str">
        <f t="shared" si="445"/>
        <v>20225JPY</v>
      </c>
      <c r="AR1452" s="206" t="str">
        <f t="shared" si="446"/>
        <v>YAMAHA_Mounter</v>
      </c>
      <c r="AS1452" s="22">
        <f t="shared" si="447"/>
        <v>6</v>
      </c>
      <c r="AT1452" s="24" t="str">
        <f t="shared" si="448"/>
        <v>4-6 months</v>
      </c>
    </row>
    <row r="1453" spans="1:46" s="12" customFormat="1">
      <c r="A1453" s="33" t="str">
        <f t="shared" si="436"/>
        <v>FY 21/22</v>
      </c>
      <c r="B1453" s="152">
        <v>2021</v>
      </c>
      <c r="C1453" s="152">
        <v>11</v>
      </c>
      <c r="D1453" s="33" t="str">
        <f t="shared" si="437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38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39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49"/>
        <v>1</v>
      </c>
      <c r="Z1453" s="18">
        <f t="shared" si="431"/>
        <v>11000000</v>
      </c>
      <c r="AA1453" s="13">
        <v>6.2799999999999995E-2</v>
      </c>
      <c r="AB1453" s="21">
        <f t="shared" si="440"/>
        <v>690800</v>
      </c>
      <c r="AC1453" s="130">
        <f t="shared" si="441"/>
        <v>88146.079999999987</v>
      </c>
      <c r="AD1453" s="169">
        <v>0.12759999999999999</v>
      </c>
      <c r="AE1453" s="154">
        <f t="shared" si="442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33"/>
        <v>44014086.982070789</v>
      </c>
      <c r="AJ1453" s="19">
        <f t="shared" si="434"/>
        <v>6419974.0221889298</v>
      </c>
      <c r="AK1453" s="20">
        <f t="shared" si="443"/>
        <v>0.14586180158193709</v>
      </c>
      <c r="AL1453" s="17"/>
      <c r="AM1453" s="17"/>
      <c r="AN1453" s="17"/>
      <c r="AO1453" s="17"/>
      <c r="AP1453" s="28" t="str">
        <f t="shared" si="444"/>
        <v>20225</v>
      </c>
      <c r="AQ1453" s="28" t="str">
        <f t="shared" si="445"/>
        <v>20225JPY</v>
      </c>
      <c r="AR1453" s="206" t="str">
        <f t="shared" si="446"/>
        <v>YAMAHA_Mounter</v>
      </c>
      <c r="AS1453" s="22">
        <f t="shared" si="447"/>
        <v>6</v>
      </c>
      <c r="AT1453" s="24" t="str">
        <f t="shared" si="448"/>
        <v>4-6 months</v>
      </c>
    </row>
    <row r="1454" spans="1:46" s="12" customFormat="1">
      <c r="A1454" s="33" t="str">
        <f t="shared" si="436"/>
        <v>FY 22/23</v>
      </c>
      <c r="B1454" s="152">
        <v>2022</v>
      </c>
      <c r="C1454" s="152">
        <v>9</v>
      </c>
      <c r="D1454" s="33" t="str">
        <f t="shared" si="437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38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39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49"/>
        <v>1.13</v>
      </c>
      <c r="Z1454" s="18">
        <f t="shared" si="431"/>
        <v>775000</v>
      </c>
      <c r="AA1454" s="13">
        <v>1.1000000000000001</v>
      </c>
      <c r="AB1454" s="21">
        <f t="shared" si="440"/>
        <v>754424.77876106207</v>
      </c>
      <c r="AC1454" s="130">
        <f t="shared" si="441"/>
        <v>110221.46017699117</v>
      </c>
      <c r="AD1454" s="169">
        <v>0.14610000000000001</v>
      </c>
      <c r="AE1454" s="154">
        <f t="shared" si="442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33"/>
        <v>22717528.991150443</v>
      </c>
      <c r="AJ1454" s="19">
        <f t="shared" si="434"/>
        <v>3947747.192555753</v>
      </c>
      <c r="AK1454" s="20">
        <f t="shared" si="443"/>
        <v>0.1737753782153679</v>
      </c>
      <c r="AL1454" s="17"/>
      <c r="AM1454" s="17"/>
      <c r="AN1454" s="17"/>
      <c r="AO1454" s="17"/>
      <c r="AP1454" s="28" t="str">
        <f t="shared" si="444"/>
        <v>202210</v>
      </c>
      <c r="AQ1454" s="28" t="str">
        <f t="shared" si="445"/>
        <v>202210RMB</v>
      </c>
      <c r="AR1454" s="206" t="str">
        <f t="shared" si="446"/>
        <v>YAMAHA_Mounter</v>
      </c>
      <c r="AS1454" s="22">
        <f t="shared" si="447"/>
        <v>1</v>
      </c>
      <c r="AT1454" s="24" t="str">
        <f t="shared" si="448"/>
        <v>0-3 months</v>
      </c>
    </row>
    <row r="1455" spans="1:46" s="12" customFormat="1">
      <c r="A1455" s="33" t="str">
        <f t="shared" si="436"/>
        <v>FY 22/23</v>
      </c>
      <c r="B1455" s="152">
        <v>2022</v>
      </c>
      <c r="C1455" s="152">
        <v>9</v>
      </c>
      <c r="D1455" s="33" t="str">
        <f t="shared" si="437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38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39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49"/>
        <v>1.13</v>
      </c>
      <c r="Z1455" s="18">
        <f t="shared" si="431"/>
        <v>775000</v>
      </c>
      <c r="AA1455" s="13">
        <v>1.1000000000000001</v>
      </c>
      <c r="AB1455" s="21">
        <f t="shared" si="440"/>
        <v>754424.77876106207</v>
      </c>
      <c r="AC1455" s="130">
        <f t="shared" si="441"/>
        <v>110221.46017699117</v>
      </c>
      <c r="AD1455" s="169">
        <v>0.14610000000000001</v>
      </c>
      <c r="AE1455" s="154">
        <f t="shared" si="442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33"/>
        <v>22717528.991150443</v>
      </c>
      <c r="AJ1455" s="19">
        <f t="shared" si="434"/>
        <v>3947747.192555753</v>
      </c>
      <c r="AK1455" s="20">
        <f t="shared" si="443"/>
        <v>0.1737753782153679</v>
      </c>
      <c r="AL1455" s="17"/>
      <c r="AM1455" s="17"/>
      <c r="AN1455" s="17"/>
      <c r="AO1455" s="17"/>
      <c r="AP1455" s="28" t="str">
        <f t="shared" si="444"/>
        <v>202210</v>
      </c>
      <c r="AQ1455" s="28" t="str">
        <f t="shared" si="445"/>
        <v>202210RMB</v>
      </c>
      <c r="AR1455" s="206" t="str">
        <f t="shared" si="446"/>
        <v>YAMAHA_Mounter</v>
      </c>
      <c r="AS1455" s="22">
        <f t="shared" si="447"/>
        <v>1</v>
      </c>
      <c r="AT1455" s="24" t="str">
        <f t="shared" si="448"/>
        <v>0-3 months</v>
      </c>
    </row>
    <row r="1456" spans="1:46" s="12" customFormat="1">
      <c r="A1456" s="33" t="str">
        <f t="shared" si="436"/>
        <v>FY 23/24</v>
      </c>
      <c r="B1456" s="152">
        <v>2023</v>
      </c>
      <c r="C1456" s="152">
        <v>8</v>
      </c>
      <c r="D1456" s="33" t="str">
        <f t="shared" si="437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38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39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49"/>
        <v>1</v>
      </c>
      <c r="Z1456" s="18">
        <f t="shared" si="431"/>
        <v>15000000</v>
      </c>
      <c r="AA1456" s="13">
        <v>5.4199999999999998E-2</v>
      </c>
      <c r="AB1456" s="21">
        <f t="shared" si="440"/>
        <v>813000</v>
      </c>
      <c r="AC1456" s="130">
        <f t="shared" si="441"/>
        <v>97560</v>
      </c>
      <c r="AD1456" s="169">
        <v>0.12</v>
      </c>
      <c r="AE1456" s="154">
        <f t="shared" si="442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33"/>
        <v>477651199.57437885</v>
      </c>
      <c r="AJ1456" s="19">
        <f t="shared" si="434"/>
        <v>56918800.518691957</v>
      </c>
      <c r="AK1456" s="20">
        <f t="shared" si="443"/>
        <v>0.11916394341605475</v>
      </c>
      <c r="AL1456" s="17"/>
      <c r="AM1456" s="17"/>
      <c r="AN1456" s="17"/>
      <c r="AO1456" s="17"/>
      <c r="AP1456" s="28" t="str">
        <f t="shared" si="444"/>
        <v>CancelCancel</v>
      </c>
      <c r="AQ1456" s="28" t="str">
        <f t="shared" si="445"/>
        <v>CancelCancelJPY</v>
      </c>
      <c r="AR1456" s="206" t="str">
        <f t="shared" si="446"/>
        <v>YAMAHA_Mounter</v>
      </c>
      <c r="AS1456" s="22" t="str">
        <f t="shared" si="447"/>
        <v/>
      </c>
      <c r="AT1456" s="24" t="str">
        <f t="shared" si="448"/>
        <v/>
      </c>
    </row>
    <row r="1457" spans="1:46" s="12" customFormat="1">
      <c r="A1457" s="33" t="str">
        <f t="shared" si="436"/>
        <v>FY 23/24</v>
      </c>
      <c r="B1457" s="152">
        <v>2023</v>
      </c>
      <c r="C1457" s="152">
        <v>8</v>
      </c>
      <c r="D1457" s="33" t="str">
        <f t="shared" si="437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38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39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49"/>
        <v>1</v>
      </c>
      <c r="Z1457" s="18">
        <f t="shared" si="431"/>
        <v>15000000</v>
      </c>
      <c r="AA1457" s="13">
        <v>5.4199999999999998E-2</v>
      </c>
      <c r="AB1457" s="21">
        <f t="shared" si="440"/>
        <v>813000</v>
      </c>
      <c r="AC1457" s="130">
        <f t="shared" si="441"/>
        <v>97560</v>
      </c>
      <c r="AD1457" s="169">
        <v>0.12</v>
      </c>
      <c r="AE1457" s="154">
        <f t="shared" si="442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33"/>
        <v>477651199.57437885</v>
      </c>
      <c r="AJ1457" s="19">
        <f t="shared" si="434"/>
        <v>56918800.518691957</v>
      </c>
      <c r="AK1457" s="20">
        <f t="shared" si="443"/>
        <v>0.11916394341605475</v>
      </c>
      <c r="AL1457" s="17"/>
      <c r="AM1457" s="17"/>
      <c r="AN1457" s="17"/>
      <c r="AO1457" s="17"/>
      <c r="AP1457" s="28" t="str">
        <f t="shared" si="444"/>
        <v>CancelCancel</v>
      </c>
      <c r="AQ1457" s="28" t="str">
        <f t="shared" si="445"/>
        <v>CancelCancelJPY</v>
      </c>
      <c r="AR1457" s="206" t="str">
        <f t="shared" si="446"/>
        <v>YAMAHA_Mounter</v>
      </c>
      <c r="AS1457" s="22" t="str">
        <f t="shared" si="447"/>
        <v/>
      </c>
      <c r="AT1457" s="24" t="str">
        <f t="shared" si="448"/>
        <v/>
      </c>
    </row>
    <row r="1458" spans="1:46" s="12" customFormat="1">
      <c r="A1458" s="33" t="str">
        <f t="shared" si="436"/>
        <v>FY 23/24</v>
      </c>
      <c r="B1458" s="152">
        <v>2023</v>
      </c>
      <c r="C1458" s="152">
        <v>8</v>
      </c>
      <c r="D1458" s="33" t="str">
        <f t="shared" si="437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38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39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49"/>
        <v>1</v>
      </c>
      <c r="Z1458" s="18">
        <f t="shared" si="431"/>
        <v>15000000</v>
      </c>
      <c r="AA1458" s="13">
        <v>5.4199999999999998E-2</v>
      </c>
      <c r="AB1458" s="21">
        <f t="shared" si="440"/>
        <v>813000</v>
      </c>
      <c r="AC1458" s="130">
        <f t="shared" si="441"/>
        <v>97560</v>
      </c>
      <c r="AD1458" s="169">
        <v>0.12</v>
      </c>
      <c r="AE1458" s="154">
        <f t="shared" si="442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33"/>
        <v>477651199.57437885</v>
      </c>
      <c r="AJ1458" s="19">
        <f t="shared" si="434"/>
        <v>56918800.518691957</v>
      </c>
      <c r="AK1458" s="20">
        <f t="shared" si="443"/>
        <v>0.11916394341605475</v>
      </c>
      <c r="AL1458" s="17"/>
      <c r="AM1458" s="17"/>
      <c r="AN1458" s="17"/>
      <c r="AO1458" s="17"/>
      <c r="AP1458" s="28" t="str">
        <f t="shared" si="444"/>
        <v>CancelCancel</v>
      </c>
      <c r="AQ1458" s="28" t="str">
        <f t="shared" si="445"/>
        <v>CancelCancelJPY</v>
      </c>
      <c r="AR1458" s="206" t="str">
        <f t="shared" si="446"/>
        <v>YAMAHA_Mounter</v>
      </c>
      <c r="AS1458" s="22" t="str">
        <f t="shared" si="447"/>
        <v/>
      </c>
      <c r="AT1458" s="24" t="str">
        <f t="shared" si="448"/>
        <v/>
      </c>
    </row>
    <row r="1459" spans="1:46" s="12" customFormat="1">
      <c r="A1459" s="33" t="str">
        <f t="shared" si="436"/>
        <v>FY 23/24</v>
      </c>
      <c r="B1459" s="152">
        <v>2023</v>
      </c>
      <c r="C1459" s="152">
        <v>8</v>
      </c>
      <c r="D1459" s="33" t="str">
        <f t="shared" si="437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38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39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49"/>
        <v>1</v>
      </c>
      <c r="Z1459" s="18">
        <f t="shared" si="431"/>
        <v>15000000</v>
      </c>
      <c r="AA1459" s="13">
        <v>5.4199999999999998E-2</v>
      </c>
      <c r="AB1459" s="21">
        <f t="shared" si="440"/>
        <v>813000</v>
      </c>
      <c r="AC1459" s="130">
        <f t="shared" si="441"/>
        <v>97560</v>
      </c>
      <c r="AD1459" s="169">
        <v>0.12</v>
      </c>
      <c r="AE1459" s="154">
        <f t="shared" si="442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33"/>
        <v>477651199.57437885</v>
      </c>
      <c r="AJ1459" s="19">
        <f t="shared" si="434"/>
        <v>56918800.518691957</v>
      </c>
      <c r="AK1459" s="20">
        <f t="shared" si="443"/>
        <v>0.11916394341605475</v>
      </c>
      <c r="AL1459" s="17"/>
      <c r="AM1459" s="17"/>
      <c r="AN1459" s="17"/>
      <c r="AO1459" s="17"/>
      <c r="AP1459" s="28" t="str">
        <f t="shared" si="444"/>
        <v>CancelCancel</v>
      </c>
      <c r="AQ1459" s="28" t="str">
        <f t="shared" si="445"/>
        <v>CancelCancelJPY</v>
      </c>
      <c r="AR1459" s="206" t="str">
        <f t="shared" si="446"/>
        <v>YAMAHA_Mounter</v>
      </c>
      <c r="AS1459" s="22" t="str">
        <f t="shared" si="447"/>
        <v/>
      </c>
      <c r="AT1459" s="24" t="str">
        <f t="shared" si="448"/>
        <v/>
      </c>
    </row>
    <row r="1460" spans="1:46" s="12" customFormat="1">
      <c r="A1460" s="33" t="str">
        <f t="shared" si="436"/>
        <v>FY 23/24</v>
      </c>
      <c r="B1460" s="152">
        <v>2023</v>
      </c>
      <c r="C1460" s="152">
        <v>8</v>
      </c>
      <c r="D1460" s="33" t="str">
        <f t="shared" si="437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38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39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49"/>
        <v>1</v>
      </c>
      <c r="Z1460" s="18">
        <f t="shared" si="431"/>
        <v>15000000</v>
      </c>
      <c r="AA1460" s="13">
        <v>5.4199999999999998E-2</v>
      </c>
      <c r="AB1460" s="21">
        <f t="shared" si="440"/>
        <v>813000</v>
      </c>
      <c r="AC1460" s="130">
        <f t="shared" si="441"/>
        <v>97560</v>
      </c>
      <c r="AD1460" s="169">
        <v>0.12</v>
      </c>
      <c r="AE1460" s="154">
        <f t="shared" si="442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33"/>
        <v>477651199.57437885</v>
      </c>
      <c r="AJ1460" s="19">
        <f t="shared" si="434"/>
        <v>56918800.518691957</v>
      </c>
      <c r="AK1460" s="20">
        <f t="shared" si="443"/>
        <v>0.11916394341605475</v>
      </c>
      <c r="AL1460" s="17"/>
      <c r="AM1460" s="17"/>
      <c r="AN1460" s="17"/>
      <c r="AO1460" s="17"/>
      <c r="AP1460" s="28" t="str">
        <f t="shared" si="444"/>
        <v>CancelCancel</v>
      </c>
      <c r="AQ1460" s="28" t="str">
        <f t="shared" si="445"/>
        <v>CancelCancelJPY</v>
      </c>
      <c r="AR1460" s="206" t="str">
        <f t="shared" si="446"/>
        <v>YAMAHA_Mounter</v>
      </c>
      <c r="AS1460" s="22" t="str">
        <f t="shared" si="447"/>
        <v/>
      </c>
      <c r="AT1460" s="24" t="str">
        <f t="shared" si="448"/>
        <v/>
      </c>
    </row>
    <row r="1461" spans="1:46" s="12" customFormat="1">
      <c r="A1461" s="33" t="str">
        <f t="shared" si="436"/>
        <v>FY 23/24</v>
      </c>
      <c r="B1461" s="152">
        <v>2023</v>
      </c>
      <c r="C1461" s="152">
        <v>8</v>
      </c>
      <c r="D1461" s="33" t="str">
        <f t="shared" si="437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38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39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49"/>
        <v>1</v>
      </c>
      <c r="Z1461" s="18">
        <f t="shared" si="431"/>
        <v>15000000</v>
      </c>
      <c r="AA1461" s="13">
        <v>5.4199999999999998E-2</v>
      </c>
      <c r="AB1461" s="21">
        <f t="shared" si="440"/>
        <v>813000</v>
      </c>
      <c r="AC1461" s="130">
        <f t="shared" si="441"/>
        <v>97560</v>
      </c>
      <c r="AD1461" s="169">
        <v>0.12</v>
      </c>
      <c r="AE1461" s="154">
        <f t="shared" si="442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33"/>
        <v>477651199.57437885</v>
      </c>
      <c r="AJ1461" s="19">
        <f t="shared" si="434"/>
        <v>56918800.518691957</v>
      </c>
      <c r="AK1461" s="20">
        <f t="shared" si="443"/>
        <v>0.11916394341605475</v>
      </c>
      <c r="AL1461" s="17"/>
      <c r="AM1461" s="17"/>
      <c r="AN1461" s="17"/>
      <c r="AO1461" s="17"/>
      <c r="AP1461" s="28" t="str">
        <f t="shared" si="444"/>
        <v>CancelCancel</v>
      </c>
      <c r="AQ1461" s="28" t="str">
        <f t="shared" si="445"/>
        <v>CancelCancelJPY</v>
      </c>
      <c r="AR1461" s="206" t="str">
        <f t="shared" si="446"/>
        <v>YAMAHA_Mounter</v>
      </c>
      <c r="AS1461" s="22" t="str">
        <f t="shared" si="447"/>
        <v/>
      </c>
      <c r="AT1461" s="24" t="str">
        <f t="shared" si="448"/>
        <v/>
      </c>
    </row>
    <row r="1462" spans="1:46" s="12" customFormat="1">
      <c r="A1462" s="33" t="str">
        <f t="shared" si="436"/>
        <v>FY 23/24</v>
      </c>
      <c r="B1462" s="152">
        <v>2023</v>
      </c>
      <c r="C1462" s="152">
        <v>8</v>
      </c>
      <c r="D1462" s="33" t="str">
        <f t="shared" si="437"/>
        <v>Q2</v>
      </c>
      <c r="E1462" s="33" t="str">
        <f t="shared" ref="E1462:E1468" si="45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38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39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49"/>
        <v>1</v>
      </c>
      <c r="Z1462" s="18">
        <f t="shared" si="431"/>
        <v>11250000</v>
      </c>
      <c r="AA1462" s="13">
        <v>5.4199999999999998E-2</v>
      </c>
      <c r="AB1462" s="21">
        <f t="shared" si="440"/>
        <v>609750</v>
      </c>
      <c r="AC1462" s="130">
        <f t="shared" si="441"/>
        <v>73170</v>
      </c>
      <c r="AD1462" s="169">
        <v>0.12</v>
      </c>
      <c r="AE1462" s="154">
        <f t="shared" si="442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33"/>
        <v>477651199.57437885</v>
      </c>
      <c r="AJ1462" s="19">
        <f t="shared" si="434"/>
        <v>56918800.518691957</v>
      </c>
      <c r="AK1462" s="20">
        <f t="shared" si="443"/>
        <v>0.11916394341605475</v>
      </c>
      <c r="AL1462" s="17"/>
      <c r="AM1462" s="17"/>
      <c r="AN1462" s="17"/>
      <c r="AO1462" s="17"/>
      <c r="AP1462" s="28" t="str">
        <f t="shared" si="444"/>
        <v>CancelCancel</v>
      </c>
      <c r="AQ1462" s="28" t="str">
        <f t="shared" si="445"/>
        <v>CancelCancelJPY</v>
      </c>
      <c r="AR1462" s="206" t="str">
        <f t="shared" si="446"/>
        <v>YAMAHA_Mounter</v>
      </c>
      <c r="AS1462" s="22" t="str">
        <f t="shared" si="447"/>
        <v/>
      </c>
      <c r="AT1462" s="24" t="str">
        <f t="shared" si="448"/>
        <v/>
      </c>
    </row>
    <row r="1463" spans="1:46" s="12" customFormat="1">
      <c r="A1463" s="33" t="str">
        <f t="shared" si="436"/>
        <v>FY 23/24</v>
      </c>
      <c r="B1463" s="152">
        <v>2023</v>
      </c>
      <c r="C1463" s="152">
        <v>8</v>
      </c>
      <c r="D1463" s="33" t="str">
        <f t="shared" si="437"/>
        <v>Q2</v>
      </c>
      <c r="E1463" s="33" t="str">
        <f t="shared" si="450"/>
        <v>Cancel</v>
      </c>
      <c r="F1463" s="13" t="s">
        <v>186</v>
      </c>
      <c r="G1463" s="152" t="s">
        <v>186</v>
      </c>
      <c r="H1463" s="155"/>
      <c r="I1463" s="33" t="str">
        <f t="shared" si="438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39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49"/>
        <v>1</v>
      </c>
      <c r="Z1463" s="18">
        <f t="shared" si="431"/>
        <v>11250000</v>
      </c>
      <c r="AA1463" s="13">
        <v>5.4199999999999998E-2</v>
      </c>
      <c r="AB1463" s="21">
        <f t="shared" si="440"/>
        <v>609750</v>
      </c>
      <c r="AC1463" s="130">
        <f t="shared" si="441"/>
        <v>73170</v>
      </c>
      <c r="AD1463" s="169">
        <v>0.12</v>
      </c>
      <c r="AE1463" s="154">
        <f t="shared" si="442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33"/>
        <v>477651199.57437885</v>
      </c>
      <c r="AJ1463" s="19">
        <f t="shared" si="434"/>
        <v>56918800.518691957</v>
      </c>
      <c r="AK1463" s="20">
        <f t="shared" si="443"/>
        <v>0.11916394341605475</v>
      </c>
      <c r="AL1463" s="17"/>
      <c r="AM1463" s="17"/>
      <c r="AN1463" s="17"/>
      <c r="AO1463" s="17"/>
      <c r="AP1463" s="28" t="str">
        <f t="shared" si="444"/>
        <v>CancelCancel</v>
      </c>
      <c r="AQ1463" s="28" t="str">
        <f t="shared" si="445"/>
        <v>CancelCancelJPY</v>
      </c>
      <c r="AR1463" s="206" t="str">
        <f t="shared" si="446"/>
        <v>YAMAHA_Mounter</v>
      </c>
      <c r="AS1463" s="22" t="str">
        <f t="shared" si="447"/>
        <v/>
      </c>
      <c r="AT1463" s="24" t="str">
        <f t="shared" si="448"/>
        <v/>
      </c>
    </row>
    <row r="1464" spans="1:46" s="12" customFormat="1">
      <c r="A1464" s="33" t="str">
        <f t="shared" si="436"/>
        <v>FY 23/24</v>
      </c>
      <c r="B1464" s="152">
        <v>2023</v>
      </c>
      <c r="C1464" s="152">
        <v>8</v>
      </c>
      <c r="D1464" s="33" t="str">
        <f t="shared" si="437"/>
        <v>Q2</v>
      </c>
      <c r="E1464" s="33" t="str">
        <f t="shared" si="450"/>
        <v>Cancel</v>
      </c>
      <c r="F1464" s="13" t="s">
        <v>186</v>
      </c>
      <c r="G1464" s="152" t="s">
        <v>186</v>
      </c>
      <c r="H1464" s="155"/>
      <c r="I1464" s="33" t="str">
        <f t="shared" si="438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39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49"/>
        <v>1</v>
      </c>
      <c r="Z1464" s="18">
        <f t="shared" si="431"/>
        <v>11250000</v>
      </c>
      <c r="AA1464" s="13">
        <v>5.4199999999999998E-2</v>
      </c>
      <c r="AB1464" s="21">
        <f t="shared" si="440"/>
        <v>609750</v>
      </c>
      <c r="AC1464" s="130">
        <f t="shared" si="441"/>
        <v>73170</v>
      </c>
      <c r="AD1464" s="169">
        <v>0.12</v>
      </c>
      <c r="AE1464" s="154">
        <f t="shared" si="442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33"/>
        <v>477651199.57437885</v>
      </c>
      <c r="AJ1464" s="19">
        <f t="shared" si="434"/>
        <v>56918800.518691957</v>
      </c>
      <c r="AK1464" s="20">
        <f t="shared" si="443"/>
        <v>0.11916394341605475</v>
      </c>
      <c r="AL1464" s="17"/>
      <c r="AM1464" s="17"/>
      <c r="AN1464" s="17"/>
      <c r="AO1464" s="17"/>
      <c r="AP1464" s="28" t="str">
        <f t="shared" si="444"/>
        <v>CancelCancel</v>
      </c>
      <c r="AQ1464" s="28" t="str">
        <f t="shared" si="445"/>
        <v>CancelCancelJPY</v>
      </c>
      <c r="AR1464" s="206" t="str">
        <f t="shared" si="446"/>
        <v>YAMAHA_Mounter</v>
      </c>
      <c r="AS1464" s="22" t="str">
        <f t="shared" si="447"/>
        <v/>
      </c>
      <c r="AT1464" s="24" t="str">
        <f t="shared" si="448"/>
        <v/>
      </c>
    </row>
    <row r="1465" spans="1:46" s="12" customFormat="1">
      <c r="A1465" s="33" t="str">
        <f t="shared" si="436"/>
        <v>FY 23/24</v>
      </c>
      <c r="B1465" s="152">
        <v>2023</v>
      </c>
      <c r="C1465" s="152">
        <v>8</v>
      </c>
      <c r="D1465" s="33" t="str">
        <f t="shared" si="437"/>
        <v>Q2</v>
      </c>
      <c r="E1465" s="33" t="str">
        <f t="shared" si="450"/>
        <v>Cancel</v>
      </c>
      <c r="F1465" s="13" t="s">
        <v>186</v>
      </c>
      <c r="G1465" s="152" t="s">
        <v>186</v>
      </c>
      <c r="H1465" s="155"/>
      <c r="I1465" s="33" t="str">
        <f t="shared" si="438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39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49"/>
        <v>1</v>
      </c>
      <c r="Z1465" s="18">
        <f t="shared" si="431"/>
        <v>11250000</v>
      </c>
      <c r="AA1465" s="13">
        <v>5.4199999999999998E-2</v>
      </c>
      <c r="AB1465" s="21">
        <f t="shared" si="440"/>
        <v>609750</v>
      </c>
      <c r="AC1465" s="130">
        <f t="shared" si="441"/>
        <v>73170</v>
      </c>
      <c r="AD1465" s="169">
        <v>0.12</v>
      </c>
      <c r="AE1465" s="154">
        <f t="shared" si="442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33"/>
        <v>477651199.57437885</v>
      </c>
      <c r="AJ1465" s="19">
        <f t="shared" si="434"/>
        <v>56918800.518691957</v>
      </c>
      <c r="AK1465" s="20">
        <f t="shared" si="443"/>
        <v>0.11916394341605475</v>
      </c>
      <c r="AL1465" s="17"/>
      <c r="AM1465" s="17"/>
      <c r="AN1465" s="17"/>
      <c r="AO1465" s="17"/>
      <c r="AP1465" s="28" t="str">
        <f t="shared" si="444"/>
        <v>CancelCancel</v>
      </c>
      <c r="AQ1465" s="28" t="str">
        <f t="shared" si="445"/>
        <v>CancelCancelJPY</v>
      </c>
      <c r="AR1465" s="206" t="str">
        <f t="shared" si="446"/>
        <v>YAMAHA_Mounter</v>
      </c>
      <c r="AS1465" s="22" t="str">
        <f t="shared" si="447"/>
        <v/>
      </c>
      <c r="AT1465" s="24" t="str">
        <f t="shared" si="448"/>
        <v/>
      </c>
    </row>
    <row r="1466" spans="1:46" s="12" customFormat="1">
      <c r="A1466" s="33" t="str">
        <f t="shared" si="436"/>
        <v>FY 23/24</v>
      </c>
      <c r="B1466" s="23">
        <v>2024</v>
      </c>
      <c r="C1466" s="152">
        <v>3</v>
      </c>
      <c r="D1466" s="33" t="str">
        <f t="shared" si="437"/>
        <v>Q4</v>
      </c>
      <c r="E1466" s="33" t="str">
        <f t="shared" si="450"/>
        <v>FY 24/25</v>
      </c>
      <c r="F1466" s="23">
        <v>2024</v>
      </c>
      <c r="G1466" s="23">
        <v>6</v>
      </c>
      <c r="H1466" s="29"/>
      <c r="I1466" s="33" t="str">
        <f t="shared" si="438"/>
        <v>Q1</v>
      </c>
      <c r="J1466" s="188" t="s">
        <v>3341</v>
      </c>
      <c r="K1466" s="29" t="s">
        <v>3342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39"/>
        <v>MAIN UNIT</v>
      </c>
      <c r="Q1466" s="13" t="s">
        <v>62</v>
      </c>
      <c r="R1466" s="22" t="s">
        <v>63</v>
      </c>
      <c r="S1466" s="22" t="s">
        <v>50</v>
      </c>
      <c r="T1466" s="22" t="s">
        <v>79</v>
      </c>
      <c r="U1466" s="22" t="s">
        <v>79</v>
      </c>
      <c r="V1466" s="22" t="s">
        <v>113</v>
      </c>
      <c r="W1466" s="22" t="s">
        <v>110</v>
      </c>
      <c r="X1466" s="30">
        <v>11000000</v>
      </c>
      <c r="Y1466" s="31" t="str">
        <f>IF(W1466="","",IF(W1466="RMB","1.13", "1"))</f>
        <v>1</v>
      </c>
      <c r="Z1466" s="18">
        <f t="shared" si="431"/>
        <v>11000000</v>
      </c>
      <c r="AA1466" s="13">
        <v>5.0999999999999997E-2</v>
      </c>
      <c r="AB1466" s="21">
        <f t="shared" si="440"/>
        <v>561000</v>
      </c>
      <c r="AC1466" s="25">
        <f t="shared" si="441"/>
        <v>40392</v>
      </c>
      <c r="AD1466" s="170">
        <v>7.1999999999999995E-2</v>
      </c>
      <c r="AE1466" s="26">
        <f t="shared" si="442"/>
        <v>0</v>
      </c>
      <c r="AF1466" s="26" t="str">
        <f>IF(AND(COUNTIFS($J$18:J1466,J1466)=1,AE1466=1),1,"")</f>
        <v/>
      </c>
      <c r="AG1466" s="26" t="str">
        <f>IF(C1466="","",IF(AND(COUNTIFS($J$18:J1466,J1466)=1,C1466&lt;&gt;""),1,""))</f>
        <v/>
      </c>
      <c r="AH1466" s="26" t="str">
        <f>IF(G1466="","",IF(AND(COUNTIFS($J$18:J1466,J1466)=1,G1466&lt;&gt;""),1,""))</f>
        <v/>
      </c>
      <c r="AI1466" s="27">
        <f t="shared" si="433"/>
        <v>27308925.887079656</v>
      </c>
      <c r="AJ1466" s="27">
        <f t="shared" si="434"/>
        <v>3319273.860338124</v>
      </c>
      <c r="AK1466" s="28">
        <f t="shared" si="443"/>
        <v>0.12154538314919709</v>
      </c>
      <c r="AL1466" s="24"/>
      <c r="AM1466" s="24"/>
      <c r="AN1466" s="24"/>
      <c r="AO1466" s="24"/>
      <c r="AP1466" s="28" t="str">
        <f t="shared" si="444"/>
        <v>20246</v>
      </c>
      <c r="AQ1466" s="28" t="str">
        <f t="shared" si="445"/>
        <v>20246JPY</v>
      </c>
      <c r="AR1466" s="206" t="str">
        <f t="shared" si="446"/>
        <v>YAMAHA_Mounter</v>
      </c>
      <c r="AS1466" s="22">
        <f t="shared" si="447"/>
        <v>3</v>
      </c>
      <c r="AT1466" s="24" t="str">
        <f t="shared" si="448"/>
        <v>0-3 months</v>
      </c>
    </row>
    <row r="1467" spans="1:46" s="12" customFormat="1">
      <c r="A1467" s="33" t="str">
        <f t="shared" si="436"/>
        <v>FY 23/24</v>
      </c>
      <c r="B1467" s="23">
        <v>2024</v>
      </c>
      <c r="C1467" s="152">
        <v>3</v>
      </c>
      <c r="D1467" s="33" t="str">
        <f t="shared" si="437"/>
        <v>Q4</v>
      </c>
      <c r="E1467" s="33" t="str">
        <f t="shared" si="450"/>
        <v>FY 24/25</v>
      </c>
      <c r="F1467" s="23">
        <v>2024</v>
      </c>
      <c r="G1467" s="23">
        <v>6</v>
      </c>
      <c r="H1467" s="29"/>
      <c r="I1467" s="33" t="str">
        <f t="shared" si="438"/>
        <v>Q1</v>
      </c>
      <c r="J1467" s="188" t="s">
        <v>3341</v>
      </c>
      <c r="K1467" s="29" t="s">
        <v>3342</v>
      </c>
      <c r="L1467" s="17" t="s">
        <v>93</v>
      </c>
      <c r="M1467" s="22" t="s">
        <v>61</v>
      </c>
      <c r="N1467" s="22">
        <v>1</v>
      </c>
      <c r="O1467" s="22"/>
      <c r="P1467" s="33" t="str">
        <f t="shared" si="439"/>
        <v>MAIN UNIT</v>
      </c>
      <c r="Q1467" s="13" t="s">
        <v>62</v>
      </c>
      <c r="R1467" s="22" t="s">
        <v>63</v>
      </c>
      <c r="S1467" s="22" t="s">
        <v>50</v>
      </c>
      <c r="T1467" s="22" t="s">
        <v>79</v>
      </c>
      <c r="U1467" s="22" t="s">
        <v>79</v>
      </c>
      <c r="V1467" s="22" t="s">
        <v>113</v>
      </c>
      <c r="W1467" s="22" t="s">
        <v>110</v>
      </c>
      <c r="X1467" s="30">
        <v>11000000</v>
      </c>
      <c r="Y1467" s="31" t="str">
        <f>IF(W1467="","",IF(W1467="RMB","1.13", "1"))</f>
        <v>1</v>
      </c>
      <c r="Z1467" s="18">
        <f t="shared" si="431"/>
        <v>11000000</v>
      </c>
      <c r="AA1467" s="13">
        <v>5.0999999999999997E-2</v>
      </c>
      <c r="AB1467" s="21">
        <f t="shared" si="440"/>
        <v>561000</v>
      </c>
      <c r="AC1467" s="25">
        <f t="shared" si="441"/>
        <v>40392</v>
      </c>
      <c r="AD1467" s="170">
        <v>7.1999999999999995E-2</v>
      </c>
      <c r="AE1467" s="26">
        <f t="shared" si="442"/>
        <v>0</v>
      </c>
      <c r="AF1467" s="26" t="str">
        <f>IF(AND(COUNTIFS($J$18:J1467,J1467)=1,AE1467=1),1,"")</f>
        <v/>
      </c>
      <c r="AG1467" s="26" t="str">
        <f>IF(C1467="","",IF(AND(COUNTIFS($J$18:J1467,J1467)=1,C1467&lt;&gt;""),1,""))</f>
        <v/>
      </c>
      <c r="AH1467" s="26" t="str">
        <f>IF(G1467="","",IF(AND(COUNTIFS($J$18:J1467,J1467)=1,G1467&lt;&gt;""),1,""))</f>
        <v/>
      </c>
      <c r="AI1467" s="27">
        <f t="shared" si="433"/>
        <v>27308925.887079656</v>
      </c>
      <c r="AJ1467" s="27">
        <f t="shared" si="434"/>
        <v>3319273.860338124</v>
      </c>
      <c r="AK1467" s="28">
        <f t="shared" si="443"/>
        <v>0.12154538314919709</v>
      </c>
      <c r="AL1467" s="24"/>
      <c r="AM1467" s="24"/>
      <c r="AN1467" s="24"/>
      <c r="AO1467" s="24"/>
      <c r="AP1467" s="28" t="str">
        <f t="shared" si="444"/>
        <v>20246</v>
      </c>
      <c r="AQ1467" s="28" t="str">
        <f t="shared" si="445"/>
        <v>20246JPY</v>
      </c>
      <c r="AR1467" s="206" t="str">
        <f t="shared" si="446"/>
        <v>YAMAHA_Mounter</v>
      </c>
      <c r="AS1467" s="22">
        <f t="shared" si="447"/>
        <v>3</v>
      </c>
      <c r="AT1467" s="24" t="str">
        <f t="shared" si="448"/>
        <v>0-3 months</v>
      </c>
    </row>
    <row r="1468" spans="1:46" s="12" customFormat="1">
      <c r="A1468" s="33" t="str">
        <f t="shared" si="436"/>
        <v>FY 23/24</v>
      </c>
      <c r="B1468" s="23">
        <v>2024</v>
      </c>
      <c r="C1468" s="152">
        <v>3</v>
      </c>
      <c r="D1468" s="33" t="str">
        <f t="shared" si="437"/>
        <v>Q4</v>
      </c>
      <c r="E1468" s="33" t="str">
        <f t="shared" si="450"/>
        <v>FY 24/25</v>
      </c>
      <c r="F1468" s="23">
        <v>2024</v>
      </c>
      <c r="G1468" s="23">
        <v>6</v>
      </c>
      <c r="H1468" s="29"/>
      <c r="I1468" s="33" t="str">
        <f t="shared" si="438"/>
        <v>Q1</v>
      </c>
      <c r="J1468" s="188" t="s">
        <v>3341</v>
      </c>
      <c r="K1468" s="29" t="s">
        <v>3342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39"/>
        <v>MAIN UNIT</v>
      </c>
      <c r="Q1468" s="13" t="s">
        <v>62</v>
      </c>
      <c r="R1468" s="22" t="s">
        <v>63</v>
      </c>
      <c r="S1468" s="22" t="s">
        <v>50</v>
      </c>
      <c r="T1468" s="22" t="s">
        <v>79</v>
      </c>
      <c r="U1468" s="22" t="s">
        <v>79</v>
      </c>
      <c r="V1468" s="22" t="s">
        <v>113</v>
      </c>
      <c r="W1468" s="22" t="s">
        <v>110</v>
      </c>
      <c r="X1468" s="30">
        <v>11000000</v>
      </c>
      <c r="Y1468" s="31" t="str">
        <f>IF(W1468="","",IF(W1468="RMB","1.13", "1"))</f>
        <v>1</v>
      </c>
      <c r="Z1468" s="18">
        <f t="shared" ref="Z1468:Z1531" si="451">IF(X1468="","",X1468*MAX(O1468,N1468))</f>
        <v>11000000</v>
      </c>
      <c r="AA1468" s="13">
        <v>5.0999999999999997E-2</v>
      </c>
      <c r="AB1468" s="21">
        <f t="shared" si="440"/>
        <v>561000</v>
      </c>
      <c r="AC1468" s="25">
        <f t="shared" si="441"/>
        <v>40392</v>
      </c>
      <c r="AD1468" s="170">
        <v>7.1999999999999995E-2</v>
      </c>
      <c r="AE1468" s="26">
        <f t="shared" si="442"/>
        <v>0</v>
      </c>
      <c r="AF1468" s="26" t="str">
        <f>IF(AND(COUNTIFS($J$18:J1468,J1468)=1,AE1468=1),1,"")</f>
        <v/>
      </c>
      <c r="AG1468" s="26" t="str">
        <f>IF(C1468="","",IF(AND(COUNTIFS($J$18:J1468,J1468)=1,C1468&lt;&gt;""),1,""))</f>
        <v/>
      </c>
      <c r="AH1468" s="26" t="str">
        <f>IF(G1468="","",IF(AND(COUNTIFS($J$18:J1468,J1468)=1,G1468&lt;&gt;""),1,""))</f>
        <v/>
      </c>
      <c r="AI1468" s="27">
        <f t="shared" si="433"/>
        <v>27308925.887079656</v>
      </c>
      <c r="AJ1468" s="27">
        <f t="shared" si="434"/>
        <v>3319273.860338124</v>
      </c>
      <c r="AK1468" s="28">
        <f t="shared" si="443"/>
        <v>0.12154538314919709</v>
      </c>
      <c r="AL1468" s="24"/>
      <c r="AM1468" s="24"/>
      <c r="AN1468" s="24"/>
      <c r="AO1468" s="24"/>
      <c r="AP1468" s="28" t="str">
        <f t="shared" si="444"/>
        <v>20246</v>
      </c>
      <c r="AQ1468" s="28" t="str">
        <f t="shared" si="445"/>
        <v>20246JPY</v>
      </c>
      <c r="AR1468" s="206" t="str">
        <f t="shared" si="446"/>
        <v>YAMAHA_Mounter</v>
      </c>
      <c r="AS1468" s="22">
        <f t="shared" si="447"/>
        <v>3</v>
      </c>
      <c r="AT1468" s="24" t="str">
        <f t="shared" si="448"/>
        <v>0-3 months</v>
      </c>
    </row>
    <row r="1469" spans="1:46" s="12" customFormat="1">
      <c r="A1469" s="33" t="str">
        <f t="shared" si="436"/>
        <v>FY 20/21</v>
      </c>
      <c r="B1469" s="152">
        <v>2021</v>
      </c>
      <c r="C1469" s="152">
        <v>3</v>
      </c>
      <c r="D1469" s="33" t="str">
        <f t="shared" si="437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38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39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51"/>
        <v>14000000</v>
      </c>
      <c r="AA1469" s="13">
        <v>7.17E-2</v>
      </c>
      <c r="AB1469" s="21">
        <f t="shared" si="440"/>
        <v>1003800</v>
      </c>
      <c r="AC1469" s="130">
        <f t="shared" si="441"/>
        <v>157496.22</v>
      </c>
      <c r="AD1469" s="169">
        <v>0.15690000000000001</v>
      </c>
      <c r="AE1469" s="154">
        <f t="shared" si="442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33"/>
        <v>41443303.53761062</v>
      </c>
      <c r="AJ1469" s="19">
        <f t="shared" si="434"/>
        <v>6194988.76643031</v>
      </c>
      <c r="AK1469" s="20">
        <f t="shared" si="443"/>
        <v>0.1494810557466355</v>
      </c>
      <c r="AL1469" s="17"/>
      <c r="AM1469" s="17"/>
      <c r="AN1469" s="17"/>
      <c r="AO1469" s="17"/>
      <c r="AP1469" s="28" t="str">
        <f t="shared" si="444"/>
        <v>20217</v>
      </c>
      <c r="AQ1469" s="28" t="str">
        <f t="shared" si="445"/>
        <v>20217JPY</v>
      </c>
      <c r="AR1469" s="206" t="str">
        <f t="shared" si="446"/>
        <v>YAMAHA_Mounter</v>
      </c>
      <c r="AS1469" s="22">
        <f t="shared" si="447"/>
        <v>4</v>
      </c>
      <c r="AT1469" s="24" t="str">
        <f t="shared" si="448"/>
        <v>4-6 months</v>
      </c>
    </row>
    <row r="1470" spans="1:46" s="12" customFormat="1">
      <c r="A1470" s="33" t="str">
        <f t="shared" si="436"/>
        <v>FY 20/21</v>
      </c>
      <c r="B1470" s="152">
        <v>2021</v>
      </c>
      <c r="C1470" s="152">
        <v>3</v>
      </c>
      <c r="D1470" s="33" t="str">
        <f t="shared" si="437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38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39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51"/>
        <v>9560000</v>
      </c>
      <c r="AA1470" s="13">
        <v>7.17E-2</v>
      </c>
      <c r="AB1470" s="21">
        <f t="shared" si="440"/>
        <v>685452</v>
      </c>
      <c r="AC1470" s="130">
        <f t="shared" si="441"/>
        <v>107547.41880000001</v>
      </c>
      <c r="AD1470" s="169">
        <v>0.15690000000000001</v>
      </c>
      <c r="AE1470" s="154">
        <f t="shared" si="442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33"/>
        <v>41443303.53761062</v>
      </c>
      <c r="AJ1470" s="19">
        <f t="shared" si="434"/>
        <v>6194988.76643031</v>
      </c>
      <c r="AK1470" s="20">
        <f t="shared" si="443"/>
        <v>0.1494810557466355</v>
      </c>
      <c r="AL1470" s="17"/>
      <c r="AM1470" s="17"/>
      <c r="AN1470" s="17"/>
      <c r="AO1470" s="17"/>
      <c r="AP1470" s="28" t="str">
        <f t="shared" si="444"/>
        <v>20217</v>
      </c>
      <c r="AQ1470" s="28" t="str">
        <f t="shared" si="445"/>
        <v>20217JPY</v>
      </c>
      <c r="AR1470" s="206" t="str">
        <f t="shared" si="446"/>
        <v>YAMAHA_Mounter</v>
      </c>
      <c r="AS1470" s="22">
        <f t="shared" si="447"/>
        <v>4</v>
      </c>
      <c r="AT1470" s="24" t="str">
        <f t="shared" si="448"/>
        <v>4-6 months</v>
      </c>
    </row>
    <row r="1471" spans="1:46" s="12" customFormat="1">
      <c r="A1471" s="33" t="str">
        <f t="shared" si="436"/>
        <v>FY 18/19</v>
      </c>
      <c r="B1471" s="152">
        <v>2018</v>
      </c>
      <c r="C1471" s="152">
        <v>5</v>
      </c>
      <c r="D1471" s="33" t="str">
        <f t="shared" si="437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38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39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51"/>
        <v>554640</v>
      </c>
      <c r="AA1471" s="13">
        <v>1.23</v>
      </c>
      <c r="AB1471" s="21">
        <f t="shared" si="440"/>
        <v>588109.6551724138</v>
      </c>
      <c r="AC1471" s="130">
        <f t="shared" si="441"/>
        <v>81217.943379310353</v>
      </c>
      <c r="AD1471" s="169">
        <v>0.1381</v>
      </c>
      <c r="AE1471" s="154">
        <f t="shared" si="442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33"/>
        <v>34109166.105589926</v>
      </c>
      <c r="AJ1471" s="19">
        <f t="shared" si="434"/>
        <v>4642032.7199573703</v>
      </c>
      <c r="AK1471" s="20">
        <f t="shared" si="443"/>
        <v>0.13609340977692849</v>
      </c>
      <c r="AL1471" s="17"/>
      <c r="AM1471" s="17"/>
      <c r="AN1471" s="17" t="s">
        <v>488</v>
      </c>
      <c r="AO1471" s="17"/>
      <c r="AP1471" s="28" t="str">
        <f t="shared" si="444"/>
        <v>20185</v>
      </c>
      <c r="AQ1471" s="28" t="str">
        <f t="shared" si="445"/>
        <v>20185RMB</v>
      </c>
      <c r="AR1471" s="206" t="str">
        <f t="shared" si="446"/>
        <v>YAMAHA_Mounter</v>
      </c>
      <c r="AS1471" s="22">
        <f t="shared" si="447"/>
        <v>0</v>
      </c>
      <c r="AT1471" s="24" t="str">
        <f t="shared" si="448"/>
        <v>0-3 months</v>
      </c>
    </row>
    <row r="1472" spans="1:46" s="12" customFormat="1">
      <c r="A1472" s="33" t="str">
        <f t="shared" si="436"/>
        <v>FY 20/21</v>
      </c>
      <c r="B1472" s="152">
        <v>2020</v>
      </c>
      <c r="C1472" s="152">
        <v>8</v>
      </c>
      <c r="D1472" s="33" t="str">
        <f t="shared" si="437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38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39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51"/>
        <v>6850000</v>
      </c>
      <c r="AA1472" s="13">
        <v>7.6100000000000001E-2</v>
      </c>
      <c r="AB1472" s="21">
        <f t="shared" si="440"/>
        <v>521285</v>
      </c>
      <c r="AC1472" s="130">
        <f t="shared" si="441"/>
        <v>66724.479999999996</v>
      </c>
      <c r="AD1472" s="169">
        <v>0.128</v>
      </c>
      <c r="AE1472" s="154">
        <f t="shared" si="442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33"/>
        <v>44078731.611185849</v>
      </c>
      <c r="AJ1472" s="19">
        <f t="shared" si="434"/>
        <v>5508173.2163771465</v>
      </c>
      <c r="AK1472" s="20">
        <f t="shared" si="443"/>
        <v>0.12496215328889679</v>
      </c>
      <c r="AL1472" s="17"/>
      <c r="AM1472" s="17"/>
      <c r="AN1472" s="17"/>
      <c r="AO1472" s="17"/>
      <c r="AP1472" s="28" t="str">
        <f t="shared" si="444"/>
        <v>202011</v>
      </c>
      <c r="AQ1472" s="28" t="str">
        <f t="shared" si="445"/>
        <v>202011JPY</v>
      </c>
      <c r="AR1472" s="206" t="str">
        <f t="shared" si="446"/>
        <v>YAMAHA_Mounter</v>
      </c>
      <c r="AS1472" s="22">
        <f t="shared" si="447"/>
        <v>3</v>
      </c>
      <c r="AT1472" s="24" t="str">
        <f t="shared" si="448"/>
        <v>0-3 months</v>
      </c>
    </row>
    <row r="1473" spans="1:46" s="12" customFormat="1">
      <c r="A1473" s="33" t="str">
        <f t="shared" si="436"/>
        <v>FY 21/22</v>
      </c>
      <c r="B1473" s="152">
        <v>2021</v>
      </c>
      <c r="C1473" s="152">
        <v>4</v>
      </c>
      <c r="D1473" s="33" t="str">
        <f t="shared" si="437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38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39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51"/>
        <v>7590000</v>
      </c>
      <c r="AA1473" s="13">
        <v>7.17E-2</v>
      </c>
      <c r="AB1473" s="21">
        <f t="shared" si="440"/>
        <v>544203</v>
      </c>
      <c r="AC1473" s="130">
        <f t="shared" si="441"/>
        <v>65304.36</v>
      </c>
      <c r="AD1473" s="169">
        <v>0.12</v>
      </c>
      <c r="AE1473" s="154">
        <f t="shared" si="442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33"/>
        <v>477651199.57437885</v>
      </c>
      <c r="AJ1473" s="19">
        <f t="shared" si="434"/>
        <v>56918800.518691957</v>
      </c>
      <c r="AK1473" s="20">
        <f t="shared" si="443"/>
        <v>0.11916394341605475</v>
      </c>
      <c r="AL1473" s="17"/>
      <c r="AM1473" s="17"/>
      <c r="AN1473" s="17"/>
      <c r="AO1473" s="17"/>
      <c r="AP1473" s="28" t="str">
        <f t="shared" si="444"/>
        <v>CancelCANCEL</v>
      </c>
      <c r="AQ1473" s="28" t="str">
        <f t="shared" si="445"/>
        <v>CancelCANCELJPY</v>
      </c>
      <c r="AR1473" s="206" t="str">
        <f t="shared" si="446"/>
        <v>YAMAHA_Mounter</v>
      </c>
      <c r="AS1473" s="22" t="str">
        <f t="shared" si="447"/>
        <v/>
      </c>
      <c r="AT1473" s="24" t="str">
        <f t="shared" si="448"/>
        <v/>
      </c>
    </row>
    <row r="1474" spans="1:46" s="12" customFormat="1">
      <c r="A1474" s="33" t="str">
        <f t="shared" si="436"/>
        <v>FY 23/24</v>
      </c>
      <c r="B1474" s="23">
        <v>2024</v>
      </c>
      <c r="C1474" s="152">
        <v>3</v>
      </c>
      <c r="D1474" s="33" t="str">
        <f t="shared" si="437"/>
        <v>Q4</v>
      </c>
      <c r="E1474" s="33" t="str">
        <f>IF(G1474="Cancel","Cancel",IF(G1474="TBA","TBA",IFERROR(IF(I1474="Q4","FY "&amp;RIGHT(F1474,2)-1&amp;"/"&amp;RIGHT(F1474,2),"FY "&amp;RIGHT(F1474,2)&amp;"/"&amp;RIGHT(F1474,2)+1),"")))</f>
        <v>FY 24/25</v>
      </c>
      <c r="F1474" s="23">
        <v>2024</v>
      </c>
      <c r="G1474" s="23">
        <v>6</v>
      </c>
      <c r="H1474" s="29"/>
      <c r="I1474" s="33" t="str">
        <f t="shared" si="438"/>
        <v>Q1</v>
      </c>
      <c r="J1474" s="188" t="s">
        <v>3341</v>
      </c>
      <c r="K1474" s="29" t="s">
        <v>3342</v>
      </c>
      <c r="L1474" s="17" t="s">
        <v>93</v>
      </c>
      <c r="M1474" s="22" t="s">
        <v>61</v>
      </c>
      <c r="N1474" s="22">
        <v>1</v>
      </c>
      <c r="O1474" s="22"/>
      <c r="P1474" s="33" t="str">
        <f t="shared" si="439"/>
        <v>MAIN UNIT</v>
      </c>
      <c r="Q1474" s="13" t="s">
        <v>62</v>
      </c>
      <c r="R1474" s="22" t="s">
        <v>63</v>
      </c>
      <c r="S1474" s="22" t="s">
        <v>50</v>
      </c>
      <c r="T1474" s="22" t="s">
        <v>79</v>
      </c>
      <c r="U1474" s="22" t="s">
        <v>79</v>
      </c>
      <c r="V1474" s="22" t="s">
        <v>113</v>
      </c>
      <c r="W1474" s="22" t="s">
        <v>110</v>
      </c>
      <c r="X1474" s="30">
        <v>11000000</v>
      </c>
      <c r="Y1474" s="31" t="str">
        <f>IF(W1474="","",IF(W1474="RMB","1.13", "1"))</f>
        <v>1</v>
      </c>
      <c r="Z1474" s="18">
        <f t="shared" si="451"/>
        <v>11000000</v>
      </c>
      <c r="AA1474" s="13">
        <v>5.0999999999999997E-2</v>
      </c>
      <c r="AB1474" s="21">
        <f t="shared" si="440"/>
        <v>561000</v>
      </c>
      <c r="AC1474" s="25">
        <f t="shared" si="441"/>
        <v>40392</v>
      </c>
      <c r="AD1474" s="170">
        <v>7.1999999999999995E-2</v>
      </c>
      <c r="AE1474" s="26">
        <f t="shared" si="442"/>
        <v>0</v>
      </c>
      <c r="AF1474" s="26" t="str">
        <f>IF(AND(COUNTIFS($J$18:J1474,J1474)=1,AE1474=1),1,"")</f>
        <v/>
      </c>
      <c r="AG1474" s="26" t="str">
        <f>IF(C1474="","",IF(AND(COUNTIFS($J$18:J1474,J1474)=1,C1474&lt;&gt;""),1,""))</f>
        <v/>
      </c>
      <c r="AH1474" s="26" t="str">
        <f>IF(G1474="","",IF(AND(COUNTIFS($J$18:J1474,J1474)=1,G1474&lt;&gt;""),1,""))</f>
        <v/>
      </c>
      <c r="AI1474" s="27">
        <f t="shared" ref="AI1474:AI1537" si="452">IF(P1474="C66 SERVICE","",SUMIFS(AB:AB,F:F,F1474,G:G,G1474,E:E,E1474))</f>
        <v>27308925.887079656</v>
      </c>
      <c r="AJ1474" s="27">
        <f t="shared" ref="AJ1474:AJ1537" si="453">IF(P1474="C66 SERVICE","",SUMIFS(AC:AC,F:F,F1474,G:G,G1474,E:E,E1474))</f>
        <v>3319273.860338124</v>
      </c>
      <c r="AK1474" s="28">
        <f t="shared" si="443"/>
        <v>0.12154538314919709</v>
      </c>
      <c r="AL1474" s="24"/>
      <c r="AM1474" s="24"/>
      <c r="AN1474" s="24"/>
      <c r="AO1474" s="24"/>
      <c r="AP1474" s="28" t="str">
        <f t="shared" si="444"/>
        <v>20246</v>
      </c>
      <c r="AQ1474" s="28" t="str">
        <f t="shared" si="445"/>
        <v>20246JPY</v>
      </c>
      <c r="AR1474" s="206" t="str">
        <f t="shared" si="446"/>
        <v>YAMAHA_Mounter</v>
      </c>
      <c r="AS1474" s="22">
        <f t="shared" si="447"/>
        <v>3</v>
      </c>
      <c r="AT1474" s="24" t="str">
        <f t="shared" si="448"/>
        <v>0-3 months</v>
      </c>
    </row>
    <row r="1475" spans="1:46" s="12" customFormat="1">
      <c r="A1475" s="33" t="str">
        <f t="shared" si="436"/>
        <v>FY 23/24</v>
      </c>
      <c r="B1475" s="23">
        <v>2024</v>
      </c>
      <c r="C1475" s="152">
        <v>3</v>
      </c>
      <c r="D1475" s="33" t="str">
        <f t="shared" si="437"/>
        <v>Q4</v>
      </c>
      <c r="E1475" s="33" t="str">
        <f>IF(G1475="Cancel","Cancel",IF(G1475="TBA","TBA",IFERROR(IF(I1475="Q4","FY "&amp;RIGHT(F1475,2)-1&amp;"/"&amp;RIGHT(F1475,2),"FY "&amp;RIGHT(F1475,2)&amp;"/"&amp;RIGHT(F1475,2)+1),"")))</f>
        <v>FY 24/25</v>
      </c>
      <c r="F1475" s="23">
        <v>2024</v>
      </c>
      <c r="G1475" s="23">
        <v>6</v>
      </c>
      <c r="H1475" s="29"/>
      <c r="I1475" s="33" t="str">
        <f t="shared" si="438"/>
        <v>Q1</v>
      </c>
      <c r="J1475" s="188" t="s">
        <v>3341</v>
      </c>
      <c r="K1475" s="29" t="s">
        <v>3342</v>
      </c>
      <c r="L1475" s="17" t="s">
        <v>93</v>
      </c>
      <c r="M1475" s="22" t="s">
        <v>61</v>
      </c>
      <c r="N1475" s="22">
        <v>1</v>
      </c>
      <c r="O1475" s="22"/>
      <c r="P1475" s="33" t="str">
        <f t="shared" si="439"/>
        <v>MAIN UNIT</v>
      </c>
      <c r="Q1475" s="13" t="s">
        <v>62</v>
      </c>
      <c r="R1475" s="22" t="s">
        <v>63</v>
      </c>
      <c r="S1475" s="22" t="s">
        <v>50</v>
      </c>
      <c r="T1475" s="22" t="s">
        <v>79</v>
      </c>
      <c r="U1475" s="22" t="s">
        <v>79</v>
      </c>
      <c r="V1475" s="22" t="s">
        <v>113</v>
      </c>
      <c r="W1475" s="22" t="s">
        <v>110</v>
      </c>
      <c r="X1475" s="30">
        <v>11000000</v>
      </c>
      <c r="Y1475" s="31" t="str">
        <f>IF(W1475="","",IF(W1475="RMB","1.13", "1"))</f>
        <v>1</v>
      </c>
      <c r="Z1475" s="18">
        <f t="shared" si="451"/>
        <v>11000000</v>
      </c>
      <c r="AA1475" s="13">
        <v>5.0999999999999997E-2</v>
      </c>
      <c r="AB1475" s="21">
        <f t="shared" si="440"/>
        <v>561000</v>
      </c>
      <c r="AC1475" s="25">
        <f t="shared" si="441"/>
        <v>40392</v>
      </c>
      <c r="AD1475" s="170">
        <v>7.1999999999999995E-2</v>
      </c>
      <c r="AE1475" s="26">
        <f t="shared" si="442"/>
        <v>0</v>
      </c>
      <c r="AF1475" s="26" t="str">
        <f>IF(AND(COUNTIFS($J$18:J1475,J1475)=1,AE1475=1),1,"")</f>
        <v/>
      </c>
      <c r="AG1475" s="26" t="str">
        <f>IF(C1475="","",IF(AND(COUNTIFS($J$18:J1475,J1475)=1,C1475&lt;&gt;""),1,""))</f>
        <v/>
      </c>
      <c r="AH1475" s="26" t="str">
        <f>IF(G1475="","",IF(AND(COUNTIFS($J$18:J1475,J1475)=1,G1475&lt;&gt;""),1,""))</f>
        <v/>
      </c>
      <c r="AI1475" s="27">
        <f t="shared" si="452"/>
        <v>27308925.887079656</v>
      </c>
      <c r="AJ1475" s="27">
        <f t="shared" si="453"/>
        <v>3319273.860338124</v>
      </c>
      <c r="AK1475" s="28">
        <f t="shared" si="443"/>
        <v>0.12154538314919709</v>
      </c>
      <c r="AL1475" s="24"/>
      <c r="AM1475" s="24"/>
      <c r="AN1475" s="24"/>
      <c r="AO1475" s="24"/>
      <c r="AP1475" s="28" t="str">
        <f t="shared" si="444"/>
        <v>20246</v>
      </c>
      <c r="AQ1475" s="28" t="str">
        <f t="shared" si="445"/>
        <v>20246JPY</v>
      </c>
      <c r="AR1475" s="206" t="str">
        <f t="shared" si="446"/>
        <v>YAMAHA_Mounter</v>
      </c>
      <c r="AS1475" s="22">
        <f t="shared" si="447"/>
        <v>3</v>
      </c>
      <c r="AT1475" s="24" t="str">
        <f t="shared" si="448"/>
        <v>0-3 months</v>
      </c>
    </row>
    <row r="1476" spans="1:46" s="12" customFormat="1">
      <c r="A1476" s="33" t="str">
        <f t="shared" si="436"/>
        <v>FY 24/25</v>
      </c>
      <c r="B1476" s="23">
        <v>2024</v>
      </c>
      <c r="C1476" s="152">
        <v>4</v>
      </c>
      <c r="D1476" s="33" t="str">
        <f t="shared" si="437"/>
        <v>Q1</v>
      </c>
      <c r="E1476" s="33" t="str">
        <f>IF(G1476="Cancel","Cancel",IF(G1476="TBA","TBA",IFERROR(IF(I1476="Q4","FY "&amp;RIGHT(F1476,2)-1&amp;"/"&amp;RIGHT(F1476,2),"FY "&amp;RIGHT(F1476,2)&amp;"/"&amp;RIGHT(F1476,2)+1),"")))</f>
        <v>FY 24/25</v>
      </c>
      <c r="F1476" s="23">
        <v>2024</v>
      </c>
      <c r="G1476" s="23">
        <v>7</v>
      </c>
      <c r="H1476" s="29"/>
      <c r="I1476" s="33" t="str">
        <f t="shared" si="438"/>
        <v>Q2</v>
      </c>
      <c r="J1476" s="188" t="s">
        <v>3383</v>
      </c>
      <c r="K1476" s="29" t="s">
        <v>2421</v>
      </c>
      <c r="L1476" s="17" t="s">
        <v>93</v>
      </c>
      <c r="M1476" s="22" t="s">
        <v>61</v>
      </c>
      <c r="N1476" s="22">
        <v>1</v>
      </c>
      <c r="O1476" s="22"/>
      <c r="P1476" s="33" t="str">
        <f t="shared" si="439"/>
        <v>MAIN UNIT</v>
      </c>
      <c r="Q1476" s="13" t="s">
        <v>62</v>
      </c>
      <c r="R1476" s="22" t="s">
        <v>63</v>
      </c>
      <c r="S1476" s="22" t="s">
        <v>50</v>
      </c>
      <c r="T1476" s="22" t="s">
        <v>79</v>
      </c>
      <c r="U1476" s="22" t="s">
        <v>840</v>
      </c>
      <c r="V1476" s="22" t="s">
        <v>113</v>
      </c>
      <c r="W1476" s="22" t="s">
        <v>65</v>
      </c>
      <c r="X1476" s="30">
        <v>1075000</v>
      </c>
      <c r="Y1476" s="31" t="str">
        <f>IF(W1476="","",IF(W1476="RMB","1.13", "1"))</f>
        <v>1.13</v>
      </c>
      <c r="Z1476" s="18">
        <f t="shared" si="451"/>
        <v>1075000</v>
      </c>
      <c r="AA1476" s="22">
        <v>1.075</v>
      </c>
      <c r="AB1476" s="21">
        <f t="shared" si="440"/>
        <v>1022676.9911504426</v>
      </c>
      <c r="AC1476" s="25">
        <f t="shared" si="441"/>
        <v>117403.31858407082</v>
      </c>
      <c r="AD1476" s="169">
        <v>0.1148</v>
      </c>
      <c r="AE1476" s="26">
        <f t="shared" si="442"/>
        <v>0</v>
      </c>
      <c r="AF1476" s="26" t="str">
        <f>IF(AND(COUNTIFS($J$18:J1476,J1476)=1,AE1476=1),1,"")</f>
        <v/>
      </c>
      <c r="AG1476" s="26" t="str">
        <f>IF(C1476="","",IF(AND(COUNTIFS($J$18:J1476,J1476)=1,C1476&lt;&gt;""),1,""))</f>
        <v/>
      </c>
      <c r="AH1476" s="26" t="str">
        <f>IF(G1476="","",IF(AND(COUNTIFS($J$18:J1476,J1476)=1,G1476&lt;&gt;""),1,""))</f>
        <v/>
      </c>
      <c r="AI1476" s="27">
        <f t="shared" si="452"/>
        <v>25458266.694690265</v>
      </c>
      <c r="AJ1476" s="27">
        <f t="shared" si="453"/>
        <v>4116526.778578762</v>
      </c>
      <c r="AK1476" s="28">
        <f t="shared" si="443"/>
        <v>0.16169705612508689</v>
      </c>
      <c r="AL1476" s="24"/>
      <c r="AM1476" s="24"/>
      <c r="AN1476" s="24"/>
      <c r="AO1476" s="24"/>
      <c r="AP1476" s="28" t="str">
        <f t="shared" si="444"/>
        <v>20247</v>
      </c>
      <c r="AQ1476" s="28" t="str">
        <f t="shared" si="445"/>
        <v>20247RMB</v>
      </c>
      <c r="AR1476" s="206" t="str">
        <f t="shared" si="446"/>
        <v>YAMAHA_Mounter</v>
      </c>
      <c r="AS1476" s="22">
        <f t="shared" si="447"/>
        <v>3</v>
      </c>
      <c r="AT1476" s="24" t="str">
        <f t="shared" si="448"/>
        <v>0-3 months</v>
      </c>
    </row>
    <row r="1477" spans="1:46" s="12" customFormat="1">
      <c r="A1477" s="33" t="str">
        <f t="shared" si="436"/>
        <v>FY 19/20</v>
      </c>
      <c r="B1477" s="152">
        <v>2019</v>
      </c>
      <c r="C1477" s="152">
        <v>8</v>
      </c>
      <c r="D1477" s="33" t="str">
        <f t="shared" si="437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38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39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51"/>
        <v>678000</v>
      </c>
      <c r="AA1477" s="13">
        <v>1.135</v>
      </c>
      <c r="AB1477" s="21">
        <f t="shared" si="440"/>
        <v>681000</v>
      </c>
      <c r="AC1477" s="130">
        <f t="shared" si="441"/>
        <v>112160.70000000001</v>
      </c>
      <c r="AD1477" s="169">
        <v>0.16470000000000001</v>
      </c>
      <c r="AE1477" s="154">
        <f t="shared" si="442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52"/>
        <v>21386017.707964607</v>
      </c>
      <c r="AJ1477" s="19">
        <f t="shared" si="453"/>
        <v>2238764.3265707968</v>
      </c>
      <c r="AK1477" s="20">
        <f t="shared" si="443"/>
        <v>0.10468355339185161</v>
      </c>
      <c r="AL1477" s="17"/>
      <c r="AM1477" s="17"/>
      <c r="AN1477" s="17"/>
      <c r="AO1477" s="17"/>
      <c r="AP1477" s="28" t="str">
        <f t="shared" si="444"/>
        <v>20198</v>
      </c>
      <c r="AQ1477" s="28" t="str">
        <f t="shared" si="445"/>
        <v>20198RMB</v>
      </c>
      <c r="AR1477" s="206" t="str">
        <f t="shared" si="446"/>
        <v>YAMAHA_Mounter</v>
      </c>
      <c r="AS1477" s="22">
        <f t="shared" si="447"/>
        <v>0</v>
      </c>
      <c r="AT1477" s="24" t="str">
        <f t="shared" si="448"/>
        <v>0-3 months</v>
      </c>
    </row>
    <row r="1478" spans="1:46" s="12" customFormat="1">
      <c r="A1478" s="33" t="str">
        <f t="shared" si="436"/>
        <v>FY 19/20</v>
      </c>
      <c r="B1478" s="152">
        <v>2019</v>
      </c>
      <c r="C1478" s="152">
        <v>4</v>
      </c>
      <c r="D1478" s="33" t="str">
        <f t="shared" si="437"/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si="438"/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si="439"/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51"/>
        <v>15029975</v>
      </c>
      <c r="AA1478" s="13">
        <v>7.17E-2</v>
      </c>
      <c r="AB1478" s="21">
        <f t="shared" si="440"/>
        <v>1077649.2075</v>
      </c>
      <c r="AC1478" s="130">
        <f t="shared" si="441"/>
        <v>129317.90489999999</v>
      </c>
      <c r="AD1478" s="169">
        <v>0.12</v>
      </c>
      <c r="AE1478" s="154">
        <f t="shared" si="442"/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52"/>
        <v>14593788.187146019</v>
      </c>
      <c r="AJ1478" s="19">
        <f t="shared" si="453"/>
        <v>1868647.7321969916</v>
      </c>
      <c r="AK1478" s="20">
        <f t="shared" si="443"/>
        <v>0.12804404916900652</v>
      </c>
      <c r="AL1478" s="17"/>
      <c r="AM1478" s="17"/>
      <c r="AN1478" s="17"/>
      <c r="AO1478" s="17"/>
      <c r="AP1478" s="28" t="str">
        <f t="shared" si="444"/>
        <v>20195</v>
      </c>
      <c r="AQ1478" s="28" t="str">
        <f t="shared" si="445"/>
        <v>20195JPY</v>
      </c>
      <c r="AR1478" s="206" t="str">
        <f t="shared" si="446"/>
        <v>YAMAHA_Mounter</v>
      </c>
      <c r="AS1478" s="22">
        <f t="shared" si="447"/>
        <v>1</v>
      </c>
      <c r="AT1478" s="24" t="str">
        <f t="shared" si="448"/>
        <v>0-3 months</v>
      </c>
    </row>
    <row r="1479" spans="1:46" s="12" customFormat="1">
      <c r="A1479" s="33" t="str">
        <f t="shared" si="436"/>
        <v>FY 19/20</v>
      </c>
      <c r="B1479" s="152">
        <v>2019</v>
      </c>
      <c r="C1479" s="152">
        <v>11</v>
      </c>
      <c r="D1479" s="33" t="str">
        <f t="shared" si="437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38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39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51"/>
        <v>11200000</v>
      </c>
      <c r="AA1479" s="13">
        <v>7.3499999999999996E-2</v>
      </c>
      <c r="AB1479" s="21">
        <f t="shared" si="440"/>
        <v>823200</v>
      </c>
      <c r="AC1479" s="130">
        <f t="shared" si="441"/>
        <v>91128.24</v>
      </c>
      <c r="AD1479" s="169">
        <v>0.11070000000000001</v>
      </c>
      <c r="AE1479" s="154">
        <f t="shared" si="442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52"/>
        <v>26147030.909862842</v>
      </c>
      <c r="AJ1479" s="19">
        <f t="shared" si="453"/>
        <v>2743862.8630715334</v>
      </c>
      <c r="AK1479" s="20">
        <f t="shared" si="443"/>
        <v>0.10493974908778378</v>
      </c>
      <c r="AL1479" s="17"/>
      <c r="AM1479" s="17"/>
      <c r="AN1479" s="17"/>
      <c r="AO1479" s="17"/>
      <c r="AP1479" s="28" t="str">
        <f t="shared" si="444"/>
        <v>201911</v>
      </c>
      <c r="AQ1479" s="28" t="str">
        <f t="shared" si="445"/>
        <v>201911JPY</v>
      </c>
      <c r="AR1479" s="206" t="str">
        <f t="shared" si="446"/>
        <v>YAMAHA_Mounter</v>
      </c>
      <c r="AS1479" s="22">
        <f t="shared" si="447"/>
        <v>0</v>
      </c>
      <c r="AT1479" s="24" t="str">
        <f t="shared" si="448"/>
        <v>0-3 months</v>
      </c>
    </row>
    <row r="1480" spans="1:46" s="12" customFormat="1">
      <c r="A1480" s="33" t="str">
        <f t="shared" si="436"/>
        <v>cancel</v>
      </c>
      <c r="B1480" s="152"/>
      <c r="C1480" s="152" t="s">
        <v>1617</v>
      </c>
      <c r="D1480" s="33" t="str">
        <f t="shared" si="437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38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39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51"/>
        <v>14642375</v>
      </c>
      <c r="AA1480" s="13">
        <v>7.3400000000000007E-2</v>
      </c>
      <c r="AB1480" s="21">
        <f t="shared" si="440"/>
        <v>1074750.3250000002</v>
      </c>
      <c r="AC1480" s="130">
        <f t="shared" si="441"/>
        <v>128970.03900000002</v>
      </c>
      <c r="AD1480" s="169">
        <v>0.12</v>
      </c>
      <c r="AE1480" s="154">
        <f t="shared" si="442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52"/>
        <v>477651199.57437885</v>
      </c>
      <c r="AJ1480" s="19">
        <f t="shared" si="453"/>
        <v>56918800.518691957</v>
      </c>
      <c r="AK1480" s="20">
        <f t="shared" si="443"/>
        <v>0.11916394341605475</v>
      </c>
      <c r="AL1480" s="17"/>
      <c r="AM1480" s="17"/>
      <c r="AN1480" s="17"/>
      <c r="AO1480" s="17"/>
      <c r="AP1480" s="28" t="str">
        <f t="shared" si="444"/>
        <v>CancelCancel</v>
      </c>
      <c r="AQ1480" s="28" t="str">
        <f t="shared" si="445"/>
        <v>CancelCancelJPY</v>
      </c>
      <c r="AR1480" s="206" t="str">
        <f t="shared" si="446"/>
        <v>YAMAHA_Mounter</v>
      </c>
      <c r="AS1480" s="22" t="str">
        <f t="shared" si="447"/>
        <v/>
      </c>
      <c r="AT1480" s="24" t="str">
        <f t="shared" si="448"/>
        <v/>
      </c>
    </row>
    <row r="1481" spans="1:46" s="12" customFormat="1">
      <c r="A1481" s="33" t="str">
        <f t="shared" si="436"/>
        <v>cancel</v>
      </c>
      <c r="B1481" s="152"/>
      <c r="C1481" s="152" t="s">
        <v>1617</v>
      </c>
      <c r="D1481" s="33" t="str">
        <f t="shared" si="437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38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39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51"/>
        <v>14642375</v>
      </c>
      <c r="AA1481" s="13">
        <v>7.3400000000000007E-2</v>
      </c>
      <c r="AB1481" s="21">
        <f t="shared" si="440"/>
        <v>1074750.3250000002</v>
      </c>
      <c r="AC1481" s="130">
        <f t="shared" si="441"/>
        <v>128970.03900000002</v>
      </c>
      <c r="AD1481" s="169">
        <v>0.12</v>
      </c>
      <c r="AE1481" s="154">
        <f t="shared" si="442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52"/>
        <v>477651199.57437885</v>
      </c>
      <c r="AJ1481" s="19">
        <f t="shared" si="453"/>
        <v>56918800.518691957</v>
      </c>
      <c r="AK1481" s="20">
        <f t="shared" si="443"/>
        <v>0.11916394341605475</v>
      </c>
      <c r="AL1481" s="17"/>
      <c r="AM1481" s="17"/>
      <c r="AN1481" s="17"/>
      <c r="AO1481" s="17"/>
      <c r="AP1481" s="28" t="str">
        <f t="shared" si="444"/>
        <v>CancelCancel</v>
      </c>
      <c r="AQ1481" s="28" t="str">
        <f t="shared" si="445"/>
        <v>CancelCancelJPY</v>
      </c>
      <c r="AR1481" s="206" t="str">
        <f t="shared" si="446"/>
        <v>YAMAHA_Mounter</v>
      </c>
      <c r="AS1481" s="22" t="str">
        <f t="shared" si="447"/>
        <v/>
      </c>
      <c r="AT1481" s="24" t="str">
        <f t="shared" si="448"/>
        <v/>
      </c>
    </row>
    <row r="1482" spans="1:46" s="12" customFormat="1">
      <c r="A1482" s="33" t="str">
        <f t="shared" si="436"/>
        <v>FY 22/23</v>
      </c>
      <c r="B1482" s="152">
        <v>2022</v>
      </c>
      <c r="C1482" s="152">
        <v>5</v>
      </c>
      <c r="D1482" s="33" t="str">
        <f t="shared" si="437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38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39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si="451"/>
        <v>66000</v>
      </c>
      <c r="AA1482" s="13">
        <v>1.17</v>
      </c>
      <c r="AB1482" s="21">
        <f t="shared" si="440"/>
        <v>68336.283185840715</v>
      </c>
      <c r="AC1482" s="130">
        <f t="shared" si="441"/>
        <v>24853.906194690269</v>
      </c>
      <c r="AD1482" s="169">
        <v>0.36370000000000002</v>
      </c>
      <c r="AE1482" s="154">
        <f t="shared" si="442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52"/>
        <v>36480247.665929198</v>
      </c>
      <c r="AJ1482" s="19">
        <f t="shared" si="453"/>
        <v>5330996.6372757526</v>
      </c>
      <c r="AK1482" s="20">
        <f t="shared" si="443"/>
        <v>0.14613378412599562</v>
      </c>
      <c r="AL1482" s="17"/>
      <c r="AM1482" s="17"/>
      <c r="AN1482" s="17"/>
      <c r="AO1482" s="17"/>
      <c r="AP1482" s="28" t="str">
        <f t="shared" si="444"/>
        <v>20227</v>
      </c>
      <c r="AQ1482" s="28" t="str">
        <f t="shared" si="445"/>
        <v>20227RMB</v>
      </c>
      <c r="AR1482" s="206" t="str">
        <f t="shared" si="446"/>
        <v>LOCAL SUPPLIER</v>
      </c>
      <c r="AS1482" s="22">
        <f t="shared" si="447"/>
        <v>2</v>
      </c>
      <c r="AT1482" s="24" t="str">
        <f t="shared" si="448"/>
        <v>0-3 months</v>
      </c>
    </row>
    <row r="1483" spans="1:46" s="12" customFormat="1">
      <c r="A1483" s="33" t="str">
        <f t="shared" si="436"/>
        <v>FY 19/20</v>
      </c>
      <c r="B1483" s="152">
        <v>2020</v>
      </c>
      <c r="C1483" s="152">
        <v>2</v>
      </c>
      <c r="D1483" s="33" t="str">
        <f t="shared" si="437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38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39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1"/>
        <v>610000</v>
      </c>
      <c r="AA1483" s="13">
        <v>1.089</v>
      </c>
      <c r="AB1483" s="21">
        <f t="shared" si="440"/>
        <v>587867.25663716823</v>
      </c>
      <c r="AC1483" s="130">
        <f t="shared" si="441"/>
        <v>72425.24601769913</v>
      </c>
      <c r="AD1483" s="169">
        <v>0.1232</v>
      </c>
      <c r="AE1483" s="154">
        <f t="shared" si="442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52"/>
        <v>29183109.05575221</v>
      </c>
      <c r="AJ1483" s="19">
        <f t="shared" si="453"/>
        <v>3741266.5648721238</v>
      </c>
      <c r="AK1483" s="20">
        <f t="shared" si="443"/>
        <v>0.12819972531798121</v>
      </c>
      <c r="AL1483" s="17"/>
      <c r="AM1483" s="17"/>
      <c r="AN1483" s="17"/>
      <c r="AO1483" s="17"/>
      <c r="AP1483" s="28" t="str">
        <f t="shared" si="444"/>
        <v>20206</v>
      </c>
      <c r="AQ1483" s="28" t="str">
        <f t="shared" si="445"/>
        <v>20206RMB</v>
      </c>
      <c r="AR1483" s="206" t="str">
        <f t="shared" si="446"/>
        <v>YAMAHA_Mounter</v>
      </c>
      <c r="AS1483" s="22">
        <f t="shared" si="447"/>
        <v>4</v>
      </c>
      <c r="AT1483" s="24" t="str">
        <f t="shared" si="448"/>
        <v>4-6 months</v>
      </c>
    </row>
    <row r="1484" spans="1:46" s="12" customFormat="1">
      <c r="A1484" s="33" t="str">
        <f t="shared" si="436"/>
        <v>FY 19/20</v>
      </c>
      <c r="B1484" s="152">
        <v>2020</v>
      </c>
      <c r="C1484" s="152">
        <v>2</v>
      </c>
      <c r="D1484" s="33" t="str">
        <f t="shared" si="437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38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39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1"/>
        <v>697470</v>
      </c>
      <c r="AA1484" s="13">
        <v>1.089</v>
      </c>
      <c r="AB1484" s="21">
        <f t="shared" si="440"/>
        <v>672163.5663716814</v>
      </c>
      <c r="AC1484" s="130">
        <f t="shared" si="441"/>
        <v>83012.200446902658</v>
      </c>
      <c r="AD1484" s="169">
        <v>0.1235</v>
      </c>
      <c r="AE1484" s="154">
        <f t="shared" si="442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52"/>
        <v>29183109.05575221</v>
      </c>
      <c r="AJ1484" s="19">
        <f t="shared" si="453"/>
        <v>3741266.5648721238</v>
      </c>
      <c r="AK1484" s="20">
        <f t="shared" si="443"/>
        <v>0.12819972531798121</v>
      </c>
      <c r="AL1484" s="17"/>
      <c r="AM1484" s="17"/>
      <c r="AN1484" s="17"/>
      <c r="AO1484" s="17"/>
      <c r="AP1484" s="28" t="str">
        <f t="shared" si="444"/>
        <v>20206</v>
      </c>
      <c r="AQ1484" s="28" t="str">
        <f t="shared" si="445"/>
        <v>20206RMB</v>
      </c>
      <c r="AR1484" s="206" t="str">
        <f t="shared" si="446"/>
        <v>LOCAL SUPPLIER</v>
      </c>
      <c r="AS1484" s="22">
        <f t="shared" si="447"/>
        <v>4</v>
      </c>
      <c r="AT1484" s="24" t="str">
        <f t="shared" si="448"/>
        <v>4-6 months</v>
      </c>
    </row>
    <row r="1485" spans="1:46" s="12" customFormat="1">
      <c r="A1485" s="33" t="str">
        <f t="shared" si="436"/>
        <v>FY 19/20</v>
      </c>
      <c r="B1485" s="152">
        <v>2020</v>
      </c>
      <c r="C1485" s="152">
        <v>2</v>
      </c>
      <c r="D1485" s="33" t="str">
        <f t="shared" si="437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38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39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1"/>
        <v>275000</v>
      </c>
      <c r="AA1485" s="13">
        <v>1.089</v>
      </c>
      <c r="AB1485" s="21">
        <f t="shared" si="440"/>
        <v>265022.12389380531</v>
      </c>
      <c r="AC1485" s="130">
        <f t="shared" si="441"/>
        <v>32730.232300884956</v>
      </c>
      <c r="AD1485" s="169">
        <v>0.1235</v>
      </c>
      <c r="AE1485" s="154">
        <f t="shared" si="442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52"/>
        <v>29183109.05575221</v>
      </c>
      <c r="AJ1485" s="19">
        <f t="shared" si="453"/>
        <v>3741266.5648721238</v>
      </c>
      <c r="AK1485" s="20">
        <f t="shared" si="443"/>
        <v>0.12819972531798121</v>
      </c>
      <c r="AL1485" s="17"/>
      <c r="AM1485" s="17"/>
      <c r="AN1485" s="17"/>
      <c r="AO1485" s="17"/>
      <c r="AP1485" s="28" t="str">
        <f t="shared" si="444"/>
        <v>20206</v>
      </c>
      <c r="AQ1485" s="28" t="str">
        <f t="shared" si="445"/>
        <v>20206RMB</v>
      </c>
      <c r="AR1485" s="206" t="str">
        <f t="shared" si="446"/>
        <v>HELLER</v>
      </c>
      <c r="AS1485" s="22">
        <f t="shared" si="447"/>
        <v>4</v>
      </c>
      <c r="AT1485" s="24" t="str">
        <f t="shared" si="448"/>
        <v>4-6 months</v>
      </c>
    </row>
    <row r="1486" spans="1:46" s="12" customFormat="1">
      <c r="A1486" s="33" t="str">
        <f t="shared" si="436"/>
        <v>FY 19/20</v>
      </c>
      <c r="B1486" s="152">
        <v>2020</v>
      </c>
      <c r="C1486" s="152">
        <v>2</v>
      </c>
      <c r="D1486" s="33" t="str">
        <f t="shared" si="437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38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39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1"/>
        <v>30000</v>
      </c>
      <c r="AA1486" s="13">
        <v>1.089</v>
      </c>
      <c r="AB1486" s="21">
        <f t="shared" si="440"/>
        <v>28911.504424778763</v>
      </c>
      <c r="AC1486" s="130">
        <f t="shared" si="441"/>
        <v>3570.570796460177</v>
      </c>
      <c r="AD1486" s="169">
        <v>0.1235</v>
      </c>
      <c r="AE1486" s="154">
        <f t="shared" si="442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52"/>
        <v>29183109.05575221</v>
      </c>
      <c r="AJ1486" s="19">
        <f t="shared" si="453"/>
        <v>3741266.5648721238</v>
      </c>
      <c r="AK1486" s="20">
        <f t="shared" si="443"/>
        <v>0.12819972531798121</v>
      </c>
      <c r="AL1486" s="17"/>
      <c r="AM1486" s="17"/>
      <c r="AN1486" s="17"/>
      <c r="AO1486" s="17"/>
      <c r="AP1486" s="28" t="str">
        <f t="shared" si="444"/>
        <v>20206</v>
      </c>
      <c r="AQ1486" s="28" t="str">
        <f t="shared" si="445"/>
        <v>20206RMB</v>
      </c>
      <c r="AR1486" s="206" t="str">
        <f t="shared" si="446"/>
        <v>SOLDERSTAR</v>
      </c>
      <c r="AS1486" s="22">
        <f t="shared" si="447"/>
        <v>4</v>
      </c>
      <c r="AT1486" s="24" t="str">
        <f t="shared" si="448"/>
        <v>4-6 months</v>
      </c>
    </row>
    <row r="1487" spans="1:46" s="12" customFormat="1">
      <c r="A1487" s="33" t="str">
        <f t="shared" si="436"/>
        <v>FY 23/24</v>
      </c>
      <c r="B1487" s="152">
        <v>2023</v>
      </c>
      <c r="C1487" s="152">
        <v>4</v>
      </c>
      <c r="D1487" s="33" t="str">
        <f t="shared" si="437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38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39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1"/>
        <v>601936</v>
      </c>
      <c r="AA1487" s="13">
        <v>1.135</v>
      </c>
      <c r="AB1487" s="21">
        <f t="shared" si="440"/>
        <v>604599.43362831871</v>
      </c>
      <c r="AC1487" s="130">
        <f t="shared" si="441"/>
        <v>129686.57851327436</v>
      </c>
      <c r="AD1487" s="169">
        <v>0.2145</v>
      </c>
      <c r="AE1487" s="154">
        <f t="shared" si="442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52"/>
        <v>28177779.013274338</v>
      </c>
      <c r="AJ1487" s="19">
        <f t="shared" si="453"/>
        <v>4727216.6376190251</v>
      </c>
      <c r="AK1487" s="20">
        <f t="shared" si="443"/>
        <v>0.1677639900359808</v>
      </c>
      <c r="AL1487" s="17"/>
      <c r="AM1487" s="17"/>
      <c r="AN1487" s="17"/>
      <c r="AO1487" s="17"/>
      <c r="AP1487" s="28" t="str">
        <f t="shared" si="444"/>
        <v>20235</v>
      </c>
      <c r="AQ1487" s="28" t="str">
        <f t="shared" si="445"/>
        <v>20235RMB</v>
      </c>
      <c r="AR1487" s="206" t="str">
        <f t="shared" si="446"/>
        <v>YAMAHA_Mounter</v>
      </c>
      <c r="AS1487" s="22">
        <f t="shared" si="447"/>
        <v>1</v>
      </c>
      <c r="AT1487" s="24" t="str">
        <f t="shared" si="448"/>
        <v>0-3 months</v>
      </c>
    </row>
    <row r="1488" spans="1:46" s="12" customFormat="1">
      <c r="A1488" s="33" t="str">
        <f t="shared" si="436"/>
        <v>FY 23/24</v>
      </c>
      <c r="B1488" s="152">
        <v>2023</v>
      </c>
      <c r="C1488" s="152">
        <v>4</v>
      </c>
      <c r="D1488" s="33" t="str">
        <f t="shared" si="437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38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39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1"/>
        <v>300000</v>
      </c>
      <c r="AA1488" s="13">
        <v>1.135</v>
      </c>
      <c r="AB1488" s="21">
        <f t="shared" si="440"/>
        <v>301327.4336283186</v>
      </c>
      <c r="AC1488" s="130">
        <f t="shared" si="441"/>
        <v>58608.185840707971</v>
      </c>
      <c r="AD1488" s="169">
        <v>0.19450000000000001</v>
      </c>
      <c r="AE1488" s="154">
        <f t="shared" si="442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52"/>
        <v>28177779.013274338</v>
      </c>
      <c r="AJ1488" s="19">
        <f t="shared" si="453"/>
        <v>4727216.6376190251</v>
      </c>
      <c r="AK1488" s="20">
        <f t="shared" si="443"/>
        <v>0.1677639900359808</v>
      </c>
      <c r="AL1488" s="17"/>
      <c r="AM1488" s="17"/>
      <c r="AN1488" s="17"/>
      <c r="AO1488" s="17"/>
      <c r="AP1488" s="28" t="str">
        <f t="shared" si="444"/>
        <v>20235</v>
      </c>
      <c r="AQ1488" s="28" t="str">
        <f t="shared" si="445"/>
        <v>20235RMB</v>
      </c>
      <c r="AR1488" s="206" t="str">
        <f t="shared" si="446"/>
        <v>LOCAL SUPPLIER</v>
      </c>
      <c r="AS1488" s="22">
        <f t="shared" si="447"/>
        <v>1</v>
      </c>
      <c r="AT1488" s="24" t="str">
        <f t="shared" si="448"/>
        <v>0-3 months</v>
      </c>
    </row>
    <row r="1489" spans="1:46" s="12" customFormat="1" ht="28">
      <c r="A1489" s="33" t="str">
        <f t="shared" si="436"/>
        <v>FY 23/24</v>
      </c>
      <c r="B1489" s="152">
        <v>2023</v>
      </c>
      <c r="C1489" s="152">
        <v>4</v>
      </c>
      <c r="D1489" s="33" t="str">
        <f t="shared" si="437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38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39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1"/>
        <v>4500</v>
      </c>
      <c r="AA1489" s="13">
        <v>1.105</v>
      </c>
      <c r="AB1489" s="21">
        <f t="shared" si="440"/>
        <v>4400.4424778761068</v>
      </c>
      <c r="AC1489" s="130">
        <f t="shared" si="441"/>
        <v>855.88606194690283</v>
      </c>
      <c r="AD1489" s="169">
        <v>0.19450000000000001</v>
      </c>
      <c r="AE1489" s="154">
        <f t="shared" si="442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52"/>
        <v>28177779.013274338</v>
      </c>
      <c r="AJ1489" s="19">
        <f t="shared" si="453"/>
        <v>4727216.6376190251</v>
      </c>
      <c r="AK1489" s="20">
        <f t="shared" si="443"/>
        <v>0.1677639900359808</v>
      </c>
      <c r="AL1489" s="17"/>
      <c r="AM1489" s="17"/>
      <c r="AN1489" s="17"/>
      <c r="AO1489" s="17"/>
      <c r="AP1489" s="28" t="str">
        <f t="shared" si="444"/>
        <v>20235</v>
      </c>
      <c r="AQ1489" s="28" t="str">
        <f t="shared" si="445"/>
        <v>20235RMB</v>
      </c>
      <c r="AR1489" s="206" t="str">
        <f t="shared" si="446"/>
        <v>LOCAL SUPPLIER</v>
      </c>
      <c r="AS1489" s="22">
        <f t="shared" si="447"/>
        <v>1</v>
      </c>
      <c r="AT1489" s="24" t="str">
        <f t="shared" si="448"/>
        <v>0-3 months</v>
      </c>
    </row>
    <row r="1490" spans="1:46" s="12" customFormat="1">
      <c r="A1490" s="33" t="str">
        <f t="shared" si="436"/>
        <v>FY 20/21</v>
      </c>
      <c r="B1490" s="152">
        <v>2020</v>
      </c>
      <c r="C1490" s="152">
        <v>6</v>
      </c>
      <c r="D1490" s="33" t="str">
        <f t="shared" si="437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38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39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1"/>
        <v>506850</v>
      </c>
      <c r="AA1490" s="13">
        <v>1.105</v>
      </c>
      <c r="AB1490" s="21">
        <f t="shared" si="440"/>
        <v>495636.5044247788</v>
      </c>
      <c r="AC1490" s="130">
        <f t="shared" si="441"/>
        <v>43616.012389380528</v>
      </c>
      <c r="AD1490" s="169">
        <v>8.7999999999999995E-2</v>
      </c>
      <c r="AE1490" s="154">
        <f t="shared" si="442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52"/>
        <v>37969334.083628319</v>
      </c>
      <c r="AJ1490" s="19">
        <f t="shared" si="453"/>
        <v>5097226.4551657084</v>
      </c>
      <c r="AK1490" s="20">
        <f t="shared" si="443"/>
        <v>0.13424587441904964</v>
      </c>
      <c r="AL1490" s="17"/>
      <c r="AM1490" s="17"/>
      <c r="AN1490" s="17"/>
      <c r="AO1490" s="17"/>
      <c r="AP1490" s="28" t="str">
        <f t="shared" si="444"/>
        <v>20208</v>
      </c>
      <c r="AQ1490" s="28" t="str">
        <f t="shared" si="445"/>
        <v>20208RMB</v>
      </c>
      <c r="AR1490" s="206" t="str">
        <f t="shared" si="446"/>
        <v>YAMAHA_Mounter</v>
      </c>
      <c r="AS1490" s="22">
        <f t="shared" si="447"/>
        <v>2</v>
      </c>
      <c r="AT1490" s="24" t="str">
        <f t="shared" si="448"/>
        <v>0-3 months</v>
      </c>
    </row>
    <row r="1491" spans="1:46" s="12" customFormat="1">
      <c r="A1491" s="33" t="str">
        <f t="shared" si="436"/>
        <v>FY 21/22</v>
      </c>
      <c r="B1491" s="152">
        <v>2022</v>
      </c>
      <c r="C1491" s="152">
        <v>3</v>
      </c>
      <c r="D1491" s="33" t="str">
        <f t="shared" si="437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38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39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1"/>
        <v>800000</v>
      </c>
      <c r="AA1491" s="13">
        <v>1.17</v>
      </c>
      <c r="AB1491" s="21">
        <f t="shared" si="440"/>
        <v>828318.5840707965</v>
      </c>
      <c r="AC1491" s="130">
        <f t="shared" si="441"/>
        <v>152576.28318584073</v>
      </c>
      <c r="AD1491" s="169">
        <v>0.1842</v>
      </c>
      <c r="AE1491" s="154">
        <f t="shared" si="442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52"/>
        <v>36480247.665929198</v>
      </c>
      <c r="AJ1491" s="19">
        <f t="shared" si="453"/>
        <v>5330996.6372757526</v>
      </c>
      <c r="AK1491" s="20">
        <f t="shared" si="443"/>
        <v>0.14613378412599562</v>
      </c>
      <c r="AL1491" s="17"/>
      <c r="AM1491" s="17"/>
      <c r="AN1491" s="17"/>
      <c r="AO1491" s="17"/>
      <c r="AP1491" s="28" t="str">
        <f t="shared" si="444"/>
        <v>20227</v>
      </c>
      <c r="AQ1491" s="28" t="str">
        <f t="shared" si="445"/>
        <v>20227RMB</v>
      </c>
      <c r="AR1491" s="206" t="str">
        <f t="shared" si="446"/>
        <v>YAMAHA_Mounter</v>
      </c>
      <c r="AS1491" s="22">
        <f t="shared" si="447"/>
        <v>4</v>
      </c>
      <c r="AT1491" s="24" t="str">
        <f t="shared" si="448"/>
        <v>4-6 months</v>
      </c>
    </row>
    <row r="1492" spans="1:46" s="12" customFormat="1">
      <c r="A1492" s="33" t="str">
        <f t="shared" si="436"/>
        <v>FY 21/22</v>
      </c>
      <c r="B1492" s="152">
        <v>2022</v>
      </c>
      <c r="C1492" s="152">
        <v>3</v>
      </c>
      <c r="D1492" s="33" t="str">
        <f t="shared" si="437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38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39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1"/>
        <v>894000</v>
      </c>
      <c r="AA1492" s="13">
        <v>1.17</v>
      </c>
      <c r="AB1492" s="21">
        <f t="shared" si="440"/>
        <v>925646.01769911509</v>
      </c>
      <c r="AC1492" s="130">
        <f t="shared" si="441"/>
        <v>170503.996460177</v>
      </c>
      <c r="AD1492" s="169">
        <v>0.1842</v>
      </c>
      <c r="AE1492" s="154">
        <f t="shared" si="442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52"/>
        <v>36480247.665929198</v>
      </c>
      <c r="AJ1492" s="19">
        <f t="shared" si="453"/>
        <v>5330996.6372757526</v>
      </c>
      <c r="AK1492" s="20">
        <f t="shared" si="443"/>
        <v>0.14613378412599562</v>
      </c>
      <c r="AL1492" s="17"/>
      <c r="AM1492" s="17"/>
      <c r="AN1492" s="17"/>
      <c r="AO1492" s="17"/>
      <c r="AP1492" s="28" t="str">
        <f t="shared" si="444"/>
        <v>20227</v>
      </c>
      <c r="AQ1492" s="28" t="str">
        <f t="shared" si="445"/>
        <v>20227RMB</v>
      </c>
      <c r="AR1492" s="206" t="str">
        <f t="shared" si="446"/>
        <v>YAMAHA_Mounter</v>
      </c>
      <c r="AS1492" s="22">
        <f t="shared" si="447"/>
        <v>4</v>
      </c>
      <c r="AT1492" s="24" t="str">
        <f t="shared" si="448"/>
        <v>4-6 months</v>
      </c>
    </row>
    <row r="1493" spans="1:46" s="12" customFormat="1">
      <c r="A1493" s="33" t="str">
        <f t="shared" si="436"/>
        <v>FY 23/24</v>
      </c>
      <c r="B1493" s="23">
        <v>2024</v>
      </c>
      <c r="C1493" s="152">
        <v>2</v>
      </c>
      <c r="D1493" s="33" t="str">
        <f t="shared" si="437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38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39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1"/>
        <v>365000</v>
      </c>
      <c r="AA1493" s="22">
        <v>1.0900000000000001</v>
      </c>
      <c r="AB1493" s="21">
        <f t="shared" si="440"/>
        <v>352079.64601769915</v>
      </c>
      <c r="AC1493" s="25">
        <f t="shared" si="441"/>
        <v>57917.101769911511</v>
      </c>
      <c r="AD1493" s="209">
        <v>0.16450000000000001</v>
      </c>
      <c r="AE1493" s="26">
        <f t="shared" si="442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52"/>
        <v>21194662.454867262</v>
      </c>
      <c r="AJ1493" s="27">
        <f t="shared" si="453"/>
        <v>2981431.5970757701</v>
      </c>
      <c r="AK1493" s="28">
        <f t="shared" si="443"/>
        <v>0.14066898226968919</v>
      </c>
      <c r="AL1493" s="24"/>
      <c r="AM1493" s="24"/>
      <c r="AN1493" s="24"/>
      <c r="AO1493" s="24"/>
      <c r="AP1493" s="28" t="str">
        <f t="shared" si="444"/>
        <v>20243</v>
      </c>
      <c r="AQ1493" s="28" t="str">
        <f t="shared" si="445"/>
        <v>20243RMB</v>
      </c>
      <c r="AR1493" s="206" t="str">
        <f t="shared" si="446"/>
        <v>YAMAHA_Non_Mounter</v>
      </c>
      <c r="AS1493" s="22">
        <f t="shared" si="447"/>
        <v>1</v>
      </c>
      <c r="AT1493" s="24" t="str">
        <f t="shared" si="448"/>
        <v>0-3 months</v>
      </c>
    </row>
    <row r="1494" spans="1:46" s="12" customFormat="1">
      <c r="A1494" s="33" t="str">
        <f t="shared" si="436"/>
        <v>FY 20/21</v>
      </c>
      <c r="B1494" s="152">
        <v>2021</v>
      </c>
      <c r="C1494" s="152">
        <v>2</v>
      </c>
      <c r="D1494" s="33" t="str">
        <f t="shared" si="437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38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39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1"/>
        <v>505000</v>
      </c>
      <c r="AA1494" s="13">
        <v>1.2</v>
      </c>
      <c r="AB1494" s="21">
        <f t="shared" si="440"/>
        <v>536283.18584070797</v>
      </c>
      <c r="AC1494" s="130">
        <f t="shared" si="441"/>
        <v>77868.318584070788</v>
      </c>
      <c r="AD1494" s="169">
        <v>0.1452</v>
      </c>
      <c r="AE1494" s="154">
        <f t="shared" si="442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52"/>
        <v>31097187.02948761</v>
      </c>
      <c r="AJ1494" s="19">
        <f t="shared" si="453"/>
        <v>3892353.6644401965</v>
      </c>
      <c r="AK1494" s="20">
        <f t="shared" si="443"/>
        <v>0.12516738767237401</v>
      </c>
      <c r="AL1494" s="17"/>
      <c r="AM1494" s="17"/>
      <c r="AN1494" s="17"/>
      <c r="AO1494" s="17"/>
      <c r="AP1494" s="28" t="str">
        <f t="shared" si="444"/>
        <v>20212</v>
      </c>
      <c r="AQ1494" s="28" t="str">
        <f t="shared" si="445"/>
        <v>20212RMB</v>
      </c>
      <c r="AR1494" s="206" t="str">
        <f t="shared" si="446"/>
        <v>YAMAHA_Mounter</v>
      </c>
      <c r="AS1494" s="22">
        <f t="shared" si="447"/>
        <v>0</v>
      </c>
      <c r="AT1494" s="24" t="str">
        <f t="shared" si="448"/>
        <v>0-3 months</v>
      </c>
    </row>
    <row r="1495" spans="1:46" s="12" customFormat="1">
      <c r="A1495" s="33" t="str">
        <f t="shared" si="436"/>
        <v>FY 19/20</v>
      </c>
      <c r="B1495" s="152">
        <v>2019</v>
      </c>
      <c r="C1495" s="152">
        <v>8</v>
      </c>
      <c r="D1495" s="33" t="str">
        <f t="shared" si="437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38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39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1"/>
        <v>647000</v>
      </c>
      <c r="AA1495" s="13">
        <v>1.095</v>
      </c>
      <c r="AB1495" s="21">
        <f t="shared" si="440"/>
        <v>626960.17699115048</v>
      </c>
      <c r="AC1495" s="130">
        <f t="shared" si="441"/>
        <v>56426.41592920354</v>
      </c>
      <c r="AD1495" s="169">
        <v>0.09</v>
      </c>
      <c r="AE1495" s="154">
        <f t="shared" si="442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52"/>
        <v>37599388.802345134</v>
      </c>
      <c r="AJ1495" s="19">
        <f t="shared" si="453"/>
        <v>4866784.3630338367</v>
      </c>
      <c r="AK1495" s="20">
        <f t="shared" si="443"/>
        <v>0.12943785838163113</v>
      </c>
      <c r="AL1495" s="17"/>
      <c r="AM1495" s="17"/>
      <c r="AN1495" s="17"/>
      <c r="AO1495" s="17"/>
      <c r="AP1495" s="28" t="str">
        <f t="shared" si="444"/>
        <v>20199</v>
      </c>
      <c r="AQ1495" s="28" t="str">
        <f t="shared" si="445"/>
        <v>20199RMB</v>
      </c>
      <c r="AR1495" s="206" t="str">
        <f t="shared" si="446"/>
        <v>YAMAHA_Mounter</v>
      </c>
      <c r="AS1495" s="22">
        <f t="shared" si="447"/>
        <v>1</v>
      </c>
      <c r="AT1495" s="24" t="str">
        <f t="shared" si="448"/>
        <v>0-3 months</v>
      </c>
    </row>
    <row r="1496" spans="1:46" s="12" customFormat="1">
      <c r="A1496" s="33" t="str">
        <f t="shared" si="436"/>
        <v>FY 20/21</v>
      </c>
      <c r="B1496" s="152">
        <v>2020</v>
      </c>
      <c r="C1496" s="152">
        <v>8</v>
      </c>
      <c r="D1496" s="33" t="str">
        <f t="shared" si="437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38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39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1"/>
        <v>611500</v>
      </c>
      <c r="AA1496" s="13">
        <v>1.1299999999999999</v>
      </c>
      <c r="AB1496" s="21">
        <f t="shared" si="440"/>
        <v>611500</v>
      </c>
      <c r="AC1496" s="130">
        <f t="shared" si="441"/>
        <v>71728.95</v>
      </c>
      <c r="AD1496" s="169">
        <v>0.1173</v>
      </c>
      <c r="AE1496" s="154">
        <f t="shared" si="442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52"/>
        <v>47907808.356810622</v>
      </c>
      <c r="AJ1496" s="19">
        <f t="shared" si="453"/>
        <v>6027384.8806384448</v>
      </c>
      <c r="AK1496" s="20">
        <f t="shared" si="443"/>
        <v>0.12581216063459488</v>
      </c>
      <c r="AL1496" s="17"/>
      <c r="AM1496" s="17"/>
      <c r="AN1496" s="17"/>
      <c r="AO1496" s="17"/>
      <c r="AP1496" s="28" t="str">
        <f t="shared" si="444"/>
        <v>20209</v>
      </c>
      <c r="AQ1496" s="28" t="str">
        <f t="shared" si="445"/>
        <v>20209RMB</v>
      </c>
      <c r="AR1496" s="206" t="str">
        <f t="shared" si="446"/>
        <v>YAMAHA_Mounter</v>
      </c>
      <c r="AS1496" s="22">
        <f t="shared" si="447"/>
        <v>1</v>
      </c>
      <c r="AT1496" s="24" t="str">
        <f t="shared" si="448"/>
        <v>0-3 months</v>
      </c>
    </row>
    <row r="1497" spans="1:46" s="12" customFormat="1">
      <c r="A1497" s="33" t="str">
        <f t="shared" si="436"/>
        <v>FY 20/21</v>
      </c>
      <c r="B1497" s="152">
        <v>2020</v>
      </c>
      <c r="C1497" s="152">
        <v>8</v>
      </c>
      <c r="D1497" s="33" t="str">
        <f t="shared" si="437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38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39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1"/>
        <v>611500</v>
      </c>
      <c r="AA1497" s="13">
        <v>1.1299999999999999</v>
      </c>
      <c r="AB1497" s="21">
        <f t="shared" si="440"/>
        <v>611500</v>
      </c>
      <c r="AC1497" s="130">
        <f t="shared" si="441"/>
        <v>71728.95</v>
      </c>
      <c r="AD1497" s="169">
        <v>0.1173</v>
      </c>
      <c r="AE1497" s="154">
        <f t="shared" si="442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52"/>
        <v>47907808.356810622</v>
      </c>
      <c r="AJ1497" s="19">
        <f t="shared" si="453"/>
        <v>6027384.8806384448</v>
      </c>
      <c r="AK1497" s="20">
        <f t="shared" si="443"/>
        <v>0.12581216063459488</v>
      </c>
      <c r="AL1497" s="17"/>
      <c r="AM1497" s="17"/>
      <c r="AN1497" s="17"/>
      <c r="AO1497" s="17"/>
      <c r="AP1497" s="28" t="str">
        <f t="shared" si="444"/>
        <v>20209</v>
      </c>
      <c r="AQ1497" s="28" t="str">
        <f t="shared" si="445"/>
        <v>20209RMB</v>
      </c>
      <c r="AR1497" s="206" t="str">
        <f t="shared" si="446"/>
        <v>YAMAHA_Mounter</v>
      </c>
      <c r="AS1497" s="22">
        <f t="shared" si="447"/>
        <v>1</v>
      </c>
      <c r="AT1497" s="24" t="str">
        <f t="shared" si="448"/>
        <v>0-3 months</v>
      </c>
    </row>
    <row r="1498" spans="1:46" s="12" customFormat="1">
      <c r="A1498" s="33" t="str">
        <f t="shared" si="436"/>
        <v>FY 20/21</v>
      </c>
      <c r="B1498" s="152">
        <v>2020</v>
      </c>
      <c r="C1498" s="152">
        <v>9</v>
      </c>
      <c r="D1498" s="33" t="str">
        <f t="shared" si="437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38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39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4">IF(W1498="RMB","1.13", "1")</f>
        <v>1.13</v>
      </c>
      <c r="Z1498" s="18">
        <f t="shared" si="451"/>
        <v>1120000</v>
      </c>
      <c r="AA1498" s="13">
        <v>1.135</v>
      </c>
      <c r="AB1498" s="21">
        <f t="shared" si="440"/>
        <v>1124955.7522123896</v>
      </c>
      <c r="AC1498" s="130">
        <f t="shared" si="441"/>
        <v>144444.3185840708</v>
      </c>
      <c r="AD1498" s="169">
        <v>0.12839999999999999</v>
      </c>
      <c r="AE1498" s="154">
        <f t="shared" si="442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52"/>
        <v>28011162.254106201</v>
      </c>
      <c r="AJ1498" s="19">
        <f t="shared" si="453"/>
        <v>3401347.1124888416</v>
      </c>
      <c r="AK1498" s="20">
        <f t="shared" si="443"/>
        <v>0.12142827497242578</v>
      </c>
      <c r="AL1498" s="17"/>
      <c r="AM1498" s="17"/>
      <c r="AN1498" s="17"/>
      <c r="AO1498" s="17"/>
      <c r="AP1498" s="28" t="str">
        <f t="shared" si="444"/>
        <v>202010</v>
      </c>
      <c r="AQ1498" s="28" t="str">
        <f t="shared" si="445"/>
        <v>202010RMB</v>
      </c>
      <c r="AR1498" s="206" t="str">
        <f t="shared" si="446"/>
        <v>YAMAHA_Mounter</v>
      </c>
      <c r="AS1498" s="22">
        <f t="shared" si="447"/>
        <v>1</v>
      </c>
      <c r="AT1498" s="24" t="str">
        <f t="shared" si="448"/>
        <v>0-3 months</v>
      </c>
    </row>
    <row r="1499" spans="1:46" s="12" customFormat="1">
      <c r="A1499" s="33" t="str">
        <f t="shared" si="436"/>
        <v>FY 20/21</v>
      </c>
      <c r="B1499" s="152">
        <v>2021</v>
      </c>
      <c r="C1499" s="152">
        <v>2</v>
      </c>
      <c r="D1499" s="33" t="str">
        <f t="shared" si="437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38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39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4"/>
        <v>1</v>
      </c>
      <c r="Z1499" s="18">
        <f t="shared" si="451"/>
        <v>13700000</v>
      </c>
      <c r="AA1499" s="13">
        <v>7.2800000000000004E-2</v>
      </c>
      <c r="AB1499" s="21">
        <f t="shared" si="440"/>
        <v>997360</v>
      </c>
      <c r="AC1499" s="130">
        <f t="shared" si="441"/>
        <v>124670</v>
      </c>
      <c r="AD1499" s="169">
        <v>0.125</v>
      </c>
      <c r="AE1499" s="154">
        <f t="shared" si="442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52"/>
        <v>63006605.696460173</v>
      </c>
      <c r="AJ1499" s="19">
        <f t="shared" si="453"/>
        <v>8897485.660753984</v>
      </c>
      <c r="AK1499" s="20">
        <f t="shared" si="443"/>
        <v>0.141215124388995</v>
      </c>
      <c r="AL1499" s="17"/>
      <c r="AM1499" s="17"/>
      <c r="AN1499" s="17"/>
      <c r="AO1499" s="17"/>
      <c r="AP1499" s="28" t="str">
        <f t="shared" si="444"/>
        <v>20215</v>
      </c>
      <c r="AQ1499" s="28" t="str">
        <f t="shared" si="445"/>
        <v>20215JPY</v>
      </c>
      <c r="AR1499" s="206" t="str">
        <f t="shared" si="446"/>
        <v>YAMAHA_Mounter</v>
      </c>
      <c r="AS1499" s="22">
        <f t="shared" si="447"/>
        <v>3</v>
      </c>
      <c r="AT1499" s="24" t="str">
        <f t="shared" si="448"/>
        <v>0-3 months</v>
      </c>
    </row>
    <row r="1500" spans="1:46" s="12" customFormat="1">
      <c r="A1500" s="33" t="str">
        <f t="shared" si="436"/>
        <v>FY 22/23</v>
      </c>
      <c r="B1500" s="152">
        <v>2022</v>
      </c>
      <c r="C1500" s="152">
        <v>6</v>
      </c>
      <c r="D1500" s="33" t="str">
        <f t="shared" si="437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38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39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4"/>
        <v>1.13</v>
      </c>
      <c r="Z1500" s="18">
        <f t="shared" si="451"/>
        <v>450000</v>
      </c>
      <c r="AA1500" s="13">
        <v>1.175</v>
      </c>
      <c r="AB1500" s="21">
        <f t="shared" si="440"/>
        <v>467920.35398230091</v>
      </c>
      <c r="AC1500" s="130">
        <f t="shared" si="441"/>
        <v>86050.553097345139</v>
      </c>
      <c r="AD1500" s="169">
        <v>0.18390000000000001</v>
      </c>
      <c r="AE1500" s="154">
        <f t="shared" si="442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52"/>
        <v>35682787.057522126</v>
      </c>
      <c r="AJ1500" s="19">
        <f t="shared" si="453"/>
        <v>5833368.3789623892</v>
      </c>
      <c r="AK1500" s="20">
        <f t="shared" si="443"/>
        <v>0.16347849649632912</v>
      </c>
      <c r="AL1500" s="17"/>
      <c r="AM1500" s="17"/>
      <c r="AN1500" s="17"/>
      <c r="AO1500" s="17"/>
      <c r="AP1500" s="28" t="str">
        <f t="shared" si="444"/>
        <v>20226</v>
      </c>
      <c r="AQ1500" s="28" t="str">
        <f t="shared" si="445"/>
        <v>20226RMB</v>
      </c>
      <c r="AR1500" s="206" t="str">
        <f t="shared" si="446"/>
        <v>YAMAHA_Mounter</v>
      </c>
      <c r="AS1500" s="22">
        <f t="shared" si="447"/>
        <v>0</v>
      </c>
      <c r="AT1500" s="24" t="str">
        <f t="shared" si="448"/>
        <v>0-3 months</v>
      </c>
    </row>
    <row r="1501" spans="1:46" s="12" customFormat="1">
      <c r="A1501" s="33" t="str">
        <f t="shared" si="436"/>
        <v>FY 22/23</v>
      </c>
      <c r="B1501" s="152">
        <v>2022</v>
      </c>
      <c r="C1501" s="152">
        <v>6</v>
      </c>
      <c r="D1501" s="33" t="str">
        <f t="shared" si="437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38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39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4"/>
        <v>1.13</v>
      </c>
      <c r="Z1501" s="18">
        <f t="shared" si="451"/>
        <v>450000</v>
      </c>
      <c r="AA1501" s="13">
        <v>1.175</v>
      </c>
      <c r="AB1501" s="21">
        <f t="shared" si="440"/>
        <v>467920.35398230091</v>
      </c>
      <c r="AC1501" s="130">
        <f t="shared" si="441"/>
        <v>86050.553097345139</v>
      </c>
      <c r="AD1501" s="169">
        <v>0.18390000000000001</v>
      </c>
      <c r="AE1501" s="154">
        <f t="shared" si="442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52"/>
        <v>35682787.057522126</v>
      </c>
      <c r="AJ1501" s="19">
        <f t="shared" si="453"/>
        <v>5833368.3789623892</v>
      </c>
      <c r="AK1501" s="20">
        <f t="shared" si="443"/>
        <v>0.16347849649632912</v>
      </c>
      <c r="AL1501" s="17"/>
      <c r="AM1501" s="17"/>
      <c r="AN1501" s="17"/>
      <c r="AO1501" s="17"/>
      <c r="AP1501" s="28" t="str">
        <f t="shared" si="444"/>
        <v>20226</v>
      </c>
      <c r="AQ1501" s="28" t="str">
        <f t="shared" si="445"/>
        <v>20226RMB</v>
      </c>
      <c r="AR1501" s="206" t="str">
        <f t="shared" si="446"/>
        <v>YAMAHA_Mounter</v>
      </c>
      <c r="AS1501" s="22">
        <f t="shared" si="447"/>
        <v>0</v>
      </c>
      <c r="AT1501" s="24" t="str">
        <f t="shared" si="448"/>
        <v>0-3 months</v>
      </c>
    </row>
    <row r="1502" spans="1:46" s="12" customFormat="1">
      <c r="A1502" s="33" t="str">
        <f t="shared" si="436"/>
        <v>FY 20/21</v>
      </c>
      <c r="B1502" s="152">
        <v>2021</v>
      </c>
      <c r="C1502" s="152">
        <v>3</v>
      </c>
      <c r="D1502" s="33" t="str">
        <f t="shared" si="437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38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39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4"/>
        <v>1</v>
      </c>
      <c r="Z1502" s="18">
        <f t="shared" si="451"/>
        <v>11530000</v>
      </c>
      <c r="AA1502" s="13">
        <v>7.4499999999999997E-2</v>
      </c>
      <c r="AB1502" s="21">
        <f t="shared" si="440"/>
        <v>858985</v>
      </c>
      <c r="AC1502" s="130">
        <f t="shared" si="441"/>
        <v>77738.142500000002</v>
      </c>
      <c r="AD1502" s="169">
        <v>9.0499999999999997E-2</v>
      </c>
      <c r="AE1502" s="154">
        <f t="shared" si="442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52"/>
        <v>57778307.282035396</v>
      </c>
      <c r="AJ1502" s="19">
        <f t="shared" si="453"/>
        <v>7259860.7225420559</v>
      </c>
      <c r="AK1502" s="20">
        <f t="shared" si="443"/>
        <v>0.12565028406083667</v>
      </c>
      <c r="AL1502" s="17"/>
      <c r="AM1502" s="17"/>
      <c r="AN1502" s="17"/>
      <c r="AO1502" s="17"/>
      <c r="AP1502" s="28" t="str">
        <f t="shared" si="444"/>
        <v>20213</v>
      </c>
      <c r="AQ1502" s="28" t="str">
        <f t="shared" si="445"/>
        <v>20213JPY</v>
      </c>
      <c r="AR1502" s="206" t="str">
        <f t="shared" si="446"/>
        <v>YAMAHA_Mounter</v>
      </c>
      <c r="AS1502" s="22">
        <f t="shared" si="447"/>
        <v>0</v>
      </c>
      <c r="AT1502" s="24" t="str">
        <f t="shared" si="448"/>
        <v>0-3 months</v>
      </c>
    </row>
    <row r="1503" spans="1:46" s="12" customFormat="1">
      <c r="A1503" s="33" t="str">
        <f t="shared" si="436"/>
        <v>FY 20/21</v>
      </c>
      <c r="B1503" s="152">
        <v>2021</v>
      </c>
      <c r="C1503" s="152">
        <v>3</v>
      </c>
      <c r="D1503" s="33" t="str">
        <f t="shared" si="437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38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39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4"/>
        <v>1</v>
      </c>
      <c r="Z1503" s="18">
        <f t="shared" si="451"/>
        <v>11530000</v>
      </c>
      <c r="AA1503" s="13">
        <v>7.4499999999999997E-2</v>
      </c>
      <c r="AB1503" s="21">
        <f t="shared" si="440"/>
        <v>858985</v>
      </c>
      <c r="AC1503" s="130">
        <f t="shared" si="441"/>
        <v>77738.142500000002</v>
      </c>
      <c r="AD1503" s="169">
        <v>9.0499999999999997E-2</v>
      </c>
      <c r="AE1503" s="154">
        <f t="shared" si="442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52"/>
        <v>57778307.282035396</v>
      </c>
      <c r="AJ1503" s="19">
        <f t="shared" si="453"/>
        <v>7259860.7225420559</v>
      </c>
      <c r="AK1503" s="20">
        <f t="shared" si="443"/>
        <v>0.12565028406083667</v>
      </c>
      <c r="AL1503" s="17"/>
      <c r="AM1503" s="17"/>
      <c r="AN1503" s="17"/>
      <c r="AO1503" s="17"/>
      <c r="AP1503" s="28" t="str">
        <f t="shared" si="444"/>
        <v>20213</v>
      </c>
      <c r="AQ1503" s="28" t="str">
        <f t="shared" si="445"/>
        <v>20213JPY</v>
      </c>
      <c r="AR1503" s="206" t="str">
        <f t="shared" si="446"/>
        <v>YAMAHA_Mounter</v>
      </c>
      <c r="AS1503" s="22">
        <f t="shared" si="447"/>
        <v>0</v>
      </c>
      <c r="AT1503" s="24" t="str">
        <f t="shared" si="448"/>
        <v>0-3 months</v>
      </c>
    </row>
    <row r="1504" spans="1:46" s="12" customFormat="1">
      <c r="A1504" s="33" t="str">
        <f t="shared" ref="A1504:A1567" si="455">IF(C1504="cancel","cancel",IFERROR(IF(D1504="Q4","FY "&amp;RIGHT(B1504,2)-1&amp;"/"&amp;RIGHT(B1504,2),"FY "&amp;RIGHT(B1504,2)&amp;"/"&amp;RIGHT(B1504,2)+1),""))</f>
        <v>FY 20/21</v>
      </c>
      <c r="B1504" s="152">
        <v>2021</v>
      </c>
      <c r="C1504" s="152">
        <v>3</v>
      </c>
      <c r="D1504" s="33" t="str">
        <f t="shared" ref="D1504:D1567" si="456">IF(B1504="","",IF(AND(C1504&gt;=10,C1504&lt;=12),"Q3",IF(AND(C1504&gt;=1,C1504&lt;=3),"Q4",IF(AND(C1504&gt;=7,C1504&lt;=9),"Q2",IF(AND(C1504&gt;=4,C1504&lt;=6),"Q1")))))</f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ref="I1504:I1567" si="457">IFERROR(IF(F1504="","",IF(F1504="TBA","TBA",IF(F1504="Cancel","Cancel",IF(AND(G1504&gt;=10,G1504&lt;=12),"Q3",IF(AND(G1504&gt;=1,G1504&lt;=3),"Q4",IF(AND(G1504&gt;=7,G1504&lt;=9),"Q2",IF(AND(G1504&gt;=4,G1504&lt;=6),"Q1"))))))),"")</f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ref="P1504:P1567" si="458">IF(M1504="","",IF(AND(N1504&gt;0,L1504&lt;&gt;""),"MAIN UNIT",IF(AND(O1504&gt;0,L1504&lt;&gt;""),"SERVICE/ PARTS","C66 SERVICE/OTHERS")))</f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4"/>
        <v>1</v>
      </c>
      <c r="Z1504" s="18">
        <f t="shared" si="451"/>
        <v>7500000</v>
      </c>
      <c r="AA1504" s="13">
        <v>7.4499999999999997E-2</v>
      </c>
      <c r="AB1504" s="21">
        <f t="shared" ref="AB1504:AB1567" si="459">IF(AND(R1504&lt;&gt;"C66",R1504&lt;&gt;""),Z1504/Y1504*AA1504,"")</f>
        <v>558750</v>
      </c>
      <c r="AC1504" s="130">
        <f t="shared" ref="AC1504:AC1567" si="460">IF(R1504&lt;&gt;"",AB1504*AD1504,"")</f>
        <v>50566.875</v>
      </c>
      <c r="AD1504" s="169">
        <v>9.0499999999999997E-2</v>
      </c>
      <c r="AE1504" s="154">
        <f t="shared" ref="AE1504:AE1567" si="461">IF(Q1504="","",IF(Q1504="Yes",1,0))</f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52"/>
        <v>57778307.282035396</v>
      </c>
      <c r="AJ1504" s="19">
        <f t="shared" si="453"/>
        <v>7259860.7225420559</v>
      </c>
      <c r="AK1504" s="20">
        <f t="shared" ref="AK1504:AK1567" si="462">IF(AJ1504&gt;0,AJ1504/AI1504,"")</f>
        <v>0.12565028406083667</v>
      </c>
      <c r="AL1504" s="17"/>
      <c r="AM1504" s="17"/>
      <c r="AN1504" s="17"/>
      <c r="AO1504" s="17"/>
      <c r="AP1504" s="28" t="str">
        <f t="shared" ref="AP1504:AP1567" si="463">IF(F1504="","",F1504&amp;G1504)</f>
        <v>20213</v>
      </c>
      <c r="AQ1504" s="28" t="str">
        <f t="shared" ref="AQ1504:AQ1567" si="464">IF(W1504="","",F1504&amp;G1504&amp;W1504)</f>
        <v>20213JPY</v>
      </c>
      <c r="AR1504" s="206" t="str">
        <f t="shared" ref="AR1504:AR1567" si="465">IFERROR(IF(AND(M1504="YAMAHA", R1504="C28"), "YAMAHA_Non_Mounter", IF(AND(M1504="YAMAHA", R1504="C49"), "YAMAHA_Mounter", M1504)),"")</f>
        <v>YAMAHA_Mounter</v>
      </c>
      <c r="AS1504" s="22">
        <f t="shared" ref="AS1504:AS1567" si="466">IFERROR(IF(OR(G1504="TBA", G1504=""), "", DATEDIF(DATE(B1504, C1504, 1), DATE(F1504, G1504, 1), "M")),"")</f>
        <v>0</v>
      </c>
      <c r="AT1504" s="24" t="str">
        <f t="shared" ref="AT1504:AT1567" si="467">IF(ISNUMBER(AS1504), IF(AS1504&gt;=0, IF(AS1504&lt;=3, "0-3 months", IF(AS1504&lt;=6, "4-6 months", "&gt; 6 months"))), "")</f>
        <v>0-3 months</v>
      </c>
    </row>
    <row r="1505" spans="1:46" s="12" customFormat="1">
      <c r="A1505" s="33" t="str">
        <f t="shared" si="455"/>
        <v>FY 20/21</v>
      </c>
      <c r="B1505" s="152">
        <v>2021</v>
      </c>
      <c r="C1505" s="152">
        <v>3</v>
      </c>
      <c r="D1505" s="33" t="str">
        <f t="shared" si="456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57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58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4"/>
        <v>1</v>
      </c>
      <c r="Z1505" s="18">
        <f t="shared" si="451"/>
        <v>7500000</v>
      </c>
      <c r="AA1505" s="13">
        <v>7.4499999999999997E-2</v>
      </c>
      <c r="AB1505" s="21">
        <f t="shared" si="459"/>
        <v>558750</v>
      </c>
      <c r="AC1505" s="130">
        <f t="shared" si="460"/>
        <v>50566.875</v>
      </c>
      <c r="AD1505" s="169">
        <v>9.0499999999999997E-2</v>
      </c>
      <c r="AE1505" s="154">
        <f t="shared" si="461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52"/>
        <v>57778307.282035396</v>
      </c>
      <c r="AJ1505" s="19">
        <f t="shared" si="453"/>
        <v>7259860.7225420559</v>
      </c>
      <c r="AK1505" s="20">
        <f t="shared" si="462"/>
        <v>0.12565028406083667</v>
      </c>
      <c r="AL1505" s="17"/>
      <c r="AM1505" s="17"/>
      <c r="AN1505" s="17"/>
      <c r="AO1505" s="17"/>
      <c r="AP1505" s="28" t="str">
        <f t="shared" si="463"/>
        <v>20213</v>
      </c>
      <c r="AQ1505" s="28" t="str">
        <f t="shared" si="464"/>
        <v>20213JPY</v>
      </c>
      <c r="AR1505" s="206" t="str">
        <f t="shared" si="465"/>
        <v>YAMAHA_Mounter</v>
      </c>
      <c r="AS1505" s="22">
        <f t="shared" si="466"/>
        <v>0</v>
      </c>
      <c r="AT1505" s="24" t="str">
        <f t="shared" si="467"/>
        <v>0-3 months</v>
      </c>
    </row>
    <row r="1506" spans="1:46" s="12" customFormat="1">
      <c r="A1506" s="33" t="str">
        <f t="shared" si="455"/>
        <v>FY 20/21</v>
      </c>
      <c r="B1506" s="152">
        <v>2021</v>
      </c>
      <c r="C1506" s="152">
        <v>3</v>
      </c>
      <c r="D1506" s="33" t="str">
        <f t="shared" si="456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57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58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4"/>
        <v>1</v>
      </c>
      <c r="Z1506" s="18">
        <f t="shared" si="451"/>
        <v>11530000</v>
      </c>
      <c r="AA1506" s="13">
        <v>7.4499999999999997E-2</v>
      </c>
      <c r="AB1506" s="21">
        <f t="shared" si="459"/>
        <v>858985</v>
      </c>
      <c r="AC1506" s="130">
        <f t="shared" si="460"/>
        <v>77738.142500000002</v>
      </c>
      <c r="AD1506" s="169">
        <v>9.0499999999999997E-2</v>
      </c>
      <c r="AE1506" s="154">
        <f t="shared" si="461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52"/>
        <v>57778307.282035396</v>
      </c>
      <c r="AJ1506" s="19">
        <f t="shared" si="453"/>
        <v>7259860.7225420559</v>
      </c>
      <c r="AK1506" s="20">
        <f t="shared" si="462"/>
        <v>0.12565028406083667</v>
      </c>
      <c r="AL1506" s="17"/>
      <c r="AM1506" s="17"/>
      <c r="AN1506" s="17"/>
      <c r="AO1506" s="17"/>
      <c r="AP1506" s="28" t="str">
        <f t="shared" si="463"/>
        <v>20213</v>
      </c>
      <c r="AQ1506" s="28" t="str">
        <f t="shared" si="464"/>
        <v>20213JPY</v>
      </c>
      <c r="AR1506" s="206" t="str">
        <f t="shared" si="465"/>
        <v>YAMAHA_Mounter</v>
      </c>
      <c r="AS1506" s="22">
        <f t="shared" si="466"/>
        <v>0</v>
      </c>
      <c r="AT1506" s="24" t="str">
        <f t="shared" si="467"/>
        <v>0-3 months</v>
      </c>
    </row>
    <row r="1507" spans="1:46" s="12" customFormat="1">
      <c r="A1507" s="33" t="str">
        <f t="shared" si="455"/>
        <v>FY 20/21</v>
      </c>
      <c r="B1507" s="152">
        <v>2021</v>
      </c>
      <c r="C1507" s="152">
        <v>3</v>
      </c>
      <c r="D1507" s="33" t="str">
        <f t="shared" si="456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57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58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4"/>
        <v>1</v>
      </c>
      <c r="Z1507" s="18">
        <f t="shared" si="451"/>
        <v>11530000</v>
      </c>
      <c r="AA1507" s="13">
        <v>7.4499999999999997E-2</v>
      </c>
      <c r="AB1507" s="21">
        <f t="shared" si="459"/>
        <v>858985</v>
      </c>
      <c r="AC1507" s="130">
        <f t="shared" si="460"/>
        <v>77738.142500000002</v>
      </c>
      <c r="AD1507" s="169">
        <v>9.0499999999999997E-2</v>
      </c>
      <c r="AE1507" s="154">
        <f t="shared" si="461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52"/>
        <v>57778307.282035396</v>
      </c>
      <c r="AJ1507" s="19">
        <f t="shared" si="453"/>
        <v>7259860.7225420559</v>
      </c>
      <c r="AK1507" s="20">
        <f t="shared" si="462"/>
        <v>0.12565028406083667</v>
      </c>
      <c r="AL1507" s="17"/>
      <c r="AM1507" s="17"/>
      <c r="AN1507" s="17"/>
      <c r="AO1507" s="17"/>
      <c r="AP1507" s="28" t="str">
        <f t="shared" si="463"/>
        <v>20213</v>
      </c>
      <c r="AQ1507" s="28" t="str">
        <f t="shared" si="464"/>
        <v>20213JPY</v>
      </c>
      <c r="AR1507" s="206" t="str">
        <f t="shared" si="465"/>
        <v>YAMAHA_Mounter</v>
      </c>
      <c r="AS1507" s="22">
        <f t="shared" si="466"/>
        <v>0</v>
      </c>
      <c r="AT1507" s="24" t="str">
        <f t="shared" si="467"/>
        <v>0-3 months</v>
      </c>
    </row>
    <row r="1508" spans="1:46" s="12" customFormat="1">
      <c r="A1508" s="33" t="str">
        <f t="shared" si="455"/>
        <v>FY 20/21</v>
      </c>
      <c r="B1508" s="152">
        <v>2021</v>
      </c>
      <c r="C1508" s="152">
        <v>3</v>
      </c>
      <c r="D1508" s="33" t="str">
        <f t="shared" si="456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57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58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4"/>
        <v>1</v>
      </c>
      <c r="Z1508" s="18">
        <f t="shared" si="451"/>
        <v>7500000</v>
      </c>
      <c r="AA1508" s="13">
        <v>7.4499999999999997E-2</v>
      </c>
      <c r="AB1508" s="21">
        <f t="shared" si="459"/>
        <v>558750</v>
      </c>
      <c r="AC1508" s="130">
        <f t="shared" si="460"/>
        <v>50566.875</v>
      </c>
      <c r="AD1508" s="169">
        <v>9.0499999999999997E-2</v>
      </c>
      <c r="AE1508" s="154">
        <f t="shared" si="461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52"/>
        <v>57778307.282035396</v>
      </c>
      <c r="AJ1508" s="19">
        <f t="shared" si="453"/>
        <v>7259860.7225420559</v>
      </c>
      <c r="AK1508" s="20">
        <f t="shared" si="462"/>
        <v>0.12565028406083667</v>
      </c>
      <c r="AL1508" s="17"/>
      <c r="AM1508" s="17"/>
      <c r="AN1508" s="17"/>
      <c r="AO1508" s="17"/>
      <c r="AP1508" s="28" t="str">
        <f t="shared" si="463"/>
        <v>20213</v>
      </c>
      <c r="AQ1508" s="28" t="str">
        <f t="shared" si="464"/>
        <v>20213JPY</v>
      </c>
      <c r="AR1508" s="206" t="str">
        <f t="shared" si="465"/>
        <v>YAMAHA_Mounter</v>
      </c>
      <c r="AS1508" s="22">
        <f t="shared" si="466"/>
        <v>0</v>
      </c>
      <c r="AT1508" s="24" t="str">
        <f t="shared" si="467"/>
        <v>0-3 months</v>
      </c>
    </row>
    <row r="1509" spans="1:46" s="12" customFormat="1">
      <c r="A1509" s="33" t="str">
        <f t="shared" si="455"/>
        <v>FY 20/21</v>
      </c>
      <c r="B1509" s="152">
        <v>2021</v>
      </c>
      <c r="C1509" s="152">
        <v>3</v>
      </c>
      <c r="D1509" s="33" t="str">
        <f t="shared" si="456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57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58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4"/>
        <v>1</v>
      </c>
      <c r="Z1509" s="18">
        <f t="shared" si="451"/>
        <v>7500000</v>
      </c>
      <c r="AA1509" s="13">
        <v>7.4499999999999997E-2</v>
      </c>
      <c r="AB1509" s="21">
        <f t="shared" si="459"/>
        <v>558750</v>
      </c>
      <c r="AC1509" s="130">
        <f t="shared" si="460"/>
        <v>50566.875</v>
      </c>
      <c r="AD1509" s="169">
        <v>9.0499999999999997E-2</v>
      </c>
      <c r="AE1509" s="154">
        <f t="shared" si="461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52"/>
        <v>57778307.282035396</v>
      </c>
      <c r="AJ1509" s="19">
        <f t="shared" si="453"/>
        <v>7259860.7225420559</v>
      </c>
      <c r="AK1509" s="20">
        <f t="shared" si="462"/>
        <v>0.12565028406083667</v>
      </c>
      <c r="AL1509" s="17"/>
      <c r="AM1509" s="17"/>
      <c r="AN1509" s="17"/>
      <c r="AO1509" s="17"/>
      <c r="AP1509" s="28" t="str">
        <f t="shared" si="463"/>
        <v>20213</v>
      </c>
      <c r="AQ1509" s="28" t="str">
        <f t="shared" si="464"/>
        <v>20213JPY</v>
      </c>
      <c r="AR1509" s="206" t="str">
        <f t="shared" si="465"/>
        <v>YAMAHA_Mounter</v>
      </c>
      <c r="AS1509" s="22">
        <f t="shared" si="466"/>
        <v>0</v>
      </c>
      <c r="AT1509" s="24" t="str">
        <f t="shared" si="467"/>
        <v>0-3 months</v>
      </c>
    </row>
    <row r="1510" spans="1:46" s="12" customFormat="1">
      <c r="A1510" s="33" t="str">
        <f t="shared" si="455"/>
        <v>FY 23/24</v>
      </c>
      <c r="B1510" s="23">
        <v>2024</v>
      </c>
      <c r="C1510" s="152">
        <v>1</v>
      </c>
      <c r="D1510" s="33" t="str">
        <f t="shared" si="456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57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58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1"/>
        <v>8500000</v>
      </c>
      <c r="AA1510" s="13">
        <v>5.0999999999999997E-2</v>
      </c>
      <c r="AB1510" s="21">
        <f t="shared" si="459"/>
        <v>433500</v>
      </c>
      <c r="AC1510" s="25">
        <f t="shared" si="460"/>
        <v>52020</v>
      </c>
      <c r="AD1510" s="169">
        <v>0.12</v>
      </c>
      <c r="AE1510" s="26">
        <f t="shared" si="461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52"/>
        <v>477651199.57437885</v>
      </c>
      <c r="AJ1510" s="27">
        <f t="shared" si="453"/>
        <v>56918800.518691957</v>
      </c>
      <c r="AK1510" s="28">
        <f t="shared" si="462"/>
        <v>0.11916394341605475</v>
      </c>
      <c r="AL1510" s="24"/>
      <c r="AM1510" s="24"/>
      <c r="AN1510" s="24"/>
      <c r="AO1510" s="24"/>
      <c r="AP1510" s="28" t="str">
        <f t="shared" si="463"/>
        <v>CancelCancel</v>
      </c>
      <c r="AQ1510" s="28" t="str">
        <f t="shared" si="464"/>
        <v>CancelCancelJPY</v>
      </c>
      <c r="AR1510" s="206" t="str">
        <f t="shared" si="465"/>
        <v>YAMAHA_Non_Mounter</v>
      </c>
      <c r="AS1510" s="22" t="str">
        <f t="shared" si="466"/>
        <v/>
      </c>
      <c r="AT1510" s="24" t="str">
        <f t="shared" si="467"/>
        <v/>
      </c>
    </row>
    <row r="1511" spans="1:46" s="12" customFormat="1">
      <c r="A1511" s="33" t="str">
        <f t="shared" si="455"/>
        <v>FY 24/25</v>
      </c>
      <c r="B1511" s="23">
        <v>2024</v>
      </c>
      <c r="C1511" s="152">
        <v>4</v>
      </c>
      <c r="D1511" s="33" t="str">
        <f t="shared" si="456"/>
        <v>Q1</v>
      </c>
      <c r="E1511" s="33" t="str">
        <f>IF(G1511="Cancel","Cancel",IF(G1511="TBA","TBA",IFERROR(IF(I1511="Q4","FY "&amp;RIGHT(F1511,2)-1&amp;"/"&amp;RIGHT(F1511,2),"FY "&amp;RIGHT(F1511,2)&amp;"/"&amp;RIGHT(F1511,2)+1),"")))</f>
        <v>FY 24/25</v>
      </c>
      <c r="F1511" s="23">
        <v>2024</v>
      </c>
      <c r="G1511" s="23">
        <v>7</v>
      </c>
      <c r="H1511" s="29"/>
      <c r="I1511" s="33" t="str">
        <f t="shared" si="457"/>
        <v>Q2</v>
      </c>
      <c r="J1511" s="188" t="s">
        <v>3383</v>
      </c>
      <c r="K1511" s="29" t="s">
        <v>2421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58"/>
        <v>MAIN UNIT</v>
      </c>
      <c r="Q1511" s="13" t="s">
        <v>62</v>
      </c>
      <c r="R1511" s="22" t="s">
        <v>63</v>
      </c>
      <c r="S1511" s="22" t="s">
        <v>50</v>
      </c>
      <c r="T1511" s="22" t="s">
        <v>79</v>
      </c>
      <c r="U1511" s="22" t="s">
        <v>840</v>
      </c>
      <c r="V1511" s="22" t="s">
        <v>113</v>
      </c>
      <c r="W1511" s="22" t="s">
        <v>65</v>
      </c>
      <c r="X1511" s="30">
        <v>1075000</v>
      </c>
      <c r="Y1511" s="31" t="str">
        <f>IF(W1511="","",IF(W1511="RMB","1.13", "1"))</f>
        <v>1.13</v>
      </c>
      <c r="Z1511" s="18">
        <f t="shared" si="451"/>
        <v>1075000</v>
      </c>
      <c r="AA1511" s="22">
        <v>1.075</v>
      </c>
      <c r="AB1511" s="21">
        <f t="shared" si="459"/>
        <v>1022676.9911504426</v>
      </c>
      <c r="AC1511" s="25">
        <f t="shared" si="460"/>
        <v>117403.31858407082</v>
      </c>
      <c r="AD1511" s="169">
        <v>0.1148</v>
      </c>
      <c r="AE1511" s="26">
        <f t="shared" si="461"/>
        <v>0</v>
      </c>
      <c r="AF1511" s="26" t="str">
        <f>IF(AND(COUNTIFS($J$18:J1511,J1511)=1,AE1511=1),1,"")</f>
        <v/>
      </c>
      <c r="AG1511" s="26" t="str">
        <f>IF(C1511="","",IF(AND(COUNTIFS($J$18:J1511,J1511)=1,C1511&lt;&gt;""),1,""))</f>
        <v/>
      </c>
      <c r="AH1511" s="26" t="str">
        <f>IF(G1511="","",IF(AND(COUNTIFS($J$18:J1511,J1511)=1,G1511&lt;&gt;""),1,""))</f>
        <v/>
      </c>
      <c r="AI1511" s="27">
        <f t="shared" si="452"/>
        <v>25458266.694690265</v>
      </c>
      <c r="AJ1511" s="27">
        <f t="shared" si="453"/>
        <v>4116526.778578762</v>
      </c>
      <c r="AK1511" s="28">
        <f t="shared" si="462"/>
        <v>0.16169705612508689</v>
      </c>
      <c r="AL1511" s="24"/>
      <c r="AM1511" s="24"/>
      <c r="AN1511" s="24"/>
      <c r="AO1511" s="24"/>
      <c r="AP1511" s="28" t="str">
        <f t="shared" si="463"/>
        <v>20247</v>
      </c>
      <c r="AQ1511" s="28" t="str">
        <f t="shared" si="464"/>
        <v>20247RMB</v>
      </c>
      <c r="AR1511" s="206" t="str">
        <f t="shared" si="465"/>
        <v>YAMAHA_Mounter</v>
      </c>
      <c r="AS1511" s="22">
        <f t="shared" si="466"/>
        <v>3</v>
      </c>
      <c r="AT1511" s="24" t="str">
        <f t="shared" si="467"/>
        <v>0-3 months</v>
      </c>
    </row>
    <row r="1512" spans="1:46" s="12" customFormat="1">
      <c r="A1512" s="33" t="str">
        <f t="shared" si="455"/>
        <v>FY 17/18</v>
      </c>
      <c r="B1512" s="152">
        <v>2017</v>
      </c>
      <c r="C1512" s="152">
        <v>11</v>
      </c>
      <c r="D1512" s="33" t="str">
        <f t="shared" si="456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57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58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1"/>
        <v>507000</v>
      </c>
      <c r="AA1512" s="13">
        <v>1.123</v>
      </c>
      <c r="AB1512" s="21">
        <f t="shared" si="459"/>
        <v>486633.33333333337</v>
      </c>
      <c r="AC1512" s="130">
        <f t="shared" si="460"/>
        <v>58396</v>
      </c>
      <c r="AD1512" s="169">
        <v>0.12</v>
      </c>
      <c r="AE1512" s="154">
        <f t="shared" si="461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52"/>
        <v>13250187.062905986</v>
      </c>
      <c r="AJ1512" s="19">
        <f t="shared" si="453"/>
        <v>1545643.7555487182</v>
      </c>
      <c r="AK1512" s="20">
        <f t="shared" si="462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63"/>
        <v>20183</v>
      </c>
      <c r="AQ1512" s="28" t="str">
        <f t="shared" si="464"/>
        <v>20183RMB</v>
      </c>
      <c r="AR1512" s="206" t="str">
        <f t="shared" si="465"/>
        <v>YAMAHA_Mounter</v>
      </c>
      <c r="AS1512" s="22">
        <f t="shared" si="466"/>
        <v>4</v>
      </c>
      <c r="AT1512" s="24" t="str">
        <f t="shared" si="467"/>
        <v>4-6 months</v>
      </c>
    </row>
    <row r="1513" spans="1:46" s="12" customFormat="1">
      <c r="A1513" s="33" t="str">
        <f t="shared" si="455"/>
        <v>FY 22/23</v>
      </c>
      <c r="B1513" s="152">
        <v>2022</v>
      </c>
      <c r="C1513" s="152">
        <v>11</v>
      </c>
      <c r="D1513" s="33" t="str">
        <f t="shared" si="456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57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58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1"/>
        <v>70000</v>
      </c>
      <c r="AA1513" s="13">
        <v>1.0900000000000001</v>
      </c>
      <c r="AB1513" s="21">
        <f t="shared" si="459"/>
        <v>67522.123893805328</v>
      </c>
      <c r="AC1513" s="130">
        <f t="shared" si="460"/>
        <v>19655.690265486734</v>
      </c>
      <c r="AD1513" s="169">
        <v>0.29110000000000003</v>
      </c>
      <c r="AE1513" s="154">
        <f t="shared" si="461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52"/>
        <v>17329060.066371687</v>
      </c>
      <c r="AJ1513" s="19">
        <f t="shared" si="453"/>
        <v>2472600.2142256643</v>
      </c>
      <c r="AK1513" s="20">
        <f t="shared" si="462"/>
        <v>0.14268518919984163</v>
      </c>
      <c r="AL1513" s="17"/>
      <c r="AM1513" s="17"/>
      <c r="AN1513" s="17"/>
      <c r="AO1513" s="17"/>
      <c r="AP1513" s="28" t="str">
        <f t="shared" si="463"/>
        <v>202212</v>
      </c>
      <c r="AQ1513" s="28" t="str">
        <f t="shared" si="464"/>
        <v>202212RMB</v>
      </c>
      <c r="AR1513" s="206" t="str">
        <f t="shared" si="465"/>
        <v>SOLDERSTAR</v>
      </c>
      <c r="AS1513" s="22">
        <f t="shared" si="466"/>
        <v>1</v>
      </c>
      <c r="AT1513" s="24" t="str">
        <f t="shared" si="467"/>
        <v>0-3 months</v>
      </c>
    </row>
    <row r="1514" spans="1:46" s="12" customFormat="1">
      <c r="A1514" s="33" t="str">
        <f t="shared" si="455"/>
        <v>FY 18/19</v>
      </c>
      <c r="B1514" s="152">
        <v>2018</v>
      </c>
      <c r="C1514" s="152">
        <v>12</v>
      </c>
      <c r="D1514" s="33" t="str">
        <f t="shared" si="456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57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58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1"/>
        <v>740000</v>
      </c>
      <c r="AA1514" s="13">
        <v>1.1599999999999999</v>
      </c>
      <c r="AB1514" s="21">
        <f t="shared" si="459"/>
        <v>739999.99999999988</v>
      </c>
      <c r="AC1514" s="130">
        <f t="shared" si="460"/>
        <v>73629.999999999985</v>
      </c>
      <c r="AD1514" s="169">
        <v>9.9500000000000005E-2</v>
      </c>
      <c r="AE1514" s="154">
        <f t="shared" si="461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52"/>
        <v>47416008.333399981</v>
      </c>
      <c r="AJ1514" s="19">
        <f t="shared" si="453"/>
        <v>6981738.4465290187</v>
      </c>
      <c r="AK1514" s="20">
        <f t="shared" si="462"/>
        <v>0.14724433143839863</v>
      </c>
      <c r="AL1514" s="17"/>
      <c r="AM1514" s="17"/>
      <c r="AN1514" s="17"/>
      <c r="AO1514" s="17"/>
      <c r="AP1514" s="28" t="str">
        <f t="shared" si="463"/>
        <v>20193</v>
      </c>
      <c r="AQ1514" s="28" t="str">
        <f t="shared" si="464"/>
        <v>20193RMB</v>
      </c>
      <c r="AR1514" s="206" t="str">
        <f t="shared" si="465"/>
        <v>YAMAHA_Mounter</v>
      </c>
      <c r="AS1514" s="22">
        <f t="shared" si="466"/>
        <v>3</v>
      </c>
      <c r="AT1514" s="24" t="str">
        <f t="shared" si="467"/>
        <v>0-3 months</v>
      </c>
    </row>
    <row r="1515" spans="1:46" s="12" customFormat="1">
      <c r="A1515" s="33" t="str">
        <f t="shared" si="455"/>
        <v>FY 18/19</v>
      </c>
      <c r="B1515" s="152">
        <v>2018</v>
      </c>
      <c r="C1515" s="152">
        <v>4</v>
      </c>
      <c r="D1515" s="33" t="str">
        <f t="shared" si="456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57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58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1"/>
        <v>440000</v>
      </c>
      <c r="AA1515" s="13">
        <v>1.23</v>
      </c>
      <c r="AB1515" s="21">
        <f t="shared" si="459"/>
        <v>462564.10256410256</v>
      </c>
      <c r="AC1515" s="130">
        <f t="shared" si="460"/>
        <v>47597.846153846156</v>
      </c>
      <c r="AD1515" s="169">
        <v>0.10290000000000001</v>
      </c>
      <c r="AE1515" s="154">
        <f t="shared" si="461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52"/>
        <v>477651199.57437885</v>
      </c>
      <c r="AJ1515" s="19">
        <f t="shared" si="453"/>
        <v>56918800.518691957</v>
      </c>
      <c r="AK1515" s="20">
        <f t="shared" si="462"/>
        <v>0.11916394341605475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63"/>
        <v>CancelCancel</v>
      </c>
      <c r="AQ1515" s="28" t="str">
        <f t="shared" si="464"/>
        <v>CancelCancelRMB</v>
      </c>
      <c r="AR1515" s="206" t="str">
        <f t="shared" si="465"/>
        <v>YAMAHA_Mounter</v>
      </c>
      <c r="AS1515" s="22" t="str">
        <f t="shared" si="466"/>
        <v/>
      </c>
      <c r="AT1515" s="24" t="str">
        <f t="shared" si="467"/>
        <v/>
      </c>
    </row>
    <row r="1516" spans="1:46" s="12" customFormat="1">
      <c r="A1516" s="33" t="str">
        <f t="shared" si="455"/>
        <v>FY 18/19</v>
      </c>
      <c r="B1516" s="152">
        <v>2018</v>
      </c>
      <c r="C1516" s="152">
        <v>10</v>
      </c>
      <c r="D1516" s="33" t="str">
        <f t="shared" si="456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57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58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1"/>
        <v>696000</v>
      </c>
      <c r="AA1516" s="13">
        <v>1.125</v>
      </c>
      <c r="AB1516" s="21">
        <f t="shared" si="459"/>
        <v>675000</v>
      </c>
      <c r="AC1516" s="130">
        <f t="shared" si="460"/>
        <v>85050</v>
      </c>
      <c r="AD1516" s="169">
        <v>0.126</v>
      </c>
      <c r="AE1516" s="154">
        <f t="shared" si="461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52"/>
        <v>10785027.603448275</v>
      </c>
      <c r="AJ1516" s="19">
        <f t="shared" si="453"/>
        <v>1540894.1297982759</v>
      </c>
      <c r="AK1516" s="20">
        <f t="shared" si="462"/>
        <v>0.1428734525728621</v>
      </c>
      <c r="AL1516" s="17"/>
      <c r="AM1516" s="17"/>
      <c r="AN1516" s="17"/>
      <c r="AO1516" s="17"/>
      <c r="AP1516" s="28" t="str">
        <f t="shared" si="463"/>
        <v>201811</v>
      </c>
      <c r="AQ1516" s="28" t="str">
        <f t="shared" si="464"/>
        <v>201811RMB</v>
      </c>
      <c r="AR1516" s="206" t="str">
        <f t="shared" si="465"/>
        <v>YAMAHA_Mounter</v>
      </c>
      <c r="AS1516" s="22">
        <f t="shared" si="466"/>
        <v>1</v>
      </c>
      <c r="AT1516" s="24" t="str">
        <f t="shared" si="467"/>
        <v>0-3 months</v>
      </c>
    </row>
    <row r="1517" spans="1:46" s="12" customFormat="1">
      <c r="A1517" s="33" t="str">
        <f t="shared" si="455"/>
        <v>FY 18/19</v>
      </c>
      <c r="B1517" s="152">
        <v>2018</v>
      </c>
      <c r="C1517" s="152">
        <v>11</v>
      </c>
      <c r="D1517" s="33" t="str">
        <f t="shared" si="456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57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58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1"/>
        <v>570624</v>
      </c>
      <c r="AA1517" s="13">
        <v>1.125</v>
      </c>
      <c r="AB1517" s="21">
        <f t="shared" si="459"/>
        <v>553406.89655172417</v>
      </c>
      <c r="AC1517" s="130">
        <f t="shared" si="460"/>
        <v>97897.680000000008</v>
      </c>
      <c r="AD1517" s="169">
        <v>0.1769</v>
      </c>
      <c r="AE1517" s="154">
        <f t="shared" si="461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52"/>
        <v>23237072.69172414</v>
      </c>
      <c r="AJ1517" s="19">
        <f t="shared" si="453"/>
        <v>2402195.7372206897</v>
      </c>
      <c r="AK1517" s="20">
        <f t="shared" si="462"/>
        <v>0.10337772614862238</v>
      </c>
      <c r="AL1517" s="17"/>
      <c r="AM1517" s="17"/>
      <c r="AN1517" s="17"/>
      <c r="AO1517" s="17"/>
      <c r="AP1517" s="28" t="str">
        <f t="shared" si="463"/>
        <v>20191</v>
      </c>
      <c r="AQ1517" s="28" t="str">
        <f t="shared" si="464"/>
        <v>20191RMB</v>
      </c>
      <c r="AR1517" s="206" t="str">
        <f t="shared" si="465"/>
        <v>YAMAHA_Non_Mounter</v>
      </c>
      <c r="AS1517" s="22">
        <f t="shared" si="466"/>
        <v>2</v>
      </c>
      <c r="AT1517" s="24" t="str">
        <f t="shared" si="467"/>
        <v>0-3 months</v>
      </c>
    </row>
    <row r="1518" spans="1:46" s="12" customFormat="1">
      <c r="A1518" s="33" t="str">
        <f t="shared" si="455"/>
        <v>FY 20/21</v>
      </c>
      <c r="B1518" s="152">
        <v>2020</v>
      </c>
      <c r="C1518" s="152">
        <v>8</v>
      </c>
      <c r="D1518" s="33" t="str">
        <f t="shared" si="456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57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58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1"/>
        <v>487000</v>
      </c>
      <c r="AA1518" s="13">
        <v>1.105</v>
      </c>
      <c r="AB1518" s="21">
        <f t="shared" si="459"/>
        <v>476225.66371681425</v>
      </c>
      <c r="AC1518" s="130">
        <f t="shared" si="460"/>
        <v>47955.924336283191</v>
      </c>
      <c r="AD1518" s="169">
        <v>0.1007</v>
      </c>
      <c r="AE1518" s="154">
        <f t="shared" si="461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52"/>
        <v>37969334.083628319</v>
      </c>
      <c r="AJ1518" s="19">
        <f t="shared" si="453"/>
        <v>5097226.4551657084</v>
      </c>
      <c r="AK1518" s="20">
        <f t="shared" si="462"/>
        <v>0.13424587441904964</v>
      </c>
      <c r="AL1518" s="17"/>
      <c r="AM1518" s="17"/>
      <c r="AN1518" s="17"/>
      <c r="AO1518" s="17"/>
      <c r="AP1518" s="28" t="str">
        <f t="shared" si="463"/>
        <v>20208</v>
      </c>
      <c r="AQ1518" s="28" t="str">
        <f t="shared" si="464"/>
        <v>20208RMB</v>
      </c>
      <c r="AR1518" s="206" t="str">
        <f t="shared" si="465"/>
        <v>YAMAHA_Mounter</v>
      </c>
      <c r="AS1518" s="22">
        <f t="shared" si="466"/>
        <v>0</v>
      </c>
      <c r="AT1518" s="24" t="str">
        <f t="shared" si="467"/>
        <v>0-3 months</v>
      </c>
    </row>
    <row r="1519" spans="1:46" s="12" customFormat="1">
      <c r="A1519" s="33" t="str">
        <f t="shared" si="455"/>
        <v>FY 18/19</v>
      </c>
      <c r="B1519" s="152">
        <v>2018</v>
      </c>
      <c r="C1519" s="152">
        <v>12</v>
      </c>
      <c r="D1519" s="33" t="str">
        <f t="shared" si="456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57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58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1"/>
        <v>11380000</v>
      </c>
      <c r="AA1519" s="13">
        <v>7.2099999999999997E-2</v>
      </c>
      <c r="AB1519" s="21">
        <f t="shared" si="459"/>
        <v>820498</v>
      </c>
      <c r="AC1519" s="130">
        <f t="shared" si="460"/>
        <v>102316.10060000001</v>
      </c>
      <c r="AD1519" s="169">
        <v>0.12470000000000001</v>
      </c>
      <c r="AE1519" s="154">
        <f t="shared" si="461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52"/>
        <v>26754147.763010349</v>
      </c>
      <c r="AJ1519" s="19">
        <f t="shared" si="453"/>
        <v>3429137.9965357962</v>
      </c>
      <c r="AK1519" s="20">
        <f t="shared" si="462"/>
        <v>0.12817220069617921</v>
      </c>
      <c r="AL1519" s="17"/>
      <c r="AM1519" s="17"/>
      <c r="AN1519" s="17"/>
      <c r="AO1519" s="17"/>
      <c r="AP1519" s="28" t="str">
        <f t="shared" si="463"/>
        <v>20188</v>
      </c>
      <c r="AQ1519" s="28" t="str">
        <f t="shared" si="464"/>
        <v>20188JPY</v>
      </c>
      <c r="AR1519" s="206" t="str">
        <f t="shared" si="465"/>
        <v>YAMAHA_Mounter</v>
      </c>
      <c r="AS1519" s="22" t="str">
        <f t="shared" si="466"/>
        <v/>
      </c>
      <c r="AT1519" s="24" t="str">
        <f t="shared" si="467"/>
        <v/>
      </c>
    </row>
    <row r="1520" spans="1:46" s="12" customFormat="1">
      <c r="A1520" s="33" t="str">
        <f t="shared" si="455"/>
        <v>FY 20/21</v>
      </c>
      <c r="B1520" s="152">
        <v>2020</v>
      </c>
      <c r="C1520" s="152">
        <v>7</v>
      </c>
      <c r="D1520" s="33" t="str">
        <f t="shared" si="456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57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58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1"/>
        <v>12465000</v>
      </c>
      <c r="AA1520" s="13">
        <v>7.6100000000000001E-2</v>
      </c>
      <c r="AB1520" s="21">
        <f t="shared" si="459"/>
        <v>948586.5</v>
      </c>
      <c r="AC1520" s="130">
        <f t="shared" si="460"/>
        <v>119047.60575</v>
      </c>
      <c r="AD1520" s="169">
        <v>0.1255</v>
      </c>
      <c r="AE1520" s="154">
        <f t="shared" si="461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52"/>
        <v>44078731.611185849</v>
      </c>
      <c r="AJ1520" s="19">
        <f t="shared" si="453"/>
        <v>5508173.2163771465</v>
      </c>
      <c r="AK1520" s="20">
        <f t="shared" si="462"/>
        <v>0.12496215328889679</v>
      </c>
      <c r="AL1520" s="17"/>
      <c r="AM1520" s="17"/>
      <c r="AN1520" s="17"/>
      <c r="AO1520" s="17"/>
      <c r="AP1520" s="28" t="str">
        <f t="shared" si="463"/>
        <v>202011</v>
      </c>
      <c r="AQ1520" s="28" t="str">
        <f t="shared" si="464"/>
        <v>202011JPY</v>
      </c>
      <c r="AR1520" s="206" t="str">
        <f t="shared" si="465"/>
        <v>YAMAHA_Mounter</v>
      </c>
      <c r="AS1520" s="22">
        <f t="shared" si="466"/>
        <v>4</v>
      </c>
      <c r="AT1520" s="24" t="str">
        <f t="shared" si="467"/>
        <v>4-6 months</v>
      </c>
    </row>
    <row r="1521" spans="1:46" s="12" customFormat="1">
      <c r="A1521" s="33" t="str">
        <f t="shared" si="455"/>
        <v>cancel</v>
      </c>
      <c r="B1521" s="152"/>
      <c r="C1521" s="152" t="s">
        <v>186</v>
      </c>
      <c r="D1521" s="33" t="str">
        <f t="shared" si="456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57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58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1"/>
        <v>12725000</v>
      </c>
      <c r="AA1521" s="13">
        <v>7.3400000000000007E-2</v>
      </c>
      <c r="AB1521" s="21">
        <f t="shared" si="459"/>
        <v>934015.00000000012</v>
      </c>
      <c r="AC1521" s="130">
        <f t="shared" si="460"/>
        <v>112081.8</v>
      </c>
      <c r="AD1521" s="169">
        <v>0.12</v>
      </c>
      <c r="AE1521" s="154">
        <f t="shared" si="461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52"/>
        <v>477651199.57437885</v>
      </c>
      <c r="AJ1521" s="19">
        <f t="shared" si="453"/>
        <v>56918800.518691957</v>
      </c>
      <c r="AK1521" s="20">
        <f t="shared" si="462"/>
        <v>0.11916394341605475</v>
      </c>
      <c r="AL1521" s="17"/>
      <c r="AM1521" s="17"/>
      <c r="AN1521" s="17"/>
      <c r="AO1521" s="17"/>
      <c r="AP1521" s="28" t="str">
        <f t="shared" si="463"/>
        <v>CancelCancel</v>
      </c>
      <c r="AQ1521" s="28" t="str">
        <f t="shared" si="464"/>
        <v>CancelCancelJPY</v>
      </c>
      <c r="AR1521" s="206" t="str">
        <f t="shared" si="465"/>
        <v>YAMAHA_Mounter</v>
      </c>
      <c r="AS1521" s="22" t="str">
        <f t="shared" si="466"/>
        <v/>
      </c>
      <c r="AT1521" s="24" t="str">
        <f t="shared" si="467"/>
        <v/>
      </c>
    </row>
    <row r="1522" spans="1:46" s="12" customFormat="1">
      <c r="A1522" s="33" t="str">
        <f t="shared" si="455"/>
        <v>FY 19/20</v>
      </c>
      <c r="B1522" s="152">
        <v>2020</v>
      </c>
      <c r="C1522" s="152">
        <v>3</v>
      </c>
      <c r="D1522" s="33" t="str">
        <f t="shared" si="456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57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58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1"/>
        <v>600000</v>
      </c>
      <c r="AA1522" s="13">
        <v>1.089</v>
      </c>
      <c r="AB1522" s="21">
        <f t="shared" si="459"/>
        <v>578230.08849557524</v>
      </c>
      <c r="AC1522" s="130">
        <f t="shared" si="460"/>
        <v>96390.95575221238</v>
      </c>
      <c r="AD1522" s="169">
        <v>0.16669999999999999</v>
      </c>
      <c r="AE1522" s="154">
        <f t="shared" si="461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52"/>
        <v>29183109.05575221</v>
      </c>
      <c r="AJ1522" s="19">
        <f t="shared" si="453"/>
        <v>3741266.5648721238</v>
      </c>
      <c r="AK1522" s="20">
        <f t="shared" si="462"/>
        <v>0.12819972531798121</v>
      </c>
      <c r="AL1522" s="17"/>
      <c r="AM1522" s="17"/>
      <c r="AN1522" s="17"/>
      <c r="AO1522" s="17"/>
      <c r="AP1522" s="28" t="str">
        <f t="shared" si="463"/>
        <v>20206</v>
      </c>
      <c r="AQ1522" s="28" t="str">
        <f t="shared" si="464"/>
        <v>20206RMB</v>
      </c>
      <c r="AR1522" s="206" t="str">
        <f t="shared" si="465"/>
        <v>YAMAHA_Mounter</v>
      </c>
      <c r="AS1522" s="22">
        <f t="shared" si="466"/>
        <v>3</v>
      </c>
      <c r="AT1522" s="24" t="str">
        <f t="shared" si="467"/>
        <v>0-3 months</v>
      </c>
    </row>
    <row r="1523" spans="1:46" s="12" customFormat="1">
      <c r="A1523" s="33" t="str">
        <f t="shared" si="455"/>
        <v>FY 19/20</v>
      </c>
      <c r="B1523" s="152">
        <v>2020</v>
      </c>
      <c r="C1523" s="152">
        <v>3</v>
      </c>
      <c r="D1523" s="33" t="str">
        <f t="shared" si="456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57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58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1"/>
        <v>900000</v>
      </c>
      <c r="AA1523" s="13">
        <v>1.089</v>
      </c>
      <c r="AB1523" s="21">
        <f t="shared" si="459"/>
        <v>867345.1327433628</v>
      </c>
      <c r="AC1523" s="130">
        <f t="shared" si="460"/>
        <v>144586.43362831857</v>
      </c>
      <c r="AD1523" s="169">
        <v>0.16669999999999999</v>
      </c>
      <c r="AE1523" s="154">
        <f t="shared" si="461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52"/>
        <v>29183109.05575221</v>
      </c>
      <c r="AJ1523" s="19">
        <f t="shared" si="453"/>
        <v>3741266.5648721238</v>
      </c>
      <c r="AK1523" s="20">
        <f t="shared" si="462"/>
        <v>0.12819972531798121</v>
      </c>
      <c r="AL1523" s="17"/>
      <c r="AM1523" s="17"/>
      <c r="AN1523" s="17"/>
      <c r="AO1523" s="17"/>
      <c r="AP1523" s="28" t="str">
        <f t="shared" si="463"/>
        <v>20206</v>
      </c>
      <c r="AQ1523" s="28" t="str">
        <f t="shared" si="464"/>
        <v>20206RMB</v>
      </c>
      <c r="AR1523" s="206" t="str">
        <f t="shared" si="465"/>
        <v>YAMAHA_Mounter</v>
      </c>
      <c r="AS1523" s="22">
        <f t="shared" si="466"/>
        <v>3</v>
      </c>
      <c r="AT1523" s="24" t="str">
        <f t="shared" si="467"/>
        <v>0-3 months</v>
      </c>
    </row>
    <row r="1524" spans="1:46" s="12" customFormat="1">
      <c r="A1524" s="33" t="str">
        <f t="shared" si="455"/>
        <v>FY 20/21</v>
      </c>
      <c r="B1524" s="152">
        <v>2020</v>
      </c>
      <c r="C1524" s="152">
        <v>7</v>
      </c>
      <c r="D1524" s="33" t="str">
        <f t="shared" si="456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57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58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1"/>
        <v>10800000</v>
      </c>
      <c r="AA1524" s="13">
        <v>7.4899999999999994E-2</v>
      </c>
      <c r="AB1524" s="21">
        <f t="shared" si="459"/>
        <v>808919.99999999988</v>
      </c>
      <c r="AC1524" s="130">
        <f t="shared" si="460"/>
        <v>99658.943999999989</v>
      </c>
      <c r="AD1524" s="169">
        <v>0.1232</v>
      </c>
      <c r="AE1524" s="154">
        <f t="shared" si="461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52"/>
        <v>47907808.356810622</v>
      </c>
      <c r="AJ1524" s="19">
        <f t="shared" si="453"/>
        <v>6027384.8806384448</v>
      </c>
      <c r="AK1524" s="20">
        <f t="shared" si="462"/>
        <v>0.12581216063459488</v>
      </c>
      <c r="AL1524" s="17"/>
      <c r="AM1524" s="17"/>
      <c r="AN1524" s="17"/>
      <c r="AO1524" s="17"/>
      <c r="AP1524" s="28" t="str">
        <f t="shared" si="463"/>
        <v>20209</v>
      </c>
      <c r="AQ1524" s="28" t="str">
        <f t="shared" si="464"/>
        <v>20209JPY</v>
      </c>
      <c r="AR1524" s="206" t="str">
        <f t="shared" si="465"/>
        <v>YAMAHA_Mounter</v>
      </c>
      <c r="AS1524" s="22">
        <f t="shared" si="466"/>
        <v>2</v>
      </c>
      <c r="AT1524" s="24" t="str">
        <f t="shared" si="467"/>
        <v>0-3 months</v>
      </c>
    </row>
    <row r="1525" spans="1:46" s="12" customFormat="1">
      <c r="A1525" s="33" t="str">
        <f t="shared" si="455"/>
        <v>FY 20/21</v>
      </c>
      <c r="B1525" s="152">
        <v>2020</v>
      </c>
      <c r="C1525" s="152">
        <v>7</v>
      </c>
      <c r="D1525" s="33" t="str">
        <f t="shared" si="456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57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58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1"/>
        <v>10800000</v>
      </c>
      <c r="AA1525" s="13">
        <v>7.4899999999999994E-2</v>
      </c>
      <c r="AB1525" s="21">
        <f t="shared" si="459"/>
        <v>808919.99999999988</v>
      </c>
      <c r="AC1525" s="130">
        <f t="shared" si="460"/>
        <v>99658.943999999989</v>
      </c>
      <c r="AD1525" s="169">
        <v>0.1232</v>
      </c>
      <c r="AE1525" s="154">
        <f t="shared" si="461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52"/>
        <v>47907808.356810622</v>
      </c>
      <c r="AJ1525" s="19">
        <f t="shared" si="453"/>
        <v>6027384.8806384448</v>
      </c>
      <c r="AK1525" s="20">
        <f t="shared" si="462"/>
        <v>0.12581216063459488</v>
      </c>
      <c r="AL1525" s="17"/>
      <c r="AM1525" s="17"/>
      <c r="AN1525" s="17"/>
      <c r="AO1525" s="17"/>
      <c r="AP1525" s="28" t="str">
        <f t="shared" si="463"/>
        <v>20209</v>
      </c>
      <c r="AQ1525" s="28" t="str">
        <f t="shared" si="464"/>
        <v>20209JPY</v>
      </c>
      <c r="AR1525" s="206" t="str">
        <f t="shared" si="465"/>
        <v>YAMAHA_Mounter</v>
      </c>
      <c r="AS1525" s="22">
        <f t="shared" si="466"/>
        <v>2</v>
      </c>
      <c r="AT1525" s="24" t="str">
        <f t="shared" si="467"/>
        <v>0-3 months</v>
      </c>
    </row>
    <row r="1526" spans="1:46" s="12" customFormat="1">
      <c r="A1526" s="33" t="str">
        <f t="shared" si="455"/>
        <v>FY 20/21</v>
      </c>
      <c r="B1526" s="152">
        <v>2020</v>
      </c>
      <c r="C1526" s="152">
        <v>7</v>
      </c>
      <c r="D1526" s="33" t="str">
        <f t="shared" si="456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57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58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1"/>
        <v>6896000</v>
      </c>
      <c r="AA1526" s="13">
        <v>7.4899999999999994E-2</v>
      </c>
      <c r="AB1526" s="21">
        <f t="shared" si="459"/>
        <v>516510.39999999997</v>
      </c>
      <c r="AC1526" s="130">
        <f t="shared" si="460"/>
        <v>63634.081279999999</v>
      </c>
      <c r="AD1526" s="169">
        <v>0.1232</v>
      </c>
      <c r="AE1526" s="154">
        <f t="shared" si="461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52"/>
        <v>47907808.356810622</v>
      </c>
      <c r="AJ1526" s="19">
        <f t="shared" si="453"/>
        <v>6027384.8806384448</v>
      </c>
      <c r="AK1526" s="20">
        <f t="shared" si="462"/>
        <v>0.12581216063459488</v>
      </c>
      <c r="AL1526" s="17"/>
      <c r="AM1526" s="17"/>
      <c r="AN1526" s="17"/>
      <c r="AO1526" s="17"/>
      <c r="AP1526" s="28" t="str">
        <f t="shared" si="463"/>
        <v>20209</v>
      </c>
      <c r="AQ1526" s="28" t="str">
        <f t="shared" si="464"/>
        <v>20209JPY</v>
      </c>
      <c r="AR1526" s="206" t="str">
        <f t="shared" si="465"/>
        <v>YAMAHA_Mounter</v>
      </c>
      <c r="AS1526" s="22">
        <f t="shared" si="466"/>
        <v>2</v>
      </c>
      <c r="AT1526" s="24" t="str">
        <f t="shared" si="467"/>
        <v>0-3 months</v>
      </c>
    </row>
    <row r="1527" spans="1:46" s="12" customFormat="1">
      <c r="A1527" s="33" t="str">
        <f t="shared" si="455"/>
        <v>FY 20/21</v>
      </c>
      <c r="B1527" s="152">
        <v>2020</v>
      </c>
      <c r="C1527" s="152">
        <v>7</v>
      </c>
      <c r="D1527" s="33" t="str">
        <f t="shared" si="456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57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58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1"/>
        <v>6896000</v>
      </c>
      <c r="AA1527" s="13">
        <v>7.4899999999999994E-2</v>
      </c>
      <c r="AB1527" s="21">
        <f t="shared" si="459"/>
        <v>516510.39999999997</v>
      </c>
      <c r="AC1527" s="130">
        <f t="shared" si="460"/>
        <v>63634.081279999999</v>
      </c>
      <c r="AD1527" s="169">
        <v>0.1232</v>
      </c>
      <c r="AE1527" s="154">
        <f t="shared" si="461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52"/>
        <v>47907808.356810622</v>
      </c>
      <c r="AJ1527" s="19">
        <f t="shared" si="453"/>
        <v>6027384.8806384448</v>
      </c>
      <c r="AK1527" s="20">
        <f t="shared" si="462"/>
        <v>0.12581216063459488</v>
      </c>
      <c r="AL1527" s="17"/>
      <c r="AM1527" s="17"/>
      <c r="AN1527" s="17"/>
      <c r="AO1527" s="17"/>
      <c r="AP1527" s="28" t="str">
        <f t="shared" si="463"/>
        <v>20209</v>
      </c>
      <c r="AQ1527" s="28" t="str">
        <f t="shared" si="464"/>
        <v>20209JPY</v>
      </c>
      <c r="AR1527" s="206" t="str">
        <f t="shared" si="465"/>
        <v>YAMAHA_Mounter</v>
      </c>
      <c r="AS1527" s="22">
        <f t="shared" si="466"/>
        <v>2</v>
      </c>
      <c r="AT1527" s="24" t="str">
        <f t="shared" si="467"/>
        <v>0-3 months</v>
      </c>
    </row>
    <row r="1528" spans="1:46" s="12" customFormat="1">
      <c r="A1528" s="33" t="str">
        <f t="shared" si="455"/>
        <v>FY 20/21</v>
      </c>
      <c r="B1528" s="152">
        <v>2020</v>
      </c>
      <c r="C1528" s="152">
        <v>12</v>
      </c>
      <c r="D1528" s="33" t="str">
        <f t="shared" si="456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57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58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68">IF(W1528="RMB","1.13", "1")</f>
        <v>1</v>
      </c>
      <c r="Z1528" s="18">
        <f t="shared" si="451"/>
        <v>11530000</v>
      </c>
      <c r="AA1528" s="13">
        <v>5.96E-2</v>
      </c>
      <c r="AB1528" s="21">
        <f t="shared" si="459"/>
        <v>687188</v>
      </c>
      <c r="AC1528" s="130">
        <f t="shared" si="460"/>
        <v>82462.559999999998</v>
      </c>
      <c r="AD1528" s="169">
        <v>0.12</v>
      </c>
      <c r="AE1528" s="154">
        <f t="shared" si="461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52"/>
        <v>477651199.57437885</v>
      </c>
      <c r="AJ1528" s="19">
        <f t="shared" si="453"/>
        <v>56918800.518691957</v>
      </c>
      <c r="AK1528" s="20">
        <f t="shared" si="462"/>
        <v>0.11916394341605475</v>
      </c>
      <c r="AL1528" s="17"/>
      <c r="AM1528" s="17"/>
      <c r="AN1528" s="17"/>
      <c r="AO1528" s="17"/>
      <c r="AP1528" s="28" t="str">
        <f t="shared" si="463"/>
        <v>CancelCancel</v>
      </c>
      <c r="AQ1528" s="28" t="str">
        <f t="shared" si="464"/>
        <v>CancelCancelJPY</v>
      </c>
      <c r="AR1528" s="206" t="str">
        <f t="shared" si="465"/>
        <v>YAMAHA_Mounter</v>
      </c>
      <c r="AS1528" s="22" t="str">
        <f t="shared" si="466"/>
        <v/>
      </c>
      <c r="AT1528" s="24" t="str">
        <f t="shared" si="467"/>
        <v/>
      </c>
    </row>
    <row r="1529" spans="1:46" s="12" customFormat="1">
      <c r="A1529" s="33" t="str">
        <f t="shared" si="455"/>
        <v>FY 20/21</v>
      </c>
      <c r="B1529" s="152">
        <v>2020</v>
      </c>
      <c r="C1529" s="152">
        <v>12</v>
      </c>
      <c r="D1529" s="33" t="str">
        <f t="shared" si="456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57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58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68"/>
        <v>1</v>
      </c>
      <c r="Z1529" s="18">
        <f t="shared" si="451"/>
        <v>11530000</v>
      </c>
      <c r="AA1529" s="13">
        <v>5.96E-2</v>
      </c>
      <c r="AB1529" s="21">
        <f t="shared" si="459"/>
        <v>687188</v>
      </c>
      <c r="AC1529" s="130">
        <f t="shared" si="460"/>
        <v>82462.559999999998</v>
      </c>
      <c r="AD1529" s="169">
        <v>0.12</v>
      </c>
      <c r="AE1529" s="154">
        <f t="shared" si="461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52"/>
        <v>477651199.57437885</v>
      </c>
      <c r="AJ1529" s="19">
        <f t="shared" si="453"/>
        <v>56918800.518691957</v>
      </c>
      <c r="AK1529" s="20">
        <f t="shared" si="462"/>
        <v>0.11916394341605475</v>
      </c>
      <c r="AL1529" s="17"/>
      <c r="AM1529" s="17"/>
      <c r="AN1529" s="17"/>
      <c r="AO1529" s="17"/>
      <c r="AP1529" s="28" t="str">
        <f t="shared" si="463"/>
        <v>CancelCancel</v>
      </c>
      <c r="AQ1529" s="28" t="str">
        <f t="shared" si="464"/>
        <v>CancelCancelJPY</v>
      </c>
      <c r="AR1529" s="206" t="str">
        <f t="shared" si="465"/>
        <v>YAMAHA_Mounter</v>
      </c>
      <c r="AS1529" s="22" t="str">
        <f t="shared" si="466"/>
        <v/>
      </c>
      <c r="AT1529" s="24" t="str">
        <f t="shared" si="467"/>
        <v/>
      </c>
    </row>
    <row r="1530" spans="1:46" s="12" customFormat="1">
      <c r="A1530" s="33" t="str">
        <f t="shared" si="455"/>
        <v>FY 20/21</v>
      </c>
      <c r="B1530" s="152">
        <v>2020</v>
      </c>
      <c r="C1530" s="152">
        <v>12</v>
      </c>
      <c r="D1530" s="33" t="str">
        <f t="shared" si="456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57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58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68"/>
        <v>1</v>
      </c>
      <c r="Z1530" s="18">
        <f t="shared" si="451"/>
        <v>7500000</v>
      </c>
      <c r="AA1530" s="13">
        <v>5.96E-2</v>
      </c>
      <c r="AB1530" s="21">
        <f t="shared" si="459"/>
        <v>447000</v>
      </c>
      <c r="AC1530" s="130">
        <f t="shared" si="460"/>
        <v>53640</v>
      </c>
      <c r="AD1530" s="169">
        <v>0.12</v>
      </c>
      <c r="AE1530" s="154">
        <f t="shared" si="461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52"/>
        <v>477651199.57437885</v>
      </c>
      <c r="AJ1530" s="19">
        <f t="shared" si="453"/>
        <v>56918800.518691957</v>
      </c>
      <c r="AK1530" s="20">
        <f t="shared" si="462"/>
        <v>0.11916394341605475</v>
      </c>
      <c r="AL1530" s="17"/>
      <c r="AM1530" s="17"/>
      <c r="AN1530" s="17"/>
      <c r="AO1530" s="17"/>
      <c r="AP1530" s="28" t="str">
        <f t="shared" si="463"/>
        <v>CancelCancel</v>
      </c>
      <c r="AQ1530" s="28" t="str">
        <f t="shared" si="464"/>
        <v>CancelCancelJPY</v>
      </c>
      <c r="AR1530" s="206" t="str">
        <f t="shared" si="465"/>
        <v>YAMAHA_Mounter</v>
      </c>
      <c r="AS1530" s="22" t="str">
        <f t="shared" si="466"/>
        <v/>
      </c>
      <c r="AT1530" s="24" t="str">
        <f t="shared" si="467"/>
        <v/>
      </c>
    </row>
    <row r="1531" spans="1:46" s="12" customFormat="1">
      <c r="A1531" s="33" t="str">
        <f t="shared" si="455"/>
        <v>FY 20/21</v>
      </c>
      <c r="B1531" s="152">
        <v>2020</v>
      </c>
      <c r="C1531" s="152">
        <v>12</v>
      </c>
      <c r="D1531" s="33" t="str">
        <f t="shared" si="456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57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58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68"/>
        <v>1</v>
      </c>
      <c r="Z1531" s="18">
        <f t="shared" si="451"/>
        <v>7500000</v>
      </c>
      <c r="AA1531" s="13">
        <v>5.96E-2</v>
      </c>
      <c r="AB1531" s="21">
        <f t="shared" si="459"/>
        <v>447000</v>
      </c>
      <c r="AC1531" s="130">
        <f t="shared" si="460"/>
        <v>53640</v>
      </c>
      <c r="AD1531" s="169">
        <v>0.12</v>
      </c>
      <c r="AE1531" s="154">
        <f t="shared" si="461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52"/>
        <v>477651199.57437885</v>
      </c>
      <c r="AJ1531" s="19">
        <f t="shared" si="453"/>
        <v>56918800.518691957</v>
      </c>
      <c r="AK1531" s="20">
        <f t="shared" si="462"/>
        <v>0.11916394341605475</v>
      </c>
      <c r="AL1531" s="17"/>
      <c r="AM1531" s="17"/>
      <c r="AN1531" s="17"/>
      <c r="AO1531" s="17"/>
      <c r="AP1531" s="28" t="str">
        <f t="shared" si="463"/>
        <v>CancelCancel</v>
      </c>
      <c r="AQ1531" s="28" t="str">
        <f t="shared" si="464"/>
        <v>CancelCancelJPY</v>
      </c>
      <c r="AR1531" s="206" t="str">
        <f t="shared" si="465"/>
        <v>YAMAHA_Mounter</v>
      </c>
      <c r="AS1531" s="22" t="str">
        <f t="shared" si="466"/>
        <v/>
      </c>
      <c r="AT1531" s="24" t="str">
        <f t="shared" si="467"/>
        <v/>
      </c>
    </row>
    <row r="1532" spans="1:46" s="12" customFormat="1">
      <c r="A1532" s="33" t="str">
        <f t="shared" si="455"/>
        <v>FY 22/23</v>
      </c>
      <c r="B1532" s="152">
        <v>2022</v>
      </c>
      <c r="C1532" s="152">
        <v>4</v>
      </c>
      <c r="D1532" s="33" t="str">
        <f t="shared" si="456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57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58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68"/>
        <v>1</v>
      </c>
      <c r="Z1532" s="18">
        <f t="shared" ref="Z1532:Z1595" si="469">IF(X1532="","",X1532*MAX(O1532,N1532))</f>
        <v>10500000</v>
      </c>
      <c r="AA1532" s="13">
        <v>0.06</v>
      </c>
      <c r="AB1532" s="21">
        <f t="shared" si="459"/>
        <v>630000</v>
      </c>
      <c r="AC1532" s="130">
        <f t="shared" si="460"/>
        <v>41265</v>
      </c>
      <c r="AD1532" s="169">
        <v>6.5500000000000003E-2</v>
      </c>
      <c r="AE1532" s="154">
        <f t="shared" si="461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52"/>
        <v>7502645.9971681423</v>
      </c>
      <c r="AJ1532" s="19">
        <f t="shared" si="453"/>
        <v>664841.72044240718</v>
      </c>
      <c r="AK1532" s="20">
        <f t="shared" si="462"/>
        <v>8.861429963420242E-2</v>
      </c>
      <c r="AL1532" s="17"/>
      <c r="AM1532" s="17"/>
      <c r="AN1532" s="17"/>
      <c r="AO1532" s="17" t="s">
        <v>2117</v>
      </c>
      <c r="AP1532" s="28" t="str">
        <f t="shared" si="463"/>
        <v>20231</v>
      </c>
      <c r="AQ1532" s="28" t="str">
        <f t="shared" si="464"/>
        <v>20231JPY</v>
      </c>
      <c r="AR1532" s="206" t="str">
        <f t="shared" si="465"/>
        <v>YAMAHA_Mounter</v>
      </c>
      <c r="AS1532" s="22">
        <f t="shared" si="466"/>
        <v>9</v>
      </c>
      <c r="AT1532" s="24" t="str">
        <f t="shared" si="467"/>
        <v>&gt; 6 months</v>
      </c>
    </row>
    <row r="1533" spans="1:46" s="12" customFormat="1">
      <c r="A1533" s="33" t="str">
        <f t="shared" si="455"/>
        <v>FY 22/23</v>
      </c>
      <c r="B1533" s="152">
        <v>2022</v>
      </c>
      <c r="C1533" s="152">
        <v>4</v>
      </c>
      <c r="D1533" s="33" t="str">
        <f t="shared" si="456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57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58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68"/>
        <v>1</v>
      </c>
      <c r="Z1533" s="18">
        <f t="shared" si="469"/>
        <v>6400000</v>
      </c>
      <c r="AA1533" s="13">
        <v>0.06</v>
      </c>
      <c r="AB1533" s="21">
        <f t="shared" si="459"/>
        <v>384000</v>
      </c>
      <c r="AC1533" s="130">
        <f t="shared" si="460"/>
        <v>25152</v>
      </c>
      <c r="AD1533" s="169">
        <v>6.5500000000000003E-2</v>
      </c>
      <c r="AE1533" s="154">
        <f t="shared" si="461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52"/>
        <v>7502645.9971681423</v>
      </c>
      <c r="AJ1533" s="19">
        <f t="shared" si="453"/>
        <v>664841.72044240718</v>
      </c>
      <c r="AK1533" s="20">
        <f t="shared" si="462"/>
        <v>8.861429963420242E-2</v>
      </c>
      <c r="AL1533" s="17"/>
      <c r="AM1533" s="17"/>
      <c r="AN1533" s="17"/>
      <c r="AO1533" s="17" t="s">
        <v>2117</v>
      </c>
      <c r="AP1533" s="28" t="str">
        <f t="shared" si="463"/>
        <v>20231</v>
      </c>
      <c r="AQ1533" s="28" t="str">
        <f t="shared" si="464"/>
        <v>20231JPY</v>
      </c>
      <c r="AR1533" s="206" t="str">
        <f t="shared" si="465"/>
        <v>YAMAHA_Mounter</v>
      </c>
      <c r="AS1533" s="22">
        <f t="shared" si="466"/>
        <v>9</v>
      </c>
      <c r="AT1533" s="24" t="str">
        <f t="shared" si="467"/>
        <v>&gt; 6 months</v>
      </c>
    </row>
    <row r="1534" spans="1:46" s="12" customFormat="1">
      <c r="A1534" s="33" t="str">
        <f t="shared" si="455"/>
        <v>FY 22/23</v>
      </c>
      <c r="B1534" s="152">
        <v>2022</v>
      </c>
      <c r="C1534" s="152">
        <v>4</v>
      </c>
      <c r="D1534" s="33" t="str">
        <f t="shared" si="456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57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58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68"/>
        <v>1</v>
      </c>
      <c r="Z1534" s="18">
        <f t="shared" si="469"/>
        <v>11920000</v>
      </c>
      <c r="AA1534" s="13">
        <v>5.8700000000000002E-2</v>
      </c>
      <c r="AB1534" s="21">
        <f t="shared" si="459"/>
        <v>699704</v>
      </c>
      <c r="AC1534" s="130">
        <f t="shared" si="460"/>
        <v>83964.479999999996</v>
      </c>
      <c r="AD1534" s="169">
        <v>0.12</v>
      </c>
      <c r="AE1534" s="154">
        <f t="shared" si="461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52"/>
        <v>477651199.57437885</v>
      </c>
      <c r="AJ1534" s="19">
        <f t="shared" si="453"/>
        <v>56918800.518691957</v>
      </c>
      <c r="AK1534" s="20">
        <f t="shared" si="462"/>
        <v>0.11916394341605475</v>
      </c>
      <c r="AL1534" s="17"/>
      <c r="AM1534" s="17"/>
      <c r="AN1534" s="17"/>
      <c r="AO1534" s="17"/>
      <c r="AP1534" s="28" t="str">
        <f t="shared" si="463"/>
        <v>CancelCancel</v>
      </c>
      <c r="AQ1534" s="28" t="str">
        <f t="shared" si="464"/>
        <v>CancelCancelJPY</v>
      </c>
      <c r="AR1534" s="206" t="str">
        <f t="shared" si="465"/>
        <v>YAMAHA_Mounter</v>
      </c>
      <c r="AS1534" s="22" t="str">
        <f t="shared" si="466"/>
        <v/>
      </c>
      <c r="AT1534" s="24" t="str">
        <f t="shared" si="467"/>
        <v/>
      </c>
    </row>
    <row r="1535" spans="1:46" s="12" customFormat="1">
      <c r="A1535" s="33" t="str">
        <f t="shared" si="455"/>
        <v>FY 22/23</v>
      </c>
      <c r="B1535" s="152">
        <v>2022</v>
      </c>
      <c r="C1535" s="152">
        <v>4</v>
      </c>
      <c r="D1535" s="33" t="str">
        <f t="shared" si="456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57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58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68"/>
        <v>1</v>
      </c>
      <c r="Z1535" s="18">
        <f t="shared" si="469"/>
        <v>11920000</v>
      </c>
      <c r="AA1535" s="13">
        <v>5.8700000000000002E-2</v>
      </c>
      <c r="AB1535" s="21">
        <f t="shared" si="459"/>
        <v>699704</v>
      </c>
      <c r="AC1535" s="130">
        <f t="shared" si="460"/>
        <v>83964.479999999996</v>
      </c>
      <c r="AD1535" s="169">
        <v>0.12</v>
      </c>
      <c r="AE1535" s="154">
        <f t="shared" si="461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52"/>
        <v>477651199.57437885</v>
      </c>
      <c r="AJ1535" s="19">
        <f t="shared" si="453"/>
        <v>56918800.518691957</v>
      </c>
      <c r="AK1535" s="20">
        <f t="shared" si="462"/>
        <v>0.11916394341605475</v>
      </c>
      <c r="AL1535" s="17"/>
      <c r="AM1535" s="17"/>
      <c r="AN1535" s="17"/>
      <c r="AO1535" s="17"/>
      <c r="AP1535" s="28" t="str">
        <f t="shared" si="463"/>
        <v>CancelCancel</v>
      </c>
      <c r="AQ1535" s="28" t="str">
        <f t="shared" si="464"/>
        <v>CancelCancelJPY</v>
      </c>
      <c r="AR1535" s="206" t="str">
        <f t="shared" si="465"/>
        <v>YAMAHA_Mounter</v>
      </c>
      <c r="AS1535" s="22" t="str">
        <f t="shared" si="466"/>
        <v/>
      </c>
      <c r="AT1535" s="24" t="str">
        <f t="shared" si="467"/>
        <v/>
      </c>
    </row>
    <row r="1536" spans="1:46" s="12" customFormat="1">
      <c r="A1536" s="33" t="str">
        <f t="shared" si="455"/>
        <v>FY 22/23</v>
      </c>
      <c r="B1536" s="152">
        <v>2022</v>
      </c>
      <c r="C1536" s="152">
        <v>4</v>
      </c>
      <c r="D1536" s="33" t="str">
        <f t="shared" si="456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57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58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68"/>
        <v>1</v>
      </c>
      <c r="Z1536" s="18">
        <f t="shared" si="469"/>
        <v>7920000</v>
      </c>
      <c r="AA1536" s="13">
        <v>5.8700000000000002E-2</v>
      </c>
      <c r="AB1536" s="21">
        <f t="shared" si="459"/>
        <v>464904</v>
      </c>
      <c r="AC1536" s="130">
        <f t="shared" si="460"/>
        <v>55788.479999999996</v>
      </c>
      <c r="AD1536" s="169">
        <v>0.12</v>
      </c>
      <c r="AE1536" s="154">
        <f t="shared" si="461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52"/>
        <v>477651199.57437885</v>
      </c>
      <c r="AJ1536" s="19">
        <f t="shared" si="453"/>
        <v>56918800.518691957</v>
      </c>
      <c r="AK1536" s="20">
        <f t="shared" si="462"/>
        <v>0.11916394341605475</v>
      </c>
      <c r="AL1536" s="17"/>
      <c r="AM1536" s="17"/>
      <c r="AN1536" s="17"/>
      <c r="AO1536" s="17"/>
      <c r="AP1536" s="28" t="str">
        <f t="shared" si="463"/>
        <v>CancelCancel</v>
      </c>
      <c r="AQ1536" s="28" t="str">
        <f t="shared" si="464"/>
        <v>CancelCancelJPY</v>
      </c>
      <c r="AR1536" s="206" t="str">
        <f t="shared" si="465"/>
        <v>YAMAHA_Mounter</v>
      </c>
      <c r="AS1536" s="22" t="str">
        <f t="shared" si="466"/>
        <v/>
      </c>
      <c r="AT1536" s="24" t="str">
        <f t="shared" si="467"/>
        <v/>
      </c>
    </row>
    <row r="1537" spans="1:46" s="12" customFormat="1">
      <c r="A1537" s="33" t="str">
        <f t="shared" si="455"/>
        <v>FY 22/23</v>
      </c>
      <c r="B1537" s="152">
        <v>2022</v>
      </c>
      <c r="C1537" s="152">
        <v>4</v>
      </c>
      <c r="D1537" s="33" t="str">
        <f t="shared" si="456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57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58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68"/>
        <v>1</v>
      </c>
      <c r="Z1537" s="18">
        <f t="shared" si="469"/>
        <v>7920000</v>
      </c>
      <c r="AA1537" s="13">
        <v>5.8700000000000002E-2</v>
      </c>
      <c r="AB1537" s="21">
        <f t="shared" si="459"/>
        <v>464904</v>
      </c>
      <c r="AC1537" s="130">
        <f t="shared" si="460"/>
        <v>55788.479999999996</v>
      </c>
      <c r="AD1537" s="169">
        <v>0.12</v>
      </c>
      <c r="AE1537" s="154">
        <f t="shared" si="461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52"/>
        <v>477651199.57437885</v>
      </c>
      <c r="AJ1537" s="19">
        <f t="shared" si="453"/>
        <v>56918800.518691957</v>
      </c>
      <c r="AK1537" s="20">
        <f t="shared" si="462"/>
        <v>0.11916394341605475</v>
      </c>
      <c r="AL1537" s="17"/>
      <c r="AM1537" s="17"/>
      <c r="AN1537" s="17"/>
      <c r="AO1537" s="17"/>
      <c r="AP1537" s="28" t="str">
        <f t="shared" si="463"/>
        <v>CancelCancel</v>
      </c>
      <c r="AQ1537" s="28" t="str">
        <f t="shared" si="464"/>
        <v>CancelCancelJPY</v>
      </c>
      <c r="AR1537" s="206" t="str">
        <f t="shared" si="465"/>
        <v>YAMAHA_Mounter</v>
      </c>
      <c r="AS1537" s="22" t="str">
        <f t="shared" si="466"/>
        <v/>
      </c>
      <c r="AT1537" s="24" t="str">
        <f t="shared" si="467"/>
        <v/>
      </c>
    </row>
    <row r="1538" spans="1:46" s="12" customFormat="1">
      <c r="A1538" s="33" t="str">
        <f t="shared" si="455"/>
        <v>FY 22/23</v>
      </c>
      <c r="B1538" s="152">
        <v>2022</v>
      </c>
      <c r="C1538" s="152">
        <v>4</v>
      </c>
      <c r="D1538" s="33" t="str">
        <f t="shared" si="456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57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58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68"/>
        <v>1</v>
      </c>
      <c r="Z1538" s="18">
        <f t="shared" si="469"/>
        <v>11920000</v>
      </c>
      <c r="AA1538" s="13">
        <v>5.4100000000000002E-2</v>
      </c>
      <c r="AB1538" s="21">
        <f t="shared" si="459"/>
        <v>644872</v>
      </c>
      <c r="AC1538" s="130">
        <f t="shared" si="460"/>
        <v>77384.639999999999</v>
      </c>
      <c r="AD1538" s="169">
        <v>0.12</v>
      </c>
      <c r="AE1538" s="154">
        <f t="shared" si="461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70">IF(P1538="C66 SERVICE","",SUMIFS(AB:AB,F:F,F1538,G:G,G1538,E:E,E1538))</f>
        <v>477651199.57437885</v>
      </c>
      <c r="AJ1538" s="19">
        <f t="shared" ref="AJ1538:AJ1601" si="471">IF(P1538="C66 SERVICE","",SUMIFS(AC:AC,F:F,F1538,G:G,G1538,E:E,E1538))</f>
        <v>56918800.518691957</v>
      </c>
      <c r="AK1538" s="20">
        <f t="shared" si="462"/>
        <v>0.11916394341605475</v>
      </c>
      <c r="AL1538" s="17"/>
      <c r="AM1538" s="17"/>
      <c r="AN1538" s="17"/>
      <c r="AO1538" s="17"/>
      <c r="AP1538" s="28" t="str">
        <f t="shared" si="463"/>
        <v>CancelCancel</v>
      </c>
      <c r="AQ1538" s="28" t="str">
        <f t="shared" si="464"/>
        <v>CancelCancelJPY</v>
      </c>
      <c r="AR1538" s="206" t="str">
        <f t="shared" si="465"/>
        <v>YAMAHA_Mounter</v>
      </c>
      <c r="AS1538" s="22" t="str">
        <f t="shared" si="466"/>
        <v/>
      </c>
      <c r="AT1538" s="24" t="str">
        <f t="shared" si="467"/>
        <v/>
      </c>
    </row>
    <row r="1539" spans="1:46" s="12" customFormat="1">
      <c r="A1539" s="33" t="str">
        <f t="shared" si="455"/>
        <v>FY 22/23</v>
      </c>
      <c r="B1539" s="152">
        <v>2022</v>
      </c>
      <c r="C1539" s="152">
        <v>4</v>
      </c>
      <c r="D1539" s="33" t="str">
        <f t="shared" si="456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57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58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68"/>
        <v>1</v>
      </c>
      <c r="Z1539" s="18">
        <f t="shared" si="469"/>
        <v>7920000</v>
      </c>
      <c r="AA1539" s="13">
        <v>5.4100000000000002E-2</v>
      </c>
      <c r="AB1539" s="21">
        <f t="shared" si="459"/>
        <v>428472</v>
      </c>
      <c r="AC1539" s="130">
        <f t="shared" si="460"/>
        <v>51416.639999999999</v>
      </c>
      <c r="AD1539" s="169">
        <v>0.12</v>
      </c>
      <c r="AE1539" s="154">
        <f t="shared" si="461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70"/>
        <v>477651199.57437885</v>
      </c>
      <c r="AJ1539" s="19">
        <f t="shared" si="471"/>
        <v>56918800.518691957</v>
      </c>
      <c r="AK1539" s="20">
        <f t="shared" si="462"/>
        <v>0.11916394341605475</v>
      </c>
      <c r="AL1539" s="17"/>
      <c r="AM1539" s="17"/>
      <c r="AN1539" s="17"/>
      <c r="AO1539" s="17"/>
      <c r="AP1539" s="28" t="str">
        <f t="shared" si="463"/>
        <v>CancelCancel</v>
      </c>
      <c r="AQ1539" s="28" t="str">
        <f t="shared" si="464"/>
        <v>CancelCancelJPY</v>
      </c>
      <c r="AR1539" s="206" t="str">
        <f t="shared" si="465"/>
        <v>YAMAHA_Mounter</v>
      </c>
      <c r="AS1539" s="22" t="str">
        <f t="shared" si="466"/>
        <v/>
      </c>
      <c r="AT1539" s="24" t="str">
        <f t="shared" si="467"/>
        <v/>
      </c>
    </row>
    <row r="1540" spans="1:46" s="12" customFormat="1">
      <c r="A1540" s="33" t="str">
        <f t="shared" si="455"/>
        <v>FY 20/21</v>
      </c>
      <c r="B1540" s="152">
        <v>2020</v>
      </c>
      <c r="C1540" s="152">
        <v>10</v>
      </c>
      <c r="D1540" s="33" t="str">
        <f t="shared" si="456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57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58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68"/>
        <v>1</v>
      </c>
      <c r="Z1540" s="18">
        <f t="shared" si="469"/>
        <v>11500000</v>
      </c>
      <c r="AA1540" s="13">
        <v>7.5700000000000003E-2</v>
      </c>
      <c r="AB1540" s="21">
        <f t="shared" si="459"/>
        <v>870550</v>
      </c>
      <c r="AC1540" s="130">
        <f t="shared" si="460"/>
        <v>88099.66</v>
      </c>
      <c r="AD1540" s="169">
        <v>0.1012</v>
      </c>
      <c r="AE1540" s="154">
        <f t="shared" si="461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70"/>
        <v>31097187.02948761</v>
      </c>
      <c r="AJ1540" s="19">
        <f t="shared" si="471"/>
        <v>3892353.6644401965</v>
      </c>
      <c r="AK1540" s="20">
        <f t="shared" si="462"/>
        <v>0.12516738767237401</v>
      </c>
      <c r="AL1540" s="17"/>
      <c r="AM1540" s="17"/>
      <c r="AN1540" s="17"/>
      <c r="AO1540" s="17"/>
      <c r="AP1540" s="28" t="str">
        <f t="shared" si="463"/>
        <v>20212</v>
      </c>
      <c r="AQ1540" s="28" t="str">
        <f t="shared" si="464"/>
        <v>20212JPY</v>
      </c>
      <c r="AR1540" s="206" t="str">
        <f t="shared" si="465"/>
        <v>YAMAHA_Mounter</v>
      </c>
      <c r="AS1540" s="22">
        <f t="shared" si="466"/>
        <v>4</v>
      </c>
      <c r="AT1540" s="24" t="str">
        <f t="shared" si="467"/>
        <v>4-6 months</v>
      </c>
    </row>
    <row r="1541" spans="1:46" s="12" customFormat="1">
      <c r="A1541" s="33" t="str">
        <f t="shared" si="455"/>
        <v>FY 20/21</v>
      </c>
      <c r="B1541" s="152">
        <v>2020</v>
      </c>
      <c r="C1541" s="152">
        <v>10</v>
      </c>
      <c r="D1541" s="33" t="str">
        <f t="shared" si="456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57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58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68"/>
        <v>1</v>
      </c>
      <c r="Z1541" s="18">
        <f t="shared" si="469"/>
        <v>11500000</v>
      </c>
      <c r="AA1541" s="13">
        <v>7.5700000000000003E-2</v>
      </c>
      <c r="AB1541" s="21">
        <f t="shared" si="459"/>
        <v>870550</v>
      </c>
      <c r="AC1541" s="130">
        <f t="shared" si="460"/>
        <v>88099.66</v>
      </c>
      <c r="AD1541" s="169">
        <v>0.1012</v>
      </c>
      <c r="AE1541" s="154">
        <f t="shared" si="461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70"/>
        <v>31097187.02948761</v>
      </c>
      <c r="AJ1541" s="19">
        <f t="shared" si="471"/>
        <v>3892353.6644401965</v>
      </c>
      <c r="AK1541" s="20">
        <f t="shared" si="462"/>
        <v>0.12516738767237401</v>
      </c>
      <c r="AL1541" s="17"/>
      <c r="AM1541" s="17"/>
      <c r="AN1541" s="17"/>
      <c r="AO1541" s="17"/>
      <c r="AP1541" s="28" t="str">
        <f t="shared" si="463"/>
        <v>20212</v>
      </c>
      <c r="AQ1541" s="28" t="str">
        <f t="shared" si="464"/>
        <v>20212JPY</v>
      </c>
      <c r="AR1541" s="206" t="str">
        <f t="shared" si="465"/>
        <v>YAMAHA_Mounter</v>
      </c>
      <c r="AS1541" s="22">
        <f t="shared" si="466"/>
        <v>4</v>
      </c>
      <c r="AT1541" s="24" t="str">
        <f t="shared" si="467"/>
        <v>4-6 months</v>
      </c>
    </row>
    <row r="1542" spans="1:46" s="12" customFormat="1">
      <c r="A1542" s="33" t="str">
        <f t="shared" si="455"/>
        <v>FY 22/23</v>
      </c>
      <c r="B1542" s="152">
        <v>2022</v>
      </c>
      <c r="C1542" s="152">
        <v>7</v>
      </c>
      <c r="D1542" s="33" t="str">
        <f t="shared" si="456"/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si="457"/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si="458"/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68"/>
        <v>1.13</v>
      </c>
      <c r="Z1542" s="18">
        <f t="shared" si="469"/>
        <v>740000</v>
      </c>
      <c r="AA1542" s="13">
        <v>1.163</v>
      </c>
      <c r="AB1542" s="21">
        <f t="shared" si="459"/>
        <v>761610.61946902669</v>
      </c>
      <c r="AC1542" s="130">
        <f t="shared" si="460"/>
        <v>73190.780530973469</v>
      </c>
      <c r="AD1542" s="169">
        <v>9.6100000000000005E-2</v>
      </c>
      <c r="AE1542" s="154">
        <f t="shared" si="461"/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70"/>
        <v>35073581.838938057</v>
      </c>
      <c r="AJ1542" s="19">
        <f t="shared" si="471"/>
        <v>5034113.9728989396</v>
      </c>
      <c r="AK1542" s="20">
        <f t="shared" si="462"/>
        <v>0.14353007902118958</v>
      </c>
      <c r="AL1542" s="17"/>
      <c r="AM1542" s="17"/>
      <c r="AN1542" s="17"/>
      <c r="AO1542" s="17"/>
      <c r="AP1542" s="28" t="str">
        <f t="shared" si="463"/>
        <v>20228</v>
      </c>
      <c r="AQ1542" s="28" t="str">
        <f t="shared" si="464"/>
        <v>20228RMB</v>
      </c>
      <c r="AR1542" s="206" t="str">
        <f t="shared" si="465"/>
        <v>YAMAHA_Mounter</v>
      </c>
      <c r="AS1542" s="22">
        <f t="shared" si="466"/>
        <v>1</v>
      </c>
      <c r="AT1542" s="24" t="str">
        <f t="shared" si="467"/>
        <v>0-3 months</v>
      </c>
    </row>
    <row r="1543" spans="1:46" s="12" customFormat="1">
      <c r="A1543" s="33" t="str">
        <f t="shared" si="455"/>
        <v>FY 22/23</v>
      </c>
      <c r="B1543" s="152">
        <v>2022</v>
      </c>
      <c r="C1543" s="152">
        <v>7</v>
      </c>
      <c r="D1543" s="33" t="str">
        <f t="shared" si="456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57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58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68"/>
        <v>1.13</v>
      </c>
      <c r="Z1543" s="18">
        <f t="shared" si="469"/>
        <v>435000</v>
      </c>
      <c r="AA1543" s="13">
        <v>1.163</v>
      </c>
      <c r="AB1543" s="21">
        <f t="shared" si="459"/>
        <v>447703.53982300893</v>
      </c>
      <c r="AC1543" s="130">
        <f t="shared" si="460"/>
        <v>43024.310176991159</v>
      </c>
      <c r="AD1543" s="169">
        <v>9.6100000000000005E-2</v>
      </c>
      <c r="AE1543" s="154">
        <f t="shared" si="461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70"/>
        <v>35073581.838938057</v>
      </c>
      <c r="AJ1543" s="19">
        <f t="shared" si="471"/>
        <v>5034113.9728989396</v>
      </c>
      <c r="AK1543" s="20">
        <f t="shared" si="462"/>
        <v>0.14353007902118958</v>
      </c>
      <c r="AL1543" s="17"/>
      <c r="AM1543" s="17"/>
      <c r="AN1543" s="17"/>
      <c r="AO1543" s="17"/>
      <c r="AP1543" s="28" t="str">
        <f t="shared" si="463"/>
        <v>20228</v>
      </c>
      <c r="AQ1543" s="28" t="str">
        <f t="shared" si="464"/>
        <v>20228RMB</v>
      </c>
      <c r="AR1543" s="206" t="str">
        <f t="shared" si="465"/>
        <v>YAMAHA_Mounter</v>
      </c>
      <c r="AS1543" s="22">
        <f t="shared" si="466"/>
        <v>1</v>
      </c>
      <c r="AT1543" s="24" t="str">
        <f t="shared" si="467"/>
        <v>0-3 months</v>
      </c>
    </row>
    <row r="1544" spans="1:46" s="12" customFormat="1">
      <c r="A1544" s="33" t="str">
        <f t="shared" si="455"/>
        <v>FY 22/23</v>
      </c>
      <c r="B1544" s="152">
        <v>2023</v>
      </c>
      <c r="C1544" s="152">
        <v>3</v>
      </c>
      <c r="D1544" s="33" t="str">
        <f t="shared" si="456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57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58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68"/>
        <v>1.13</v>
      </c>
      <c r="Z1544" s="18">
        <f t="shared" si="469"/>
        <v>720000</v>
      </c>
      <c r="AA1544" s="13">
        <v>1.1299999999999999</v>
      </c>
      <c r="AB1544" s="21">
        <f t="shared" si="459"/>
        <v>720000</v>
      </c>
      <c r="AC1544" s="130">
        <f t="shared" si="460"/>
        <v>121392</v>
      </c>
      <c r="AD1544" s="169">
        <v>0.1686</v>
      </c>
      <c r="AE1544" s="154">
        <f t="shared" si="461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70"/>
        <v>33543315.897345133</v>
      </c>
      <c r="AJ1544" s="19">
        <f t="shared" si="471"/>
        <v>4706169.3252984071</v>
      </c>
      <c r="AK1544" s="20">
        <f t="shared" si="462"/>
        <v>0.14030125523967318</v>
      </c>
      <c r="AL1544" s="17"/>
      <c r="AM1544" s="17"/>
      <c r="AN1544" s="17"/>
      <c r="AO1544" s="17"/>
      <c r="AP1544" s="28" t="str">
        <f t="shared" si="463"/>
        <v>20233</v>
      </c>
      <c r="AQ1544" s="28" t="str">
        <f t="shared" si="464"/>
        <v>20233RMB</v>
      </c>
      <c r="AR1544" s="206" t="str">
        <f t="shared" si="465"/>
        <v>YAMAHA_Mounter</v>
      </c>
      <c r="AS1544" s="22">
        <f t="shared" si="466"/>
        <v>0</v>
      </c>
      <c r="AT1544" s="24" t="str">
        <f t="shared" si="467"/>
        <v>0-3 months</v>
      </c>
    </row>
    <row r="1545" spans="1:46" s="12" customFormat="1">
      <c r="A1545" s="33" t="str">
        <f t="shared" si="455"/>
        <v>FY 21/22</v>
      </c>
      <c r="B1545" s="152">
        <v>2022</v>
      </c>
      <c r="C1545" s="152">
        <v>1</v>
      </c>
      <c r="D1545" s="33" t="str">
        <f t="shared" si="456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57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58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68"/>
        <v>1.13</v>
      </c>
      <c r="Z1545" s="18">
        <f t="shared" si="469"/>
        <v>1300000</v>
      </c>
      <c r="AA1545" s="13">
        <v>1.175</v>
      </c>
      <c r="AB1545" s="21">
        <f t="shared" si="459"/>
        <v>1351769.9115044249</v>
      </c>
      <c r="AC1545" s="130">
        <f t="shared" si="460"/>
        <v>162212.38938053098</v>
      </c>
      <c r="AD1545" s="169">
        <v>0.12</v>
      </c>
      <c r="AE1545" s="154">
        <f t="shared" si="461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70"/>
        <v>477651199.57437885</v>
      </c>
      <c r="AJ1545" s="19">
        <f t="shared" si="471"/>
        <v>56918800.518691957</v>
      </c>
      <c r="AK1545" s="20">
        <f t="shared" si="462"/>
        <v>0.11916394341605475</v>
      </c>
      <c r="AL1545" s="17"/>
      <c r="AM1545" s="17"/>
      <c r="AN1545" s="17"/>
      <c r="AO1545" s="17"/>
      <c r="AP1545" s="28" t="str">
        <f t="shared" si="463"/>
        <v>CancelCancel</v>
      </c>
      <c r="AQ1545" s="28" t="str">
        <f t="shared" si="464"/>
        <v>CancelCancelRMB</v>
      </c>
      <c r="AR1545" s="206" t="str">
        <f t="shared" si="465"/>
        <v>YAMAHA_Mounter</v>
      </c>
      <c r="AS1545" s="22" t="str">
        <f t="shared" si="466"/>
        <v/>
      </c>
      <c r="AT1545" s="24" t="str">
        <f t="shared" si="467"/>
        <v/>
      </c>
    </row>
    <row r="1546" spans="1:46" s="12" customFormat="1">
      <c r="A1546" s="33" t="str">
        <f t="shared" si="455"/>
        <v>FY 21/22</v>
      </c>
      <c r="B1546" s="152">
        <v>2022</v>
      </c>
      <c r="C1546" s="152">
        <v>1</v>
      </c>
      <c r="D1546" s="33" t="str">
        <f t="shared" si="456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57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58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68"/>
        <v>1.13</v>
      </c>
      <c r="Z1546" s="18">
        <f t="shared" si="469"/>
        <v>1300000</v>
      </c>
      <c r="AA1546" s="13">
        <v>1.175</v>
      </c>
      <c r="AB1546" s="21">
        <f t="shared" si="459"/>
        <v>1351769.9115044249</v>
      </c>
      <c r="AC1546" s="130">
        <f t="shared" si="460"/>
        <v>162212.38938053098</v>
      </c>
      <c r="AD1546" s="169">
        <v>0.12</v>
      </c>
      <c r="AE1546" s="154">
        <f t="shared" si="461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70"/>
        <v>477651199.57437885</v>
      </c>
      <c r="AJ1546" s="19">
        <f t="shared" si="471"/>
        <v>56918800.518691957</v>
      </c>
      <c r="AK1546" s="20">
        <f t="shared" si="462"/>
        <v>0.11916394341605475</v>
      </c>
      <c r="AL1546" s="17"/>
      <c r="AM1546" s="17"/>
      <c r="AN1546" s="17"/>
      <c r="AO1546" s="17"/>
      <c r="AP1546" s="28" t="str">
        <f t="shared" si="463"/>
        <v>CancelCancel</v>
      </c>
      <c r="AQ1546" s="28" t="str">
        <f t="shared" si="464"/>
        <v>CancelCancelRMB</v>
      </c>
      <c r="AR1546" s="206" t="str">
        <f t="shared" si="465"/>
        <v>YAMAHA_Mounter</v>
      </c>
      <c r="AS1546" s="22" t="str">
        <f t="shared" si="466"/>
        <v/>
      </c>
      <c r="AT1546" s="24" t="str">
        <f t="shared" si="467"/>
        <v/>
      </c>
    </row>
    <row r="1547" spans="1:46" s="12" customFormat="1">
      <c r="A1547" s="33" t="str">
        <f t="shared" si="455"/>
        <v>FY 19/20</v>
      </c>
      <c r="B1547" s="152">
        <v>2020</v>
      </c>
      <c r="C1547" s="152">
        <v>1</v>
      </c>
      <c r="D1547" s="33" t="str">
        <f t="shared" si="456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57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58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69"/>
        <v>1000000</v>
      </c>
      <c r="AA1547" s="13">
        <v>1.095</v>
      </c>
      <c r="AB1547" s="21">
        <f t="shared" si="459"/>
        <v>969026.54867256642</v>
      </c>
      <c r="AC1547" s="130">
        <f t="shared" si="460"/>
        <v>102038.49557522126</v>
      </c>
      <c r="AD1547" s="169">
        <v>0.1053</v>
      </c>
      <c r="AE1547" s="154">
        <f t="shared" si="461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70"/>
        <v>33477255.428389374</v>
      </c>
      <c r="AJ1547" s="19">
        <f t="shared" si="471"/>
        <v>4578663.362915583</v>
      </c>
      <c r="AK1547" s="20">
        <f t="shared" si="462"/>
        <v>0.13676937682988152</v>
      </c>
      <c r="AL1547" s="17"/>
      <c r="AM1547" s="17"/>
      <c r="AN1547" s="17"/>
      <c r="AO1547" s="17"/>
      <c r="AP1547" s="28" t="str">
        <f t="shared" si="463"/>
        <v>20204</v>
      </c>
      <c r="AQ1547" s="28" t="str">
        <f t="shared" si="464"/>
        <v>20204RMB</v>
      </c>
      <c r="AR1547" s="206" t="str">
        <f t="shared" si="465"/>
        <v>YAMAHA_Mounter</v>
      </c>
      <c r="AS1547" s="22">
        <f t="shared" si="466"/>
        <v>3</v>
      </c>
      <c r="AT1547" s="24" t="str">
        <f t="shared" si="467"/>
        <v>0-3 months</v>
      </c>
    </row>
    <row r="1548" spans="1:46" s="12" customFormat="1">
      <c r="A1548" s="33" t="str">
        <f t="shared" si="455"/>
        <v>FY 19/20</v>
      </c>
      <c r="B1548" s="152">
        <v>2020</v>
      </c>
      <c r="C1548" s="152">
        <v>1</v>
      </c>
      <c r="D1548" s="33" t="str">
        <f t="shared" si="456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57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58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69"/>
        <v>1431600</v>
      </c>
      <c r="AA1548" s="13">
        <v>1.095</v>
      </c>
      <c r="AB1548" s="21">
        <f t="shared" si="459"/>
        <v>1387258.4070796461</v>
      </c>
      <c r="AC1548" s="130">
        <f t="shared" si="460"/>
        <v>146078.31026548674</v>
      </c>
      <c r="AD1548" s="169">
        <v>0.1053</v>
      </c>
      <c r="AE1548" s="154">
        <f t="shared" si="461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70"/>
        <v>33477255.428389374</v>
      </c>
      <c r="AJ1548" s="19">
        <f t="shared" si="471"/>
        <v>4578663.362915583</v>
      </c>
      <c r="AK1548" s="20">
        <f t="shared" si="462"/>
        <v>0.13676937682988152</v>
      </c>
      <c r="AL1548" s="17"/>
      <c r="AM1548" s="17"/>
      <c r="AN1548" s="17"/>
      <c r="AO1548" s="17"/>
      <c r="AP1548" s="28" t="str">
        <f t="shared" si="463"/>
        <v>20204</v>
      </c>
      <c r="AQ1548" s="28" t="str">
        <f t="shared" si="464"/>
        <v>20204RMB</v>
      </c>
      <c r="AR1548" s="206" t="str">
        <f t="shared" si="465"/>
        <v>YAMAHA_Mounter</v>
      </c>
      <c r="AS1548" s="22">
        <f t="shared" si="466"/>
        <v>3</v>
      </c>
      <c r="AT1548" s="24" t="str">
        <f t="shared" si="467"/>
        <v>0-3 months</v>
      </c>
    </row>
    <row r="1549" spans="1:46" s="12" customFormat="1">
      <c r="A1549" s="33" t="str">
        <f t="shared" si="455"/>
        <v>FY 21/22</v>
      </c>
      <c r="B1549" s="152">
        <v>2022</v>
      </c>
      <c r="C1549" s="152">
        <v>1</v>
      </c>
      <c r="D1549" s="33" t="str">
        <f t="shared" si="456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57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58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69"/>
        <v>541700</v>
      </c>
      <c r="AA1549" s="13">
        <v>1.105</v>
      </c>
      <c r="AB1549" s="21">
        <f t="shared" si="459"/>
        <v>529715.48672566377</v>
      </c>
      <c r="AC1549" s="130">
        <f t="shared" si="460"/>
        <v>63565.85840707965</v>
      </c>
      <c r="AD1549" s="169">
        <v>0.12</v>
      </c>
      <c r="AE1549" s="154">
        <f t="shared" si="461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70"/>
        <v>477651199.57437885</v>
      </c>
      <c r="AJ1549" s="19">
        <f t="shared" si="471"/>
        <v>56918800.518691957</v>
      </c>
      <c r="AK1549" s="20">
        <f t="shared" si="462"/>
        <v>0.11916394341605475</v>
      </c>
      <c r="AL1549" s="17"/>
      <c r="AM1549" s="17"/>
      <c r="AN1549" s="17"/>
      <c r="AO1549" s="17"/>
      <c r="AP1549" s="28" t="str">
        <f t="shared" si="463"/>
        <v>CancelCANCEL</v>
      </c>
      <c r="AQ1549" s="28" t="str">
        <f t="shared" si="464"/>
        <v>CancelCANCELRMB</v>
      </c>
      <c r="AR1549" s="206" t="str">
        <f t="shared" si="465"/>
        <v>YAMAHA_Mounter</v>
      </c>
      <c r="AS1549" s="22" t="str">
        <f t="shared" si="466"/>
        <v/>
      </c>
      <c r="AT1549" s="24" t="str">
        <f t="shared" si="467"/>
        <v/>
      </c>
    </row>
    <row r="1550" spans="1:46" s="12" customFormat="1">
      <c r="A1550" s="33" t="str">
        <f t="shared" si="455"/>
        <v>FY 19/20</v>
      </c>
      <c r="B1550" s="152">
        <v>2019</v>
      </c>
      <c r="C1550" s="152">
        <v>9</v>
      </c>
      <c r="D1550" s="33" t="str">
        <f t="shared" si="456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57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58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69"/>
        <v>1281500</v>
      </c>
      <c r="AA1550" s="13">
        <v>1.1100000000000001</v>
      </c>
      <c r="AB1550" s="21">
        <f t="shared" si="459"/>
        <v>1258818.5840707966</v>
      </c>
      <c r="AC1550" s="130">
        <f t="shared" si="460"/>
        <v>106496.05221238939</v>
      </c>
      <c r="AD1550" s="169">
        <v>8.4599999999999995E-2</v>
      </c>
      <c r="AE1550" s="154">
        <f t="shared" si="461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70"/>
        <v>26147030.909862842</v>
      </c>
      <c r="AJ1550" s="19">
        <f t="shared" si="471"/>
        <v>2743862.8630715334</v>
      </c>
      <c r="AK1550" s="20">
        <f t="shared" si="462"/>
        <v>0.10493974908778378</v>
      </c>
      <c r="AL1550" s="17"/>
      <c r="AM1550" s="17"/>
      <c r="AN1550" s="17"/>
      <c r="AO1550" s="17" t="s">
        <v>917</v>
      </c>
      <c r="AP1550" s="28" t="str">
        <f t="shared" si="463"/>
        <v>201911</v>
      </c>
      <c r="AQ1550" s="28" t="str">
        <f t="shared" si="464"/>
        <v>201911RMB</v>
      </c>
      <c r="AR1550" s="206" t="str">
        <f t="shared" si="465"/>
        <v>YAMAHA_Mounter</v>
      </c>
      <c r="AS1550" s="22">
        <f t="shared" si="466"/>
        <v>2</v>
      </c>
      <c r="AT1550" s="24" t="str">
        <f t="shared" si="467"/>
        <v>0-3 months</v>
      </c>
    </row>
    <row r="1551" spans="1:46" s="12" customFormat="1">
      <c r="A1551" s="33" t="str">
        <f t="shared" si="455"/>
        <v>FY 18/19</v>
      </c>
      <c r="B1551" s="152">
        <v>2018</v>
      </c>
      <c r="C1551" s="152">
        <v>11</v>
      </c>
      <c r="D1551" s="33" t="str">
        <f t="shared" si="456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57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58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69"/>
        <v>441196</v>
      </c>
      <c r="AA1551" s="13">
        <v>1.125</v>
      </c>
      <c r="AB1551" s="21">
        <f t="shared" si="459"/>
        <v>427884.05172413797</v>
      </c>
      <c r="AC1551" s="130">
        <f t="shared" si="460"/>
        <v>33760.051681034485</v>
      </c>
      <c r="AD1551" s="169">
        <v>7.8899999999999998E-2</v>
      </c>
      <c r="AE1551" s="154">
        <f t="shared" si="461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70"/>
        <v>29840797.698275864</v>
      </c>
      <c r="AJ1551" s="19">
        <f t="shared" si="471"/>
        <v>3940167.6555448272</v>
      </c>
      <c r="AK1551" s="20">
        <f t="shared" si="462"/>
        <v>0.13203962224416277</v>
      </c>
      <c r="AL1551" s="17"/>
      <c r="AM1551" s="17"/>
      <c r="AN1551" s="17"/>
      <c r="AO1551" s="17"/>
      <c r="AP1551" s="28" t="str">
        <f t="shared" si="463"/>
        <v>201812</v>
      </c>
      <c r="AQ1551" s="28" t="str">
        <f t="shared" si="464"/>
        <v>201812RMB</v>
      </c>
      <c r="AR1551" s="206" t="str">
        <f t="shared" si="465"/>
        <v>HELLER</v>
      </c>
      <c r="AS1551" s="22">
        <f t="shared" si="466"/>
        <v>1</v>
      </c>
      <c r="AT1551" s="24" t="str">
        <f t="shared" si="467"/>
        <v>0-3 months</v>
      </c>
    </row>
    <row r="1552" spans="1:46" s="12" customFormat="1">
      <c r="A1552" s="33" t="str">
        <f t="shared" si="455"/>
        <v>FY 20/21</v>
      </c>
      <c r="B1552" s="152">
        <v>2020</v>
      </c>
      <c r="C1552" s="152">
        <v>8</v>
      </c>
      <c r="D1552" s="33" t="str">
        <f t="shared" si="456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57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58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69"/>
        <v>1000000</v>
      </c>
      <c r="AA1552" s="13">
        <v>1.105</v>
      </c>
      <c r="AB1552" s="21">
        <f t="shared" si="459"/>
        <v>977876.10619469034</v>
      </c>
      <c r="AC1552" s="130">
        <f t="shared" si="460"/>
        <v>113140.26548672566</v>
      </c>
      <c r="AD1552" s="169">
        <v>0.1157</v>
      </c>
      <c r="AE1552" s="154">
        <f t="shared" si="461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70"/>
        <v>37969334.083628319</v>
      </c>
      <c r="AJ1552" s="19">
        <f t="shared" si="471"/>
        <v>5097226.4551657084</v>
      </c>
      <c r="AK1552" s="20">
        <f t="shared" si="462"/>
        <v>0.13424587441904964</v>
      </c>
      <c r="AL1552" s="17"/>
      <c r="AM1552" s="17"/>
      <c r="AN1552" s="17"/>
      <c r="AO1552" s="17"/>
      <c r="AP1552" s="28" t="str">
        <f t="shared" si="463"/>
        <v>20208</v>
      </c>
      <c r="AQ1552" s="28" t="str">
        <f t="shared" si="464"/>
        <v>20208RMB</v>
      </c>
      <c r="AR1552" s="206" t="str">
        <f t="shared" si="465"/>
        <v>YAMAHA_Mounter</v>
      </c>
      <c r="AS1552" s="22">
        <f t="shared" si="466"/>
        <v>0</v>
      </c>
      <c r="AT1552" s="24" t="str">
        <f t="shared" si="467"/>
        <v>0-3 months</v>
      </c>
    </row>
    <row r="1553" spans="1:46" s="12" customFormat="1">
      <c r="A1553" s="33" t="str">
        <f t="shared" si="455"/>
        <v>FY 20/21</v>
      </c>
      <c r="B1553" s="152">
        <v>2020</v>
      </c>
      <c r="C1553" s="152">
        <v>8</v>
      </c>
      <c r="D1553" s="33" t="str">
        <f t="shared" si="456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57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58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69"/>
        <v>738700</v>
      </c>
      <c r="AA1553" s="13">
        <v>1.105</v>
      </c>
      <c r="AB1553" s="21">
        <f t="shared" si="459"/>
        <v>722357.07964601775</v>
      </c>
      <c r="AC1553" s="130">
        <f t="shared" si="460"/>
        <v>83576.714115044248</v>
      </c>
      <c r="AD1553" s="169">
        <v>0.1157</v>
      </c>
      <c r="AE1553" s="154">
        <f t="shared" si="461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70"/>
        <v>37969334.083628319</v>
      </c>
      <c r="AJ1553" s="19">
        <f t="shared" si="471"/>
        <v>5097226.4551657084</v>
      </c>
      <c r="AK1553" s="20">
        <f t="shared" si="462"/>
        <v>0.13424587441904964</v>
      </c>
      <c r="AL1553" s="17"/>
      <c r="AM1553" s="17"/>
      <c r="AN1553" s="17"/>
      <c r="AO1553" s="17"/>
      <c r="AP1553" s="28" t="str">
        <f t="shared" si="463"/>
        <v>20208</v>
      </c>
      <c r="AQ1553" s="28" t="str">
        <f t="shared" si="464"/>
        <v>20208RMB</v>
      </c>
      <c r="AR1553" s="206" t="str">
        <f t="shared" si="465"/>
        <v>YAMAHA_Mounter</v>
      </c>
      <c r="AS1553" s="22">
        <f t="shared" si="466"/>
        <v>0</v>
      </c>
      <c r="AT1553" s="24" t="str">
        <f t="shared" si="467"/>
        <v>0-3 months</v>
      </c>
    </row>
    <row r="1554" spans="1:46" s="12" customFormat="1">
      <c r="A1554" s="33" t="str">
        <f t="shared" si="455"/>
        <v>FY 22/23</v>
      </c>
      <c r="B1554" s="152">
        <v>2022</v>
      </c>
      <c r="C1554" s="152">
        <v>7</v>
      </c>
      <c r="D1554" s="33" t="str">
        <f t="shared" si="456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57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58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69"/>
        <v>1015900</v>
      </c>
      <c r="AA1554" s="13">
        <v>1.1000000000000001</v>
      </c>
      <c r="AB1554" s="21">
        <f t="shared" si="459"/>
        <v>988929.20353982318</v>
      </c>
      <c r="AC1554" s="130">
        <f t="shared" si="460"/>
        <v>206587.31061946906</v>
      </c>
      <c r="AD1554" s="169">
        <v>0.2089</v>
      </c>
      <c r="AE1554" s="154">
        <f t="shared" si="461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70"/>
        <v>22717528.991150443</v>
      </c>
      <c r="AJ1554" s="19">
        <f t="shared" si="471"/>
        <v>3947747.192555753</v>
      </c>
      <c r="AK1554" s="20">
        <f t="shared" si="462"/>
        <v>0.1737753782153679</v>
      </c>
      <c r="AL1554" s="17"/>
      <c r="AM1554" s="17"/>
      <c r="AN1554" s="17"/>
      <c r="AO1554" s="17"/>
      <c r="AP1554" s="28" t="str">
        <f t="shared" si="463"/>
        <v>202210</v>
      </c>
      <c r="AQ1554" s="28" t="str">
        <f t="shared" si="464"/>
        <v>202210RMB</v>
      </c>
      <c r="AR1554" s="206" t="str">
        <f t="shared" si="465"/>
        <v>YAMAHA_Mounter</v>
      </c>
      <c r="AS1554" s="22">
        <f t="shared" si="466"/>
        <v>3</v>
      </c>
      <c r="AT1554" s="24" t="str">
        <f t="shared" si="467"/>
        <v>0-3 months</v>
      </c>
    </row>
    <row r="1555" spans="1:46" s="12" customFormat="1">
      <c r="A1555" s="33" t="str">
        <f t="shared" si="455"/>
        <v>FY 22/23</v>
      </c>
      <c r="B1555" s="152">
        <v>2022</v>
      </c>
      <c r="C1555" s="152">
        <v>11</v>
      </c>
      <c r="D1555" s="33" t="str">
        <f t="shared" si="456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57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58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69"/>
        <v>704000</v>
      </c>
      <c r="AA1555" s="13">
        <v>1.08</v>
      </c>
      <c r="AB1555" s="21">
        <f t="shared" si="459"/>
        <v>672849.55752212403</v>
      </c>
      <c r="AC1555" s="130">
        <f t="shared" si="460"/>
        <v>72802.322123893828</v>
      </c>
      <c r="AD1555" s="169">
        <v>0.1082</v>
      </c>
      <c r="AE1555" s="154">
        <f t="shared" si="461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70"/>
        <v>31017966.201968137</v>
      </c>
      <c r="AJ1555" s="19">
        <f t="shared" si="471"/>
        <v>4704250.3347305888</v>
      </c>
      <c r="AK1555" s="20">
        <f t="shared" si="462"/>
        <v>0.15166211427595458</v>
      </c>
      <c r="AL1555" s="17"/>
      <c r="AM1555" s="17"/>
      <c r="AN1555" s="17"/>
      <c r="AO1555" s="17"/>
      <c r="AP1555" s="28" t="str">
        <f t="shared" si="463"/>
        <v>202211</v>
      </c>
      <c r="AQ1555" s="28" t="str">
        <f t="shared" si="464"/>
        <v>202211RMB</v>
      </c>
      <c r="AR1555" s="206" t="str">
        <f t="shared" si="465"/>
        <v>YAMAHA_Mounter</v>
      </c>
      <c r="AS1555" s="22">
        <f t="shared" si="466"/>
        <v>0</v>
      </c>
      <c r="AT1555" s="24" t="str">
        <f t="shared" si="467"/>
        <v>0-3 months</v>
      </c>
    </row>
    <row r="1556" spans="1:46" s="12" customFormat="1">
      <c r="A1556" s="33" t="str">
        <f t="shared" si="455"/>
        <v>FY 19/20</v>
      </c>
      <c r="B1556" s="152">
        <v>2019</v>
      </c>
      <c r="C1556" s="152">
        <v>5</v>
      </c>
      <c r="D1556" s="33" t="str">
        <f t="shared" si="456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57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58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69"/>
        <v>1300000</v>
      </c>
      <c r="AA1556" s="13">
        <v>1.135</v>
      </c>
      <c r="AB1556" s="21">
        <f t="shared" si="459"/>
        <v>1305752.2123893807</v>
      </c>
      <c r="AC1556" s="130">
        <f t="shared" si="460"/>
        <v>105243.62831858409</v>
      </c>
      <c r="AD1556" s="169">
        <v>8.0600000000000005E-2</v>
      </c>
      <c r="AE1556" s="154">
        <f t="shared" si="461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70"/>
        <v>21386017.707964607</v>
      </c>
      <c r="AJ1556" s="19">
        <f t="shared" si="471"/>
        <v>2238764.3265707968</v>
      </c>
      <c r="AK1556" s="20">
        <f t="shared" si="462"/>
        <v>0.10468355339185161</v>
      </c>
      <c r="AL1556" s="17"/>
      <c r="AM1556" s="17"/>
      <c r="AN1556" s="17"/>
      <c r="AO1556" s="17"/>
      <c r="AP1556" s="28" t="str">
        <f t="shared" si="463"/>
        <v>20198</v>
      </c>
      <c r="AQ1556" s="28" t="str">
        <f t="shared" si="464"/>
        <v>20198RMB</v>
      </c>
      <c r="AR1556" s="206" t="str">
        <f t="shared" si="465"/>
        <v>YAMAHA_Mounter</v>
      </c>
      <c r="AS1556" s="22">
        <f t="shared" si="466"/>
        <v>3</v>
      </c>
      <c r="AT1556" s="24" t="str">
        <f t="shared" si="467"/>
        <v>0-3 months</v>
      </c>
    </row>
    <row r="1557" spans="1:46" s="12" customFormat="1">
      <c r="A1557" s="33" t="str">
        <f t="shared" si="455"/>
        <v>FY 18/19</v>
      </c>
      <c r="B1557" s="152">
        <v>2018</v>
      </c>
      <c r="C1557" s="152">
        <v>6</v>
      </c>
      <c r="D1557" s="33" t="str">
        <f t="shared" si="456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57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58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69"/>
        <v>779310.34</v>
      </c>
      <c r="AA1557" s="13">
        <v>1.1599999999999999</v>
      </c>
      <c r="AB1557" s="21">
        <f t="shared" si="459"/>
        <v>799999.99504424783</v>
      </c>
      <c r="AC1557" s="130">
        <f t="shared" si="460"/>
        <v>81679.999494017698</v>
      </c>
      <c r="AD1557" s="169">
        <v>0.1021</v>
      </c>
      <c r="AE1557" s="154">
        <f t="shared" si="461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70"/>
        <v>32843736.557277881</v>
      </c>
      <c r="AJ1557" s="19">
        <f t="shared" si="471"/>
        <v>3921470.6822663117</v>
      </c>
      <c r="AK1557" s="20">
        <f t="shared" si="462"/>
        <v>0.11939782416131177</v>
      </c>
      <c r="AL1557" s="17"/>
      <c r="AM1557" s="17"/>
      <c r="AN1557" s="17"/>
      <c r="AO1557" s="17"/>
      <c r="AP1557" s="28" t="str">
        <f t="shared" si="463"/>
        <v>20194</v>
      </c>
      <c r="AQ1557" s="28" t="str">
        <f t="shared" si="464"/>
        <v>20194RMB</v>
      </c>
      <c r="AR1557" s="206" t="str">
        <f t="shared" si="465"/>
        <v>YAMAHA_Mounter</v>
      </c>
      <c r="AS1557" s="22">
        <f t="shared" si="466"/>
        <v>10</v>
      </c>
      <c r="AT1557" s="24" t="str">
        <f t="shared" si="467"/>
        <v>&gt; 6 months</v>
      </c>
    </row>
    <row r="1558" spans="1:46" s="12" customFormat="1">
      <c r="A1558" s="33" t="str">
        <f t="shared" si="455"/>
        <v>FY 18/19</v>
      </c>
      <c r="B1558" s="152">
        <v>2018</v>
      </c>
      <c r="C1558" s="152">
        <v>6</v>
      </c>
      <c r="D1558" s="33" t="str">
        <f t="shared" si="456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57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58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69"/>
        <v>584482.76</v>
      </c>
      <c r="AA1558" s="13">
        <v>1.1599999999999999</v>
      </c>
      <c r="AB1558" s="21">
        <f t="shared" si="459"/>
        <v>600000.00141592917</v>
      </c>
      <c r="AC1558" s="130">
        <f t="shared" si="460"/>
        <v>61260.000144566366</v>
      </c>
      <c r="AD1558" s="169">
        <v>0.1021</v>
      </c>
      <c r="AE1558" s="154">
        <f t="shared" si="461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70"/>
        <v>32843736.557277881</v>
      </c>
      <c r="AJ1558" s="19">
        <f t="shared" si="471"/>
        <v>3921470.6822663117</v>
      </c>
      <c r="AK1558" s="20">
        <f t="shared" si="462"/>
        <v>0.11939782416131177</v>
      </c>
      <c r="AL1558" s="17"/>
      <c r="AM1558" s="17"/>
      <c r="AN1558" s="17"/>
      <c r="AO1558" s="17"/>
      <c r="AP1558" s="28" t="str">
        <f t="shared" si="463"/>
        <v>20194</v>
      </c>
      <c r="AQ1558" s="28" t="str">
        <f t="shared" si="464"/>
        <v>20194RMB</v>
      </c>
      <c r="AR1558" s="206" t="str">
        <f t="shared" si="465"/>
        <v>YAMAHA_Mounter</v>
      </c>
      <c r="AS1558" s="22">
        <f t="shared" si="466"/>
        <v>10</v>
      </c>
      <c r="AT1558" s="24" t="str">
        <f t="shared" si="467"/>
        <v>&gt; 6 months</v>
      </c>
    </row>
    <row r="1559" spans="1:46" s="12" customFormat="1">
      <c r="A1559" s="33" t="str">
        <f t="shared" si="455"/>
        <v>FY 16/17</v>
      </c>
      <c r="B1559" s="152">
        <v>2017</v>
      </c>
      <c r="C1559" s="152">
        <v>3</v>
      </c>
      <c r="D1559" s="33" t="str">
        <f t="shared" si="456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57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58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69"/>
        <v>800000</v>
      </c>
      <c r="AA1559" s="13">
        <v>1.1499999999999999</v>
      </c>
      <c r="AB1559" s="21">
        <f t="shared" si="459"/>
        <v>793103.44827586203</v>
      </c>
      <c r="AC1559" s="130">
        <f t="shared" si="460"/>
        <v>95172.413793103435</v>
      </c>
      <c r="AD1559" s="169">
        <v>0.12</v>
      </c>
      <c r="AE1559" s="154">
        <f t="shared" si="461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70"/>
        <v>26492741.106427077</v>
      </c>
      <c r="AJ1559" s="19">
        <f t="shared" si="471"/>
        <v>3348032.1325698122</v>
      </c>
      <c r="AK1559" s="20">
        <f t="shared" si="462"/>
        <v>0.12637545201985867</v>
      </c>
      <c r="AL1559" s="17"/>
      <c r="AM1559" s="17"/>
      <c r="AN1559" s="17" t="s">
        <v>152</v>
      </c>
      <c r="AO1559" s="17"/>
      <c r="AP1559" s="28" t="str">
        <f t="shared" si="463"/>
        <v>20189</v>
      </c>
      <c r="AQ1559" s="28" t="str">
        <f t="shared" si="464"/>
        <v>20189RMB</v>
      </c>
      <c r="AR1559" s="206" t="str">
        <f t="shared" si="465"/>
        <v>YAMAHA_Mounter</v>
      </c>
      <c r="AS1559" s="22">
        <f t="shared" si="466"/>
        <v>18</v>
      </c>
      <c r="AT1559" s="24" t="str">
        <f t="shared" si="467"/>
        <v>&gt; 6 months</v>
      </c>
    </row>
    <row r="1560" spans="1:46" s="12" customFormat="1">
      <c r="A1560" s="33" t="str">
        <f t="shared" si="455"/>
        <v>FY 16/17</v>
      </c>
      <c r="B1560" s="152">
        <v>2017</v>
      </c>
      <c r="C1560" s="152">
        <v>3</v>
      </c>
      <c r="D1560" s="33" t="str">
        <f t="shared" si="456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57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58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69"/>
        <v>450000</v>
      </c>
      <c r="AA1560" s="13">
        <v>1.1499999999999999</v>
      </c>
      <c r="AB1560" s="21">
        <f t="shared" si="459"/>
        <v>446120.68965517241</v>
      </c>
      <c r="AC1560" s="130">
        <f t="shared" si="460"/>
        <v>53534.482758620688</v>
      </c>
      <c r="AD1560" s="169">
        <v>0.12</v>
      </c>
      <c r="AE1560" s="154">
        <f t="shared" si="461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70"/>
        <v>26492741.106427077</v>
      </c>
      <c r="AJ1560" s="19">
        <f t="shared" si="471"/>
        <v>3348032.1325698122</v>
      </c>
      <c r="AK1560" s="20">
        <f t="shared" si="462"/>
        <v>0.12637545201985867</v>
      </c>
      <c r="AL1560" s="17"/>
      <c r="AM1560" s="17"/>
      <c r="AN1560" s="17" t="s">
        <v>156</v>
      </c>
      <c r="AO1560" s="17"/>
      <c r="AP1560" s="28" t="str">
        <f t="shared" si="463"/>
        <v>20189</v>
      </c>
      <c r="AQ1560" s="28" t="str">
        <f t="shared" si="464"/>
        <v>20189RMB</v>
      </c>
      <c r="AR1560" s="206" t="str">
        <f t="shared" si="465"/>
        <v>YAMAHA_Mounter</v>
      </c>
      <c r="AS1560" s="22">
        <f t="shared" si="466"/>
        <v>18</v>
      </c>
      <c r="AT1560" s="24" t="str">
        <f t="shared" si="467"/>
        <v>&gt; 6 months</v>
      </c>
    </row>
    <row r="1561" spans="1:46" s="12" customFormat="1">
      <c r="A1561" s="33" t="str">
        <f t="shared" si="455"/>
        <v>FY 16/17</v>
      </c>
      <c r="B1561" s="152">
        <v>2017</v>
      </c>
      <c r="C1561" s="152">
        <v>3</v>
      </c>
      <c r="D1561" s="33" t="str">
        <f t="shared" si="456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57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58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69"/>
        <v>673419</v>
      </c>
      <c r="AA1561" s="13">
        <v>1.1499999999999999</v>
      </c>
      <c r="AB1561" s="21">
        <f t="shared" si="459"/>
        <v>667613.66379310342</v>
      </c>
      <c r="AC1561" s="130">
        <f t="shared" si="460"/>
        <v>80113.639655172403</v>
      </c>
      <c r="AD1561" s="169">
        <v>0.12</v>
      </c>
      <c r="AE1561" s="154">
        <f t="shared" si="461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70"/>
        <v>26492741.106427077</v>
      </c>
      <c r="AJ1561" s="19">
        <f t="shared" si="471"/>
        <v>3348032.1325698122</v>
      </c>
      <c r="AK1561" s="20">
        <f t="shared" si="462"/>
        <v>0.12637545201985867</v>
      </c>
      <c r="AL1561" s="17"/>
      <c r="AM1561" s="17"/>
      <c r="AN1561" s="17" t="s">
        <v>157</v>
      </c>
      <c r="AO1561" s="17"/>
      <c r="AP1561" s="28" t="str">
        <f t="shared" si="463"/>
        <v>20189</v>
      </c>
      <c r="AQ1561" s="28" t="str">
        <f t="shared" si="464"/>
        <v>20189RMB</v>
      </c>
      <c r="AR1561" s="206" t="str">
        <f t="shared" si="465"/>
        <v>YAMAHA_Mounter</v>
      </c>
      <c r="AS1561" s="22">
        <f t="shared" si="466"/>
        <v>18</v>
      </c>
      <c r="AT1561" s="24" t="str">
        <f t="shared" si="467"/>
        <v>&gt; 6 months</v>
      </c>
    </row>
    <row r="1562" spans="1:46" s="12" customFormat="1">
      <c r="A1562" s="33" t="str">
        <f t="shared" si="455"/>
        <v>FY 22/23</v>
      </c>
      <c r="B1562" s="152">
        <v>2022</v>
      </c>
      <c r="C1562" s="152">
        <v>6</v>
      </c>
      <c r="D1562" s="33" t="str">
        <f t="shared" si="456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57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58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69"/>
        <v>930000</v>
      </c>
      <c r="AA1562" s="13">
        <v>1.163</v>
      </c>
      <c r="AB1562" s="21">
        <f t="shared" si="459"/>
        <v>957159.29203539842</v>
      </c>
      <c r="AC1562" s="130">
        <f t="shared" si="460"/>
        <v>137352.35840707965</v>
      </c>
      <c r="AD1562" s="169">
        <v>0.14349999999999999</v>
      </c>
      <c r="AE1562" s="154">
        <f t="shared" si="461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70"/>
        <v>35073581.838938057</v>
      </c>
      <c r="AJ1562" s="19">
        <f t="shared" si="471"/>
        <v>5034113.9728989396</v>
      </c>
      <c r="AK1562" s="20">
        <f t="shared" si="462"/>
        <v>0.14353007902118958</v>
      </c>
      <c r="AL1562" s="17"/>
      <c r="AM1562" s="17"/>
      <c r="AN1562" s="17"/>
      <c r="AO1562" s="17"/>
      <c r="AP1562" s="28" t="str">
        <f t="shared" si="463"/>
        <v>20228</v>
      </c>
      <c r="AQ1562" s="28" t="str">
        <f t="shared" si="464"/>
        <v>20228RMB</v>
      </c>
      <c r="AR1562" s="206" t="str">
        <f t="shared" si="465"/>
        <v>PEMTRON</v>
      </c>
      <c r="AS1562" s="22">
        <f t="shared" si="466"/>
        <v>2</v>
      </c>
      <c r="AT1562" s="24" t="str">
        <f t="shared" si="467"/>
        <v>0-3 months</v>
      </c>
    </row>
    <row r="1563" spans="1:46" s="12" customFormat="1">
      <c r="A1563" s="33" t="str">
        <f t="shared" si="455"/>
        <v>FY 18/19</v>
      </c>
      <c r="B1563" s="152">
        <v>2018</v>
      </c>
      <c r="C1563" s="152">
        <v>9</v>
      </c>
      <c r="D1563" s="33" t="str">
        <f t="shared" si="456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57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58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69"/>
        <v>449000</v>
      </c>
      <c r="AA1563" s="13">
        <v>1.125</v>
      </c>
      <c r="AB1563" s="21">
        <f t="shared" si="459"/>
        <v>435452.58620689658</v>
      </c>
      <c r="AC1563" s="130">
        <f t="shared" si="460"/>
        <v>52254.310344827587</v>
      </c>
      <c r="AD1563" s="169">
        <v>0.12</v>
      </c>
      <c r="AE1563" s="154">
        <f t="shared" si="461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70"/>
        <v>10785027.603448275</v>
      </c>
      <c r="AJ1563" s="19">
        <f t="shared" si="471"/>
        <v>1540894.1297982759</v>
      </c>
      <c r="AK1563" s="20">
        <f t="shared" si="462"/>
        <v>0.1428734525728621</v>
      </c>
      <c r="AL1563" s="17"/>
      <c r="AM1563" s="17"/>
      <c r="AN1563" s="17"/>
      <c r="AO1563" s="17"/>
      <c r="AP1563" s="28" t="str">
        <f t="shared" si="463"/>
        <v>201811</v>
      </c>
      <c r="AQ1563" s="28" t="str">
        <f t="shared" si="464"/>
        <v>201811RMB</v>
      </c>
      <c r="AR1563" s="206" t="str">
        <f t="shared" si="465"/>
        <v>PEMTRON</v>
      </c>
      <c r="AS1563" s="22">
        <f t="shared" si="466"/>
        <v>2</v>
      </c>
      <c r="AT1563" s="24" t="str">
        <f t="shared" si="467"/>
        <v>0-3 months</v>
      </c>
    </row>
    <row r="1564" spans="1:46" s="12" customFormat="1">
      <c r="A1564" s="33" t="str">
        <f t="shared" si="455"/>
        <v>FY 18/19</v>
      </c>
      <c r="B1564" s="152">
        <v>2018</v>
      </c>
      <c r="C1564" s="152">
        <v>9</v>
      </c>
      <c r="D1564" s="33" t="str">
        <f t="shared" si="456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57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58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69"/>
        <v>449000</v>
      </c>
      <c r="AA1564" s="13">
        <v>1.1499999999999999</v>
      </c>
      <c r="AB1564" s="21">
        <f t="shared" si="459"/>
        <v>456946.90265486727</v>
      </c>
      <c r="AC1564" s="130">
        <f t="shared" si="460"/>
        <v>54833.628318584073</v>
      </c>
      <c r="AD1564" s="169">
        <v>0.12</v>
      </c>
      <c r="AE1564" s="154">
        <f t="shared" si="461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70"/>
        <v>26492741.106427077</v>
      </c>
      <c r="AJ1564" s="19">
        <f t="shared" si="471"/>
        <v>3348032.1325698122</v>
      </c>
      <c r="AK1564" s="20">
        <f t="shared" si="462"/>
        <v>0.12637545201985867</v>
      </c>
      <c r="AL1564" s="17"/>
      <c r="AM1564" s="17"/>
      <c r="AN1564" s="17"/>
      <c r="AO1564" s="17"/>
      <c r="AP1564" s="28" t="str">
        <f t="shared" si="463"/>
        <v>20189</v>
      </c>
      <c r="AQ1564" s="28" t="str">
        <f t="shared" si="464"/>
        <v>20189RMB</v>
      </c>
      <c r="AR1564" s="206" t="str">
        <f t="shared" si="465"/>
        <v>PEMTRON</v>
      </c>
      <c r="AS1564" s="22">
        <f t="shared" si="466"/>
        <v>0</v>
      </c>
      <c r="AT1564" s="24" t="str">
        <f t="shared" si="467"/>
        <v>0-3 months</v>
      </c>
    </row>
    <row r="1565" spans="1:46" s="12" customFormat="1">
      <c r="A1565" s="33" t="str">
        <f t="shared" si="455"/>
        <v>FY 21/22</v>
      </c>
      <c r="B1565" s="152">
        <v>2021</v>
      </c>
      <c r="C1565" s="152">
        <v>8</v>
      </c>
      <c r="D1565" s="33" t="str">
        <f t="shared" si="456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57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58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69"/>
        <v>221600</v>
      </c>
      <c r="AA1565" s="13">
        <v>7.8</v>
      </c>
      <c r="AB1565" s="21">
        <f t="shared" si="459"/>
        <v>1728480</v>
      </c>
      <c r="AC1565" s="130">
        <f t="shared" si="460"/>
        <v>221418.28799999997</v>
      </c>
      <c r="AD1565" s="169">
        <v>0.12809999999999999</v>
      </c>
      <c r="AE1565" s="154">
        <f t="shared" si="461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70"/>
        <v>25380121.402654871</v>
      </c>
      <c r="AJ1565" s="19">
        <f t="shared" si="471"/>
        <v>3850343.1237796471</v>
      </c>
      <c r="AK1565" s="20">
        <f t="shared" si="462"/>
        <v>0.1517070412191521</v>
      </c>
      <c r="AL1565" s="17"/>
      <c r="AM1565" s="17"/>
      <c r="AN1565" s="17"/>
      <c r="AO1565" s="17"/>
      <c r="AP1565" s="28" t="str">
        <f t="shared" si="463"/>
        <v>202112</v>
      </c>
      <c r="AQ1565" s="28" t="str">
        <f t="shared" si="464"/>
        <v>202112USD</v>
      </c>
      <c r="AR1565" s="206" t="str">
        <f t="shared" si="465"/>
        <v>HELLER</v>
      </c>
      <c r="AS1565" s="22">
        <f t="shared" si="466"/>
        <v>4</v>
      </c>
      <c r="AT1565" s="24" t="str">
        <f t="shared" si="467"/>
        <v>4-6 months</v>
      </c>
    </row>
    <row r="1566" spans="1:46" s="12" customFormat="1">
      <c r="A1566" s="33" t="str">
        <f t="shared" si="455"/>
        <v>FY 21/22</v>
      </c>
      <c r="B1566" s="152">
        <v>2021</v>
      </c>
      <c r="C1566" s="152">
        <v>8</v>
      </c>
      <c r="D1566" s="33" t="str">
        <f t="shared" si="456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57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58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69"/>
        <v>119800</v>
      </c>
      <c r="AA1566" s="13">
        <v>7.8</v>
      </c>
      <c r="AB1566" s="21">
        <f t="shared" si="459"/>
        <v>934440</v>
      </c>
      <c r="AC1566" s="130">
        <f t="shared" si="460"/>
        <v>119701.764</v>
      </c>
      <c r="AD1566" s="169">
        <v>0.12809999999999999</v>
      </c>
      <c r="AE1566" s="154">
        <f t="shared" si="461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70"/>
        <v>25380121.402654871</v>
      </c>
      <c r="AJ1566" s="19">
        <f t="shared" si="471"/>
        <v>3850343.1237796471</v>
      </c>
      <c r="AK1566" s="20">
        <f t="shared" si="462"/>
        <v>0.1517070412191521</v>
      </c>
      <c r="AL1566" s="17"/>
      <c r="AM1566" s="17"/>
      <c r="AN1566" s="17"/>
      <c r="AO1566" s="17"/>
      <c r="AP1566" s="28" t="str">
        <f t="shared" si="463"/>
        <v>202112</v>
      </c>
      <c r="AQ1566" s="28" t="str">
        <f t="shared" si="464"/>
        <v>202112USD</v>
      </c>
      <c r="AR1566" s="206" t="str">
        <f t="shared" si="465"/>
        <v>HELLER</v>
      </c>
      <c r="AS1566" s="22">
        <f t="shared" si="466"/>
        <v>4</v>
      </c>
      <c r="AT1566" s="24" t="str">
        <f t="shared" si="467"/>
        <v>4-6 months</v>
      </c>
    </row>
    <row r="1567" spans="1:46" s="12" customFormat="1">
      <c r="A1567" s="33" t="str">
        <f t="shared" si="455"/>
        <v>FY 21/22</v>
      </c>
      <c r="B1567" s="152">
        <v>2021</v>
      </c>
      <c r="C1567" s="152">
        <v>9</v>
      </c>
      <c r="D1567" s="33" t="str">
        <f t="shared" si="456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57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58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69"/>
        <v>221600</v>
      </c>
      <c r="AA1567" s="13">
        <v>7.8</v>
      </c>
      <c r="AB1567" s="21">
        <f t="shared" si="459"/>
        <v>1728480</v>
      </c>
      <c r="AC1567" s="130">
        <f t="shared" si="460"/>
        <v>221418.28799999997</v>
      </c>
      <c r="AD1567" s="169">
        <v>0.12809999999999999</v>
      </c>
      <c r="AE1567" s="154">
        <f t="shared" si="461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70"/>
        <v>25380121.402654871</v>
      </c>
      <c r="AJ1567" s="19">
        <f t="shared" si="471"/>
        <v>3850343.1237796471</v>
      </c>
      <c r="AK1567" s="20">
        <f t="shared" si="462"/>
        <v>0.1517070412191521</v>
      </c>
      <c r="AL1567" s="17"/>
      <c r="AM1567" s="17"/>
      <c r="AN1567" s="17"/>
      <c r="AO1567" s="17"/>
      <c r="AP1567" s="28" t="str">
        <f t="shared" si="463"/>
        <v>202112</v>
      </c>
      <c r="AQ1567" s="28" t="str">
        <f t="shared" si="464"/>
        <v>202112USD</v>
      </c>
      <c r="AR1567" s="206" t="str">
        <f t="shared" si="465"/>
        <v>HELLER</v>
      </c>
      <c r="AS1567" s="22">
        <f t="shared" si="466"/>
        <v>3</v>
      </c>
      <c r="AT1567" s="24" t="str">
        <f t="shared" si="467"/>
        <v>0-3 months</v>
      </c>
    </row>
    <row r="1568" spans="1:46" s="12" customFormat="1">
      <c r="A1568" s="33" t="str">
        <f t="shared" ref="A1568:A1631" si="472">IF(C1568="cancel","cancel",IFERROR(IF(D1568="Q4","FY "&amp;RIGHT(B1568,2)-1&amp;"/"&amp;RIGHT(B1568,2),"FY "&amp;RIGHT(B1568,2)&amp;"/"&amp;RIGHT(B1568,2)+1),""))</f>
        <v>FY 21/22</v>
      </c>
      <c r="B1568" s="152">
        <v>2021</v>
      </c>
      <c r="C1568" s="152">
        <v>9</v>
      </c>
      <c r="D1568" s="33" t="str">
        <f t="shared" ref="D1568:D1631" si="473">IF(B1568="","",IF(AND(C1568&gt;=10,C1568&lt;=12),"Q3",IF(AND(C1568&gt;=1,C1568&lt;=3),"Q4",IF(AND(C1568&gt;=7,C1568&lt;=9),"Q2",IF(AND(C1568&gt;=4,C1568&lt;=6),"Q1")))))</f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ref="I1568:I1631" si="474">IFERROR(IF(F1568="","",IF(F1568="TBA","TBA",IF(F1568="Cancel","Cancel",IF(AND(G1568&gt;=10,G1568&lt;=12),"Q3",IF(AND(G1568&gt;=1,G1568&lt;=3),"Q4",IF(AND(G1568&gt;=7,G1568&lt;=9),"Q2",IF(AND(G1568&gt;=4,G1568&lt;=6),"Q1"))))))),"")</f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ref="P1568:P1631" si="475">IF(M1568="","",IF(AND(N1568&gt;0,L1568&lt;&gt;""),"MAIN UNIT",IF(AND(O1568&gt;0,L1568&lt;&gt;""),"SERVICE/ PARTS","C66 SERVICE/OTHERS")))</f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69"/>
        <v>119800</v>
      </c>
      <c r="AA1568" s="13">
        <v>7.8</v>
      </c>
      <c r="AB1568" s="21">
        <f t="shared" ref="AB1568:AB1631" si="476">IF(AND(R1568&lt;&gt;"C66",R1568&lt;&gt;""),Z1568/Y1568*AA1568,"")</f>
        <v>934440</v>
      </c>
      <c r="AC1568" s="130">
        <f t="shared" ref="AC1568:AC1631" si="477">IF(R1568&lt;&gt;"",AB1568*AD1568,"")</f>
        <v>119701.764</v>
      </c>
      <c r="AD1568" s="169">
        <v>0.12809999999999999</v>
      </c>
      <c r="AE1568" s="154">
        <f t="shared" ref="AE1568:AE1631" si="478">IF(Q1568="","",IF(Q1568="Yes",1,0))</f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70"/>
        <v>25380121.402654871</v>
      </c>
      <c r="AJ1568" s="19">
        <f t="shared" si="471"/>
        <v>3850343.1237796471</v>
      </c>
      <c r="AK1568" s="20">
        <f t="shared" ref="AK1568:AK1631" si="479">IF(AJ1568&gt;0,AJ1568/AI1568,"")</f>
        <v>0.1517070412191521</v>
      </c>
      <c r="AL1568" s="17"/>
      <c r="AM1568" s="17"/>
      <c r="AN1568" s="17"/>
      <c r="AO1568" s="17"/>
      <c r="AP1568" s="28" t="str">
        <f t="shared" ref="AP1568:AP1631" si="480">IF(F1568="","",F1568&amp;G1568)</f>
        <v>202112</v>
      </c>
      <c r="AQ1568" s="28" t="str">
        <f t="shared" ref="AQ1568:AQ1631" si="481">IF(W1568="","",F1568&amp;G1568&amp;W1568)</f>
        <v>202112USD</v>
      </c>
      <c r="AR1568" s="206" t="str">
        <f t="shared" ref="AR1568:AR1631" si="482">IFERROR(IF(AND(M1568="YAMAHA", R1568="C28"), "YAMAHA_Non_Mounter", IF(AND(M1568="YAMAHA", R1568="C49"), "YAMAHA_Mounter", M1568)),"")</f>
        <v>HELLER</v>
      </c>
      <c r="AS1568" s="22">
        <f t="shared" ref="AS1568:AS1631" si="483">IFERROR(IF(OR(G1568="TBA", G1568=""), "", DATEDIF(DATE(B1568, C1568, 1), DATE(F1568, G1568, 1), "M")),"")</f>
        <v>3</v>
      </c>
      <c r="AT1568" s="24" t="str">
        <f t="shared" ref="AT1568:AT1631" si="484">IF(ISNUMBER(AS1568), IF(AS1568&gt;=0, IF(AS1568&lt;=3, "0-3 months", IF(AS1568&lt;=6, "4-6 months", "&gt; 6 months"))), "")</f>
        <v>0-3 months</v>
      </c>
    </row>
    <row r="1569" spans="1:46" s="12" customFormat="1">
      <c r="A1569" s="33" t="str">
        <f t="shared" si="472"/>
        <v>FY 19/20</v>
      </c>
      <c r="B1569" s="152">
        <v>2019</v>
      </c>
      <c r="C1569" s="152">
        <v>4</v>
      </c>
      <c r="D1569" s="33" t="str">
        <f t="shared" si="473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74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75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69"/>
        <v>328000</v>
      </c>
      <c r="AA1569" s="13">
        <v>1.1599999999999999</v>
      </c>
      <c r="AB1569" s="21">
        <f t="shared" si="476"/>
        <v>336707.96460176993</v>
      </c>
      <c r="AC1569" s="130">
        <f t="shared" si="477"/>
        <v>41852.800000000003</v>
      </c>
      <c r="AD1569" s="169">
        <v>0.12429999999999999</v>
      </c>
      <c r="AE1569" s="154">
        <f t="shared" si="478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70"/>
        <v>14593788.187146019</v>
      </c>
      <c r="AJ1569" s="19">
        <f t="shared" si="471"/>
        <v>1868647.7321969916</v>
      </c>
      <c r="AK1569" s="20">
        <f t="shared" si="479"/>
        <v>0.12804404916900652</v>
      </c>
      <c r="AL1569" s="17"/>
      <c r="AM1569" s="17"/>
      <c r="AN1569" s="17"/>
      <c r="AO1569" s="17"/>
      <c r="AP1569" s="28" t="str">
        <f t="shared" si="480"/>
        <v>20195</v>
      </c>
      <c r="AQ1569" s="28" t="str">
        <f t="shared" si="481"/>
        <v>20195RMB</v>
      </c>
      <c r="AR1569" s="206" t="str">
        <f t="shared" si="482"/>
        <v>HELLER</v>
      </c>
      <c r="AS1569" s="22">
        <f t="shared" si="483"/>
        <v>1</v>
      </c>
      <c r="AT1569" s="24" t="str">
        <f t="shared" si="484"/>
        <v>0-3 months</v>
      </c>
    </row>
    <row r="1570" spans="1:46" s="12" customFormat="1">
      <c r="A1570" s="33" t="str">
        <f t="shared" si="472"/>
        <v>FY 19/20</v>
      </c>
      <c r="B1570" s="152">
        <v>2020</v>
      </c>
      <c r="C1570" s="152">
        <v>1</v>
      </c>
      <c r="D1570" s="33" t="str">
        <f t="shared" si="473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74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75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69"/>
        <v>342700</v>
      </c>
      <c r="AA1570" s="13">
        <v>1.1100000000000001</v>
      </c>
      <c r="AB1570" s="21">
        <f t="shared" si="476"/>
        <v>336634.51327433635</v>
      </c>
      <c r="AC1570" s="130">
        <f t="shared" si="477"/>
        <v>49013.985132743372</v>
      </c>
      <c r="AD1570" s="169">
        <v>0.14560000000000001</v>
      </c>
      <c r="AE1570" s="154">
        <f t="shared" si="478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70"/>
        <v>23168285.927433632</v>
      </c>
      <c r="AJ1570" s="19">
        <f t="shared" si="471"/>
        <v>2764878.916878053</v>
      </c>
      <c r="AK1570" s="20">
        <f t="shared" si="479"/>
        <v>0.11933895004309111</v>
      </c>
      <c r="AL1570" s="17"/>
      <c r="AM1570" s="17"/>
      <c r="AN1570" s="17"/>
      <c r="AO1570" s="17"/>
      <c r="AP1570" s="28" t="str">
        <f t="shared" si="480"/>
        <v>20203</v>
      </c>
      <c r="AQ1570" s="28" t="str">
        <f t="shared" si="481"/>
        <v>20203RMB</v>
      </c>
      <c r="AR1570" s="206" t="str">
        <f t="shared" si="482"/>
        <v>HELLER</v>
      </c>
      <c r="AS1570" s="22">
        <f t="shared" si="483"/>
        <v>2</v>
      </c>
      <c r="AT1570" s="24" t="str">
        <f t="shared" si="484"/>
        <v>0-3 months</v>
      </c>
    </row>
    <row r="1571" spans="1:46" s="12" customFormat="1">
      <c r="A1571" s="33" t="str">
        <f t="shared" si="472"/>
        <v>FY 20/21</v>
      </c>
      <c r="B1571" s="152">
        <v>2021</v>
      </c>
      <c r="C1571" s="152">
        <v>1</v>
      </c>
      <c r="D1571" s="33" t="str">
        <f t="shared" si="473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74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75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69"/>
        <v>320000</v>
      </c>
      <c r="AA1571" s="13">
        <v>1.18</v>
      </c>
      <c r="AB1571" s="21">
        <f t="shared" si="476"/>
        <v>334159.29203539825</v>
      </c>
      <c r="AC1571" s="130">
        <f t="shared" si="477"/>
        <v>48753.840707964606</v>
      </c>
      <c r="AD1571" s="169">
        <v>0.1459</v>
      </c>
      <c r="AE1571" s="154">
        <f t="shared" si="478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70"/>
        <v>43684091.636631854</v>
      </c>
      <c r="AJ1571" s="19">
        <f t="shared" si="471"/>
        <v>6483951.8242071122</v>
      </c>
      <c r="AK1571" s="20">
        <f t="shared" si="479"/>
        <v>0.14842821680123736</v>
      </c>
      <c r="AL1571" s="17"/>
      <c r="AM1571" s="17"/>
      <c r="AN1571" s="17"/>
      <c r="AO1571" s="17"/>
      <c r="AP1571" s="28" t="str">
        <f t="shared" si="480"/>
        <v>20214</v>
      </c>
      <c r="AQ1571" s="28" t="str">
        <f t="shared" si="481"/>
        <v>20214RMB</v>
      </c>
      <c r="AR1571" s="206" t="str">
        <f t="shared" si="482"/>
        <v>HELLER</v>
      </c>
      <c r="AS1571" s="22">
        <f t="shared" si="483"/>
        <v>3</v>
      </c>
      <c r="AT1571" s="24" t="str">
        <f t="shared" si="484"/>
        <v>0-3 months</v>
      </c>
    </row>
    <row r="1572" spans="1:46" s="12" customFormat="1">
      <c r="A1572" s="33" t="str">
        <f t="shared" si="472"/>
        <v>FY 20/21</v>
      </c>
      <c r="B1572" s="152">
        <v>2020</v>
      </c>
      <c r="C1572" s="152">
        <v>9</v>
      </c>
      <c r="D1572" s="33" t="str">
        <f t="shared" si="473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74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75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69"/>
        <v>1225156</v>
      </c>
      <c r="AA1572" s="13">
        <v>1.175</v>
      </c>
      <c r="AB1572" s="21">
        <f t="shared" si="476"/>
        <v>1273945.3982300886</v>
      </c>
      <c r="AC1572" s="130">
        <f t="shared" si="477"/>
        <v>147268.08803539825</v>
      </c>
      <c r="AD1572" s="169">
        <v>0.11559999999999999</v>
      </c>
      <c r="AE1572" s="154">
        <f t="shared" si="478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70"/>
        <v>48763143.537654862</v>
      </c>
      <c r="AJ1572" s="19">
        <f t="shared" si="471"/>
        <v>5924029.9702154724</v>
      </c>
      <c r="AK1572" s="20">
        <f t="shared" si="479"/>
        <v>0.1214858095774925</v>
      </c>
      <c r="AL1572" s="17"/>
      <c r="AM1572" s="17"/>
      <c r="AN1572" s="17"/>
      <c r="AO1572" s="17"/>
      <c r="AP1572" s="28" t="str">
        <f t="shared" si="480"/>
        <v>202012</v>
      </c>
      <c r="AQ1572" s="28" t="str">
        <f t="shared" si="481"/>
        <v>202012RMB</v>
      </c>
      <c r="AR1572" s="206" t="str">
        <f t="shared" si="482"/>
        <v>YAMAHA_Mounter</v>
      </c>
      <c r="AS1572" s="22">
        <f t="shared" si="483"/>
        <v>3</v>
      </c>
      <c r="AT1572" s="24" t="str">
        <f t="shared" si="484"/>
        <v>0-3 months</v>
      </c>
    </row>
    <row r="1573" spans="1:46" s="12" customFormat="1">
      <c r="A1573" s="33" t="str">
        <f t="shared" si="472"/>
        <v>FY 17/18</v>
      </c>
      <c r="B1573" s="152">
        <v>2018</v>
      </c>
      <c r="C1573" s="152">
        <v>3</v>
      </c>
      <c r="D1573" s="33" t="str">
        <f t="shared" si="473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74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75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69"/>
        <v>736000</v>
      </c>
      <c r="AA1573" s="13">
        <v>1.23</v>
      </c>
      <c r="AB1573" s="21">
        <f t="shared" si="476"/>
        <v>773743.58974358975</v>
      </c>
      <c r="AC1573" s="130">
        <f t="shared" si="477"/>
        <v>125888.08205128206</v>
      </c>
      <c r="AD1573" s="169">
        <v>0.16270000000000001</v>
      </c>
      <c r="AE1573" s="154">
        <f t="shared" si="478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70"/>
        <v>29288201.603076916</v>
      </c>
      <c r="AJ1573" s="19">
        <f t="shared" si="471"/>
        <v>3870159.1769246152</v>
      </c>
      <c r="AK1573" s="20">
        <f t="shared" si="479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80"/>
        <v>20184</v>
      </c>
      <c r="AQ1573" s="28" t="str">
        <f t="shared" si="481"/>
        <v>20184RMB</v>
      </c>
      <c r="AR1573" s="206" t="str">
        <f t="shared" si="482"/>
        <v>YAMAHA_Mounter</v>
      </c>
      <c r="AS1573" s="22">
        <f t="shared" si="483"/>
        <v>1</v>
      </c>
      <c r="AT1573" s="24" t="str">
        <f t="shared" si="484"/>
        <v>0-3 months</v>
      </c>
    </row>
    <row r="1574" spans="1:46" s="12" customFormat="1">
      <c r="A1574" s="33" t="str">
        <f t="shared" si="472"/>
        <v>FY 21/22</v>
      </c>
      <c r="B1574" s="152">
        <v>2021</v>
      </c>
      <c r="C1574" s="152">
        <v>4</v>
      </c>
      <c r="D1574" s="33" t="str">
        <f t="shared" si="473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74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75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69"/>
        <v>560000</v>
      </c>
      <c r="AA1574" s="13">
        <v>1.2150000000000001</v>
      </c>
      <c r="AB1574" s="21">
        <f t="shared" si="476"/>
        <v>602123.89380530978</v>
      </c>
      <c r="AC1574" s="130">
        <f t="shared" si="477"/>
        <v>103926.58407079647</v>
      </c>
      <c r="AD1574" s="169">
        <v>0.1726</v>
      </c>
      <c r="AE1574" s="154">
        <f t="shared" si="478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70"/>
        <v>54700260.692079648</v>
      </c>
      <c r="AJ1574" s="19">
        <f t="shared" si="471"/>
        <v>7482899.5749188727</v>
      </c>
      <c r="AK1574" s="20">
        <f t="shared" si="479"/>
        <v>0.13679824337660537</v>
      </c>
      <c r="AL1574" s="17"/>
      <c r="AM1574" s="17"/>
      <c r="AN1574" s="17"/>
      <c r="AO1574" s="17"/>
      <c r="AP1574" s="28" t="str">
        <f t="shared" si="480"/>
        <v>20216</v>
      </c>
      <c r="AQ1574" s="28" t="str">
        <f t="shared" si="481"/>
        <v>20216RMB</v>
      </c>
      <c r="AR1574" s="206" t="str">
        <f t="shared" si="482"/>
        <v>YAMAHA_Mounter</v>
      </c>
      <c r="AS1574" s="22">
        <f t="shared" si="483"/>
        <v>2</v>
      </c>
      <c r="AT1574" s="24" t="str">
        <f t="shared" si="484"/>
        <v>0-3 months</v>
      </c>
    </row>
    <row r="1575" spans="1:46" s="12" customFormat="1">
      <c r="A1575" s="33" t="str">
        <f t="shared" si="472"/>
        <v>FY 20/21</v>
      </c>
      <c r="B1575" s="152">
        <v>2021</v>
      </c>
      <c r="C1575" s="152">
        <v>1</v>
      </c>
      <c r="D1575" s="33" t="str">
        <f t="shared" si="473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74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75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69"/>
        <v>628000</v>
      </c>
      <c r="AA1575" s="13">
        <v>1.2</v>
      </c>
      <c r="AB1575" s="21">
        <f t="shared" si="476"/>
        <v>666902.65486725664</v>
      </c>
      <c r="AC1575" s="130">
        <f t="shared" si="477"/>
        <v>109572.10619469026</v>
      </c>
      <c r="AD1575" s="169">
        <v>0.1643</v>
      </c>
      <c r="AE1575" s="154">
        <f t="shared" si="478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70"/>
        <v>41443303.53761062</v>
      </c>
      <c r="AJ1575" s="19">
        <f t="shared" si="471"/>
        <v>6194988.76643031</v>
      </c>
      <c r="AK1575" s="20">
        <f t="shared" si="479"/>
        <v>0.1494810557466355</v>
      </c>
      <c r="AL1575" s="17"/>
      <c r="AM1575" s="17"/>
      <c r="AN1575" s="17"/>
      <c r="AO1575" s="17"/>
      <c r="AP1575" s="28" t="str">
        <f t="shared" si="480"/>
        <v>20217</v>
      </c>
      <c r="AQ1575" s="28" t="str">
        <f t="shared" si="481"/>
        <v>20217RMB</v>
      </c>
      <c r="AR1575" s="206" t="str">
        <f t="shared" si="482"/>
        <v>YAMAHA_Mounter</v>
      </c>
      <c r="AS1575" s="22">
        <f t="shared" si="483"/>
        <v>6</v>
      </c>
      <c r="AT1575" s="24" t="str">
        <f t="shared" si="484"/>
        <v>4-6 months</v>
      </c>
    </row>
    <row r="1576" spans="1:46" s="12" customFormat="1">
      <c r="A1576" s="33" t="str">
        <f t="shared" si="472"/>
        <v>FY 19/20</v>
      </c>
      <c r="B1576" s="152">
        <v>2019</v>
      </c>
      <c r="C1576" s="152">
        <v>10</v>
      </c>
      <c r="D1576" s="33" t="str">
        <f t="shared" si="473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74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75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69"/>
        <v>13506107</v>
      </c>
      <c r="AA1576" s="13">
        <v>7.3499999999999996E-2</v>
      </c>
      <c r="AB1576" s="21">
        <f t="shared" si="476"/>
        <v>992698.86449999991</v>
      </c>
      <c r="AC1576" s="130">
        <f t="shared" si="477"/>
        <v>134411.42625329999</v>
      </c>
      <c r="AD1576" s="169">
        <v>0.13539999999999999</v>
      </c>
      <c r="AE1576" s="154">
        <f t="shared" si="478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70"/>
        <v>26147030.909862842</v>
      </c>
      <c r="AJ1576" s="19">
        <f t="shared" si="471"/>
        <v>2743862.8630715334</v>
      </c>
      <c r="AK1576" s="20">
        <f t="shared" si="479"/>
        <v>0.10493974908778378</v>
      </c>
      <c r="AL1576" s="17"/>
      <c r="AM1576" s="17"/>
      <c r="AN1576" s="17"/>
      <c r="AO1576" s="17"/>
      <c r="AP1576" s="28" t="str">
        <f t="shared" si="480"/>
        <v>201911</v>
      </c>
      <c r="AQ1576" s="28" t="str">
        <f t="shared" si="481"/>
        <v>201911JPY</v>
      </c>
      <c r="AR1576" s="206" t="str">
        <f t="shared" si="482"/>
        <v>YAMAHA_Mounter</v>
      </c>
      <c r="AS1576" s="22">
        <f t="shared" si="483"/>
        <v>1</v>
      </c>
      <c r="AT1576" s="24" t="str">
        <f t="shared" si="484"/>
        <v>0-3 months</v>
      </c>
    </row>
    <row r="1577" spans="1:46" s="12" customFormat="1">
      <c r="A1577" s="33" t="str">
        <f t="shared" si="472"/>
        <v>FY 19/20</v>
      </c>
      <c r="B1577" s="152">
        <v>2019</v>
      </c>
      <c r="C1577" s="152">
        <v>10</v>
      </c>
      <c r="D1577" s="33" t="str">
        <f t="shared" si="473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74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75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69"/>
        <v>18593732</v>
      </c>
      <c r="AA1577" s="13">
        <v>7.3499999999999996E-2</v>
      </c>
      <c r="AB1577" s="21">
        <f t="shared" si="476"/>
        <v>1366639.3019999999</v>
      </c>
      <c r="AC1577" s="130">
        <f t="shared" si="477"/>
        <v>185042.96149079996</v>
      </c>
      <c r="AD1577" s="169">
        <v>0.13539999999999999</v>
      </c>
      <c r="AE1577" s="154">
        <f t="shared" si="478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70"/>
        <v>26147030.909862842</v>
      </c>
      <c r="AJ1577" s="19">
        <f t="shared" si="471"/>
        <v>2743862.8630715334</v>
      </c>
      <c r="AK1577" s="20">
        <f t="shared" si="479"/>
        <v>0.10493974908778378</v>
      </c>
      <c r="AL1577" s="17"/>
      <c r="AM1577" s="17"/>
      <c r="AN1577" s="17"/>
      <c r="AO1577" s="17"/>
      <c r="AP1577" s="28" t="str">
        <f t="shared" si="480"/>
        <v>201911</v>
      </c>
      <c r="AQ1577" s="28" t="str">
        <f t="shared" si="481"/>
        <v>201911JPY</v>
      </c>
      <c r="AR1577" s="206" t="str">
        <f t="shared" si="482"/>
        <v>YAMAHA_Mounter</v>
      </c>
      <c r="AS1577" s="22">
        <f t="shared" si="483"/>
        <v>1</v>
      </c>
      <c r="AT1577" s="24" t="str">
        <f t="shared" si="484"/>
        <v>0-3 months</v>
      </c>
    </row>
    <row r="1578" spans="1:46" s="12" customFormat="1">
      <c r="A1578" s="33" t="str">
        <f t="shared" si="472"/>
        <v>FY 24/25</v>
      </c>
      <c r="B1578" s="23">
        <v>2024</v>
      </c>
      <c r="C1578" s="152">
        <v>4</v>
      </c>
      <c r="D1578" s="33" t="str">
        <f t="shared" si="473"/>
        <v>Q1</v>
      </c>
      <c r="E1578" s="33" t="str">
        <f>IF(G1578="Cancel","Cancel",IF(G1578="TBA","TBA",IFERROR(IF(I1578="Q4","FY "&amp;RIGHT(F1578,2)-1&amp;"/"&amp;RIGHT(F1578,2),"FY "&amp;RIGHT(F1578,2)&amp;"/"&amp;RIGHT(F1578,2)+1),"")))</f>
        <v>FY 24/25</v>
      </c>
      <c r="F1578" s="23">
        <v>2024</v>
      </c>
      <c r="G1578" s="23">
        <v>6</v>
      </c>
      <c r="H1578" s="29"/>
      <c r="I1578" s="33" t="str">
        <f t="shared" si="474"/>
        <v>Q1</v>
      </c>
      <c r="J1578" s="188" t="s">
        <v>3399</v>
      </c>
      <c r="K1578" s="29" t="s">
        <v>3400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75"/>
        <v>MAIN UNIT</v>
      </c>
      <c r="Q1578" s="13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113</v>
      </c>
      <c r="W1578" s="22" t="s">
        <v>65</v>
      </c>
      <c r="X1578" s="30">
        <v>837083.3</v>
      </c>
      <c r="Y1578" s="31" t="str">
        <f>IF(W1578="","",IF(W1578="RMB","1.13", "1"))</f>
        <v>1.13</v>
      </c>
      <c r="Z1578" s="18">
        <f t="shared" si="469"/>
        <v>837083.3</v>
      </c>
      <c r="AA1578" s="22">
        <v>1.08</v>
      </c>
      <c r="AB1578" s="21">
        <f t="shared" si="476"/>
        <v>800044.21592920378</v>
      </c>
      <c r="AC1578" s="25">
        <f t="shared" si="477"/>
        <v>105205.8143946903</v>
      </c>
      <c r="AD1578" s="170">
        <v>0.13150000000000001</v>
      </c>
      <c r="AE1578" s="26">
        <f t="shared" si="478"/>
        <v>0</v>
      </c>
      <c r="AF1578" s="26" t="str">
        <f>IF(AND(COUNTIFS($J$18:J1578,J1578)=1,AE1578=1),1,"")</f>
        <v/>
      </c>
      <c r="AG1578" s="26">
        <f>IF(C1578="","",IF(AND(COUNTIFS($J$18:J1578,J1578)=1,C1578&lt;&gt;""),1,""))</f>
        <v>1</v>
      </c>
      <c r="AH1578" s="26">
        <f>IF(G1578="","",IF(AND(COUNTIFS($J$18:J1578,J1578)=1,G1578&lt;&gt;""),1,""))</f>
        <v>1</v>
      </c>
      <c r="AI1578" s="27">
        <f t="shared" si="470"/>
        <v>27308925.887079656</v>
      </c>
      <c r="AJ1578" s="27">
        <f t="shared" si="471"/>
        <v>3319273.860338124</v>
      </c>
      <c r="AK1578" s="28">
        <f t="shared" si="479"/>
        <v>0.12154538314919709</v>
      </c>
      <c r="AL1578" s="24"/>
      <c r="AM1578" s="24"/>
      <c r="AN1578" s="24"/>
      <c r="AO1578" s="24"/>
      <c r="AP1578" s="28" t="str">
        <f t="shared" si="480"/>
        <v>20246</v>
      </c>
      <c r="AQ1578" s="28" t="str">
        <f t="shared" si="481"/>
        <v>20246RMB</v>
      </c>
      <c r="AR1578" s="206" t="str">
        <f t="shared" si="482"/>
        <v>YAMAHA_Mounter</v>
      </c>
      <c r="AS1578" s="22">
        <f t="shared" si="483"/>
        <v>2</v>
      </c>
      <c r="AT1578" s="24" t="str">
        <f t="shared" si="484"/>
        <v>0-3 months</v>
      </c>
    </row>
    <row r="1579" spans="1:46" s="12" customFormat="1">
      <c r="A1579" s="33" t="str">
        <f t="shared" si="472"/>
        <v>FY 20/21</v>
      </c>
      <c r="B1579" s="152">
        <v>2020</v>
      </c>
      <c r="C1579" s="152">
        <v>7</v>
      </c>
      <c r="D1579" s="33" t="str">
        <f t="shared" si="473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74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75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69"/>
        <v>6565000</v>
      </c>
      <c r="AA1579" s="13">
        <v>7.4899999999999994E-2</v>
      </c>
      <c r="AB1579" s="21">
        <f t="shared" si="476"/>
        <v>491718.49999999994</v>
      </c>
      <c r="AC1579" s="130">
        <f t="shared" si="477"/>
        <v>56301.768249999994</v>
      </c>
      <c r="AD1579" s="169">
        <v>0.1145</v>
      </c>
      <c r="AE1579" s="154">
        <f t="shared" si="478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70"/>
        <v>47907808.356810622</v>
      </c>
      <c r="AJ1579" s="19">
        <f t="shared" si="471"/>
        <v>6027384.8806384448</v>
      </c>
      <c r="AK1579" s="20">
        <f t="shared" si="479"/>
        <v>0.12581216063459488</v>
      </c>
      <c r="AL1579" s="17"/>
      <c r="AM1579" s="17"/>
      <c r="AN1579" s="17"/>
      <c r="AO1579" s="17"/>
      <c r="AP1579" s="28" t="str">
        <f t="shared" si="480"/>
        <v>20209</v>
      </c>
      <c r="AQ1579" s="28" t="str">
        <f t="shared" si="481"/>
        <v>20209JPY</v>
      </c>
      <c r="AR1579" s="206" t="str">
        <f t="shared" si="482"/>
        <v>YAMAHA_Mounter</v>
      </c>
      <c r="AS1579" s="22">
        <f t="shared" si="483"/>
        <v>2</v>
      </c>
      <c r="AT1579" s="24" t="str">
        <f t="shared" si="484"/>
        <v>0-3 months</v>
      </c>
    </row>
    <row r="1580" spans="1:46" s="12" customFormat="1">
      <c r="A1580" s="33" t="str">
        <f t="shared" si="472"/>
        <v>FY 20/21</v>
      </c>
      <c r="B1580" s="152">
        <v>2020</v>
      </c>
      <c r="C1580" s="152">
        <v>7</v>
      </c>
      <c r="D1580" s="33" t="str">
        <f t="shared" si="473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74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75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69"/>
        <v>6565000</v>
      </c>
      <c r="AA1580" s="13">
        <v>7.4899999999999994E-2</v>
      </c>
      <c r="AB1580" s="21">
        <f t="shared" si="476"/>
        <v>491718.49999999994</v>
      </c>
      <c r="AC1580" s="130">
        <f t="shared" si="477"/>
        <v>56301.768249999994</v>
      </c>
      <c r="AD1580" s="169">
        <v>0.1145</v>
      </c>
      <c r="AE1580" s="154">
        <f t="shared" si="478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70"/>
        <v>47907808.356810622</v>
      </c>
      <c r="AJ1580" s="19">
        <f t="shared" si="471"/>
        <v>6027384.8806384448</v>
      </c>
      <c r="AK1580" s="20">
        <f t="shared" si="479"/>
        <v>0.12581216063459488</v>
      </c>
      <c r="AL1580" s="17"/>
      <c r="AM1580" s="17"/>
      <c r="AN1580" s="17"/>
      <c r="AO1580" s="17"/>
      <c r="AP1580" s="28" t="str">
        <f t="shared" si="480"/>
        <v>20209</v>
      </c>
      <c r="AQ1580" s="28" t="str">
        <f t="shared" si="481"/>
        <v>20209JPY</v>
      </c>
      <c r="AR1580" s="206" t="str">
        <f t="shared" si="482"/>
        <v>YAMAHA_Mounter</v>
      </c>
      <c r="AS1580" s="22">
        <f t="shared" si="483"/>
        <v>2</v>
      </c>
      <c r="AT1580" s="24" t="str">
        <f t="shared" si="484"/>
        <v>0-3 months</v>
      </c>
    </row>
    <row r="1581" spans="1:46" s="12" customFormat="1">
      <c r="A1581" s="33" t="str">
        <f t="shared" si="472"/>
        <v>FY 21/22</v>
      </c>
      <c r="B1581" s="152">
        <v>2021</v>
      </c>
      <c r="C1581" s="152">
        <v>12</v>
      </c>
      <c r="D1581" s="33" t="str">
        <f t="shared" si="473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74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75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85">IF(W1581="RMB","1.13", "1")</f>
        <v>1.13</v>
      </c>
      <c r="Z1581" s="18">
        <f t="shared" si="469"/>
        <v>850000</v>
      </c>
      <c r="AA1581" s="13">
        <v>1.22</v>
      </c>
      <c r="AB1581" s="21">
        <f t="shared" si="476"/>
        <v>917699.11504424782</v>
      </c>
      <c r="AC1581" s="130">
        <f t="shared" si="477"/>
        <v>73507.699115044248</v>
      </c>
      <c r="AD1581" s="169">
        <v>8.0100000000000005E-2</v>
      </c>
      <c r="AE1581" s="154">
        <f t="shared" si="478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70"/>
        <v>26407088.359292038</v>
      </c>
      <c r="AJ1581" s="19">
        <f t="shared" si="471"/>
        <v>3424510.6998470789</v>
      </c>
      <c r="AK1581" s="20">
        <f t="shared" si="479"/>
        <v>0.12968149510667554</v>
      </c>
      <c r="AL1581" s="17"/>
      <c r="AM1581" s="17"/>
      <c r="AN1581" s="17"/>
      <c r="AO1581" s="17"/>
      <c r="AP1581" s="28" t="str">
        <f t="shared" si="480"/>
        <v>20221</v>
      </c>
      <c r="AQ1581" s="28" t="str">
        <f t="shared" si="481"/>
        <v>20221RMB</v>
      </c>
      <c r="AR1581" s="206" t="str">
        <f t="shared" si="482"/>
        <v>YAMAHA_Mounter</v>
      </c>
      <c r="AS1581" s="22">
        <f t="shared" si="483"/>
        <v>1</v>
      </c>
      <c r="AT1581" s="24" t="str">
        <f t="shared" si="484"/>
        <v>0-3 months</v>
      </c>
    </row>
    <row r="1582" spans="1:46" s="12" customFormat="1">
      <c r="A1582" s="33" t="str">
        <f t="shared" si="472"/>
        <v>FY 21/22</v>
      </c>
      <c r="B1582" s="152">
        <v>2021</v>
      </c>
      <c r="C1582" s="152">
        <v>12</v>
      </c>
      <c r="D1582" s="33" t="str">
        <f t="shared" si="473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74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75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85"/>
        <v>1.13</v>
      </c>
      <c r="Z1582" s="18">
        <f t="shared" si="469"/>
        <v>548800</v>
      </c>
      <c r="AA1582" s="13">
        <v>1.22</v>
      </c>
      <c r="AB1582" s="21">
        <f t="shared" si="476"/>
        <v>592509.73451327439</v>
      </c>
      <c r="AC1582" s="130">
        <f t="shared" si="477"/>
        <v>47460.029734513279</v>
      </c>
      <c r="AD1582" s="169">
        <v>8.0100000000000005E-2</v>
      </c>
      <c r="AE1582" s="154">
        <f t="shared" si="478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70"/>
        <v>31750699.113741599</v>
      </c>
      <c r="AJ1582" s="19">
        <f t="shared" si="471"/>
        <v>4396077.3195289988</v>
      </c>
      <c r="AK1582" s="20">
        <f t="shared" si="479"/>
        <v>0.13845607946397598</v>
      </c>
      <c r="AL1582" s="17"/>
      <c r="AM1582" s="17"/>
      <c r="AN1582" s="17"/>
      <c r="AO1582" s="17"/>
      <c r="AP1582" s="28" t="str">
        <f t="shared" si="480"/>
        <v>20222</v>
      </c>
      <c r="AQ1582" s="28" t="str">
        <f t="shared" si="481"/>
        <v>20222RMB</v>
      </c>
      <c r="AR1582" s="206" t="str">
        <f t="shared" si="482"/>
        <v>YAMAHA_Mounter</v>
      </c>
      <c r="AS1582" s="22">
        <f t="shared" si="483"/>
        <v>2</v>
      </c>
      <c r="AT1582" s="24" t="str">
        <f t="shared" si="484"/>
        <v>0-3 months</v>
      </c>
    </row>
    <row r="1583" spans="1:46" s="12" customFormat="1">
      <c r="A1583" s="33" t="str">
        <f t="shared" si="472"/>
        <v>FY 21/22</v>
      </c>
      <c r="B1583" s="152">
        <v>2021</v>
      </c>
      <c r="C1583" s="152">
        <v>7</v>
      </c>
      <c r="D1583" s="33" t="str">
        <f t="shared" si="473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74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75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85"/>
        <v>1</v>
      </c>
      <c r="Z1583" s="18">
        <f t="shared" si="469"/>
        <v>13240000</v>
      </c>
      <c r="AA1583" s="13">
        <v>7.0000000000000007E-2</v>
      </c>
      <c r="AB1583" s="21">
        <f t="shared" si="476"/>
        <v>926800.00000000012</v>
      </c>
      <c r="AC1583" s="130">
        <f t="shared" si="477"/>
        <v>111216.00000000001</v>
      </c>
      <c r="AD1583" s="169">
        <v>0.12</v>
      </c>
      <c r="AE1583" s="154">
        <f t="shared" si="478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70"/>
        <v>477651199.57437885</v>
      </c>
      <c r="AJ1583" s="19">
        <f t="shared" si="471"/>
        <v>56918800.518691957</v>
      </c>
      <c r="AK1583" s="20">
        <f t="shared" si="479"/>
        <v>0.11916394341605475</v>
      </c>
      <c r="AL1583" s="17"/>
      <c r="AM1583" s="17"/>
      <c r="AN1583" s="17"/>
      <c r="AO1583" s="17"/>
      <c r="AP1583" s="28" t="str">
        <f t="shared" si="480"/>
        <v>CancelCancel</v>
      </c>
      <c r="AQ1583" s="28" t="str">
        <f t="shared" si="481"/>
        <v>CancelCancelJPY</v>
      </c>
      <c r="AR1583" s="206" t="str">
        <f t="shared" si="482"/>
        <v>YAMAHA_Mounter</v>
      </c>
      <c r="AS1583" s="22" t="str">
        <f t="shared" si="483"/>
        <v/>
      </c>
      <c r="AT1583" s="24" t="str">
        <f t="shared" si="484"/>
        <v/>
      </c>
    </row>
    <row r="1584" spans="1:46" s="12" customFormat="1">
      <c r="A1584" s="33" t="str">
        <f t="shared" si="472"/>
        <v>FY 21/22</v>
      </c>
      <c r="B1584" s="152">
        <v>2021</v>
      </c>
      <c r="C1584" s="152">
        <v>7</v>
      </c>
      <c r="D1584" s="33" t="str">
        <f t="shared" si="473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74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75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85"/>
        <v>1</v>
      </c>
      <c r="Z1584" s="18">
        <f t="shared" si="469"/>
        <v>8000000</v>
      </c>
      <c r="AA1584" s="13">
        <v>7.0000000000000007E-2</v>
      </c>
      <c r="AB1584" s="21">
        <f t="shared" si="476"/>
        <v>560000</v>
      </c>
      <c r="AC1584" s="130">
        <f t="shared" si="477"/>
        <v>67200</v>
      </c>
      <c r="AD1584" s="169">
        <v>0.12</v>
      </c>
      <c r="AE1584" s="154">
        <f t="shared" si="478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70"/>
        <v>477651199.57437885</v>
      </c>
      <c r="AJ1584" s="19">
        <f t="shared" si="471"/>
        <v>56918800.518691957</v>
      </c>
      <c r="AK1584" s="20">
        <f t="shared" si="479"/>
        <v>0.11916394341605475</v>
      </c>
      <c r="AL1584" s="17"/>
      <c r="AM1584" s="17"/>
      <c r="AN1584" s="17"/>
      <c r="AO1584" s="17"/>
      <c r="AP1584" s="28" t="str">
        <f t="shared" si="480"/>
        <v>CancelCancel</v>
      </c>
      <c r="AQ1584" s="28" t="str">
        <f t="shared" si="481"/>
        <v>CancelCancelJPY</v>
      </c>
      <c r="AR1584" s="206" t="str">
        <f t="shared" si="482"/>
        <v>YAMAHA_Mounter</v>
      </c>
      <c r="AS1584" s="22" t="str">
        <f t="shared" si="483"/>
        <v/>
      </c>
      <c r="AT1584" s="24" t="str">
        <f t="shared" si="484"/>
        <v/>
      </c>
    </row>
    <row r="1585" spans="1:46" s="12" customFormat="1">
      <c r="A1585" s="33" t="str">
        <f t="shared" si="472"/>
        <v>FY 23/24</v>
      </c>
      <c r="B1585" s="152">
        <v>2023</v>
      </c>
      <c r="C1585" s="152">
        <v>5</v>
      </c>
      <c r="D1585" s="33" t="str">
        <f t="shared" si="473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74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75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85"/>
        <v>1.13</v>
      </c>
      <c r="Z1585" s="18">
        <f t="shared" si="469"/>
        <v>285000</v>
      </c>
      <c r="AA1585" s="13">
        <v>1.105</v>
      </c>
      <c r="AB1585" s="21">
        <f t="shared" si="476"/>
        <v>278694.69026548677</v>
      </c>
      <c r="AC1585" s="130">
        <f t="shared" si="477"/>
        <v>31771.194690265493</v>
      </c>
      <c r="AD1585" s="169">
        <v>0.114</v>
      </c>
      <c r="AE1585" s="154">
        <f t="shared" si="478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70"/>
        <v>13640480.497522123</v>
      </c>
      <c r="AJ1585" s="19">
        <f t="shared" si="471"/>
        <v>1928605.8020906283</v>
      </c>
      <c r="AK1585" s="20">
        <f t="shared" si="479"/>
        <v>0.1413884065477731</v>
      </c>
      <c r="AL1585" s="17"/>
      <c r="AM1585" s="17"/>
      <c r="AN1585" s="17"/>
      <c r="AO1585" s="17"/>
      <c r="AP1585" s="28" t="str">
        <f t="shared" si="480"/>
        <v>20236</v>
      </c>
      <c r="AQ1585" s="28" t="str">
        <f t="shared" si="481"/>
        <v>20236RMB</v>
      </c>
      <c r="AR1585" s="206" t="str">
        <f t="shared" si="482"/>
        <v>YAMAHA_Mounter</v>
      </c>
      <c r="AS1585" s="22">
        <f t="shared" si="483"/>
        <v>1</v>
      </c>
      <c r="AT1585" s="24" t="str">
        <f t="shared" si="484"/>
        <v>0-3 months</v>
      </c>
    </row>
    <row r="1586" spans="1:46" s="12" customFormat="1">
      <c r="A1586" s="33" t="str">
        <f t="shared" si="472"/>
        <v>FY 23/24</v>
      </c>
      <c r="B1586" s="152">
        <v>2023</v>
      </c>
      <c r="C1586" s="152">
        <v>5</v>
      </c>
      <c r="D1586" s="33" t="str">
        <f t="shared" si="473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74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75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85"/>
        <v>1.13</v>
      </c>
      <c r="Z1586" s="18">
        <f t="shared" si="469"/>
        <v>285000</v>
      </c>
      <c r="AA1586" s="13">
        <v>1.07</v>
      </c>
      <c r="AB1586" s="21">
        <f t="shared" si="476"/>
        <v>269867.25663716818</v>
      </c>
      <c r="AC1586" s="130">
        <f t="shared" si="477"/>
        <v>30764.867256637172</v>
      </c>
      <c r="AD1586" s="169">
        <v>0.114</v>
      </c>
      <c r="AE1586" s="154">
        <f t="shared" si="478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70"/>
        <v>11730565.00042478</v>
      </c>
      <c r="AJ1586" s="19">
        <f t="shared" si="471"/>
        <v>1439625.5685810833</v>
      </c>
      <c r="AK1586" s="20">
        <f t="shared" si="479"/>
        <v>0.12272431622253084</v>
      </c>
      <c r="AL1586" s="17"/>
      <c r="AM1586" s="17"/>
      <c r="AN1586" s="17"/>
      <c r="AO1586" s="17"/>
      <c r="AP1586" s="28" t="str">
        <f t="shared" si="480"/>
        <v>202311</v>
      </c>
      <c r="AQ1586" s="28" t="str">
        <f t="shared" si="481"/>
        <v>202311RMB</v>
      </c>
      <c r="AR1586" s="206" t="str">
        <f t="shared" si="482"/>
        <v>YAMAHA_Mounter</v>
      </c>
      <c r="AS1586" s="22">
        <f t="shared" si="483"/>
        <v>6</v>
      </c>
      <c r="AT1586" s="24" t="str">
        <f t="shared" si="484"/>
        <v>4-6 months</v>
      </c>
    </row>
    <row r="1587" spans="1:46" s="12" customFormat="1">
      <c r="A1587" s="33" t="str">
        <f t="shared" si="472"/>
        <v>FY 17/18</v>
      </c>
      <c r="B1587" s="152">
        <v>2018</v>
      </c>
      <c r="C1587" s="152">
        <v>2</v>
      </c>
      <c r="D1587" s="33" t="str">
        <f t="shared" si="473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74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75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69"/>
        <v>601800</v>
      </c>
      <c r="AA1587" s="13">
        <v>1.18</v>
      </c>
      <c r="AB1587" s="21">
        <f t="shared" si="476"/>
        <v>612175.86206896557</v>
      </c>
      <c r="AC1587" s="130">
        <f t="shared" si="477"/>
        <v>50198.420689655177</v>
      </c>
      <c r="AD1587" s="169">
        <v>8.2000000000000003E-2</v>
      </c>
      <c r="AE1587" s="154">
        <f t="shared" si="478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70"/>
        <v>29946107.503386207</v>
      </c>
      <c r="AJ1587" s="19">
        <f t="shared" si="471"/>
        <v>3987206.4954923098</v>
      </c>
      <c r="AK1587" s="20">
        <f t="shared" si="479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80"/>
        <v>20187</v>
      </c>
      <c r="AQ1587" s="28" t="str">
        <f t="shared" si="481"/>
        <v>20187RMB</v>
      </c>
      <c r="AR1587" s="206" t="str">
        <f t="shared" si="482"/>
        <v>YAMAHA_Mounter</v>
      </c>
      <c r="AS1587" s="22">
        <f t="shared" si="483"/>
        <v>5</v>
      </c>
      <c r="AT1587" s="24" t="str">
        <f t="shared" si="484"/>
        <v>4-6 months</v>
      </c>
    </row>
    <row r="1588" spans="1:46" s="12" customFormat="1">
      <c r="A1588" s="33" t="str">
        <f t="shared" si="472"/>
        <v>FY 18/19</v>
      </c>
      <c r="B1588" s="152">
        <v>2018</v>
      </c>
      <c r="C1588" s="152">
        <v>5</v>
      </c>
      <c r="D1588" s="33" t="str">
        <f t="shared" si="473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74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75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69"/>
        <v>1861774</v>
      </c>
      <c r="AA1588" s="13">
        <v>1.18</v>
      </c>
      <c r="AB1588" s="21">
        <f t="shared" si="476"/>
        <v>1893873.551724138</v>
      </c>
      <c r="AC1588" s="130">
        <f t="shared" si="477"/>
        <v>139389.09340689654</v>
      </c>
      <c r="AD1588" s="169">
        <v>7.3599999999999999E-2</v>
      </c>
      <c r="AE1588" s="154">
        <f t="shared" si="478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70"/>
        <v>29946107.503386207</v>
      </c>
      <c r="AJ1588" s="19">
        <f t="shared" si="471"/>
        <v>3987206.4954923098</v>
      </c>
      <c r="AK1588" s="20">
        <f t="shared" si="479"/>
        <v>0.13314606898547499</v>
      </c>
      <c r="AL1588" s="17"/>
      <c r="AM1588" s="17"/>
      <c r="AN1588" s="17"/>
      <c r="AO1588" s="17"/>
      <c r="AP1588" s="28" t="str">
        <f t="shared" si="480"/>
        <v>20187</v>
      </c>
      <c r="AQ1588" s="28" t="str">
        <f t="shared" si="481"/>
        <v>20187RMB</v>
      </c>
      <c r="AR1588" s="206" t="str">
        <f t="shared" si="482"/>
        <v>YAMAHA_Mounter</v>
      </c>
      <c r="AS1588" s="22">
        <f t="shared" si="483"/>
        <v>2</v>
      </c>
      <c r="AT1588" s="24" t="str">
        <f t="shared" si="484"/>
        <v>0-3 months</v>
      </c>
    </row>
    <row r="1589" spans="1:46" s="12" customFormat="1">
      <c r="A1589" s="33" t="str">
        <f t="shared" si="472"/>
        <v>FY 18/19</v>
      </c>
      <c r="B1589" s="152">
        <v>2018</v>
      </c>
      <c r="C1589" s="152">
        <v>12</v>
      </c>
      <c r="D1589" s="33" t="str">
        <f t="shared" si="473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74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75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69"/>
        <v>1907200</v>
      </c>
      <c r="AA1589" s="13">
        <v>1.23</v>
      </c>
      <c r="AB1589" s="21">
        <f t="shared" si="476"/>
        <v>2005005.1282051285</v>
      </c>
      <c r="AC1589" s="130">
        <f t="shared" si="477"/>
        <v>162605.91589743592</v>
      </c>
      <c r="AD1589" s="169">
        <v>8.1100000000000005E-2</v>
      </c>
      <c r="AE1589" s="154">
        <f t="shared" si="478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70"/>
        <v>29288201.603076916</v>
      </c>
      <c r="AJ1589" s="19">
        <f t="shared" si="471"/>
        <v>3870159.1769246152</v>
      </c>
      <c r="AK1589" s="20">
        <f t="shared" si="479"/>
        <v>0.13214055370740244</v>
      </c>
      <c r="AL1589" s="17"/>
      <c r="AM1589" s="17"/>
      <c r="AN1589" s="17"/>
      <c r="AO1589" s="17"/>
      <c r="AP1589" s="28" t="str">
        <f t="shared" si="480"/>
        <v>20184</v>
      </c>
      <c r="AQ1589" s="28" t="str">
        <f t="shared" si="481"/>
        <v>20184RMB</v>
      </c>
      <c r="AR1589" s="206" t="str">
        <f t="shared" si="482"/>
        <v>YAMAHA_Mounter</v>
      </c>
      <c r="AS1589" s="22" t="str">
        <f t="shared" si="483"/>
        <v/>
      </c>
      <c r="AT1589" s="24" t="str">
        <f t="shared" si="484"/>
        <v/>
      </c>
    </row>
    <row r="1590" spans="1:46" s="12" customFormat="1">
      <c r="A1590" s="33" t="str">
        <f t="shared" si="472"/>
        <v>cancel</v>
      </c>
      <c r="B1590" s="152"/>
      <c r="C1590" s="152" t="s">
        <v>186</v>
      </c>
      <c r="D1590" s="33" t="str">
        <f t="shared" si="473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74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75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69"/>
        <v>675821.4</v>
      </c>
      <c r="AA1590" s="13">
        <v>1.123</v>
      </c>
      <c r="AB1590" s="21">
        <f t="shared" si="476"/>
        <v>648673.01897435903</v>
      </c>
      <c r="AC1590" s="130">
        <f t="shared" si="477"/>
        <v>77840.76227692308</v>
      </c>
      <c r="AD1590" s="169">
        <v>0.12</v>
      </c>
      <c r="AE1590" s="154">
        <f t="shared" si="478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70"/>
        <v>477651199.57437885</v>
      </c>
      <c r="AJ1590" s="19">
        <f t="shared" si="471"/>
        <v>56918800.518691957</v>
      </c>
      <c r="AK1590" s="20">
        <f t="shared" si="479"/>
        <v>0.11916394341605475</v>
      </c>
      <c r="AL1590" s="17"/>
      <c r="AM1590" s="17"/>
      <c r="AN1590" s="17"/>
      <c r="AO1590" s="17"/>
      <c r="AP1590" s="28" t="str">
        <f t="shared" si="480"/>
        <v>CancelCancel</v>
      </c>
      <c r="AQ1590" s="28" t="str">
        <f t="shared" si="481"/>
        <v>CancelCancelRMB</v>
      </c>
      <c r="AR1590" s="206" t="str">
        <f t="shared" si="482"/>
        <v>YAMAHA_Mounter</v>
      </c>
      <c r="AS1590" s="22" t="str">
        <f t="shared" si="483"/>
        <v/>
      </c>
      <c r="AT1590" s="24" t="str">
        <f t="shared" si="484"/>
        <v/>
      </c>
    </row>
    <row r="1591" spans="1:46" s="12" customFormat="1">
      <c r="A1591" s="33" t="str">
        <f t="shared" si="472"/>
        <v>FY 18/19</v>
      </c>
      <c r="B1591" s="152">
        <v>2019</v>
      </c>
      <c r="C1591" s="152">
        <v>3</v>
      </c>
      <c r="D1591" s="33" t="str">
        <f t="shared" si="473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74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75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69"/>
        <v>1700000</v>
      </c>
      <c r="AA1591" s="13">
        <v>1.1599999999999999</v>
      </c>
      <c r="AB1591" s="21">
        <f t="shared" si="476"/>
        <v>1745132.7433628319</v>
      </c>
      <c r="AC1591" s="130">
        <f t="shared" si="477"/>
        <v>140832.21238938053</v>
      </c>
      <c r="AD1591" s="169">
        <v>8.0699999999999994E-2</v>
      </c>
      <c r="AE1591" s="154">
        <f t="shared" si="478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70"/>
        <v>14593788.187146019</v>
      </c>
      <c r="AJ1591" s="19">
        <f t="shared" si="471"/>
        <v>1868647.7321969916</v>
      </c>
      <c r="AK1591" s="20">
        <f t="shared" si="479"/>
        <v>0.12804404916900652</v>
      </c>
      <c r="AL1591" s="17"/>
      <c r="AM1591" s="17"/>
      <c r="AN1591" s="17"/>
      <c r="AO1591" s="17" t="s">
        <v>881</v>
      </c>
      <c r="AP1591" s="28" t="str">
        <f t="shared" si="480"/>
        <v>20195</v>
      </c>
      <c r="AQ1591" s="28" t="str">
        <f t="shared" si="481"/>
        <v>20195RMB</v>
      </c>
      <c r="AR1591" s="206" t="str">
        <f t="shared" si="482"/>
        <v>YAMAHA_Mounter</v>
      </c>
      <c r="AS1591" s="22">
        <f t="shared" si="483"/>
        <v>2</v>
      </c>
      <c r="AT1591" s="24" t="str">
        <f t="shared" si="484"/>
        <v>0-3 months</v>
      </c>
    </row>
    <row r="1592" spans="1:46" s="12" customFormat="1">
      <c r="A1592" s="33" t="str">
        <f t="shared" si="472"/>
        <v>FY 18/19</v>
      </c>
      <c r="B1592" s="152">
        <v>2019</v>
      </c>
      <c r="C1592" s="152">
        <v>3</v>
      </c>
      <c r="D1592" s="33" t="str">
        <f t="shared" si="473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74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75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69"/>
        <v>1410000</v>
      </c>
      <c r="AA1592" s="13">
        <v>1.1599999999999999</v>
      </c>
      <c r="AB1592" s="21">
        <f t="shared" si="476"/>
        <v>1447433.6283185841</v>
      </c>
      <c r="AC1592" s="130">
        <f t="shared" si="477"/>
        <v>116807.89380530972</v>
      </c>
      <c r="AD1592" s="169">
        <v>8.0699999999999994E-2</v>
      </c>
      <c r="AE1592" s="154">
        <f t="shared" si="478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70"/>
        <v>14593788.187146019</v>
      </c>
      <c r="AJ1592" s="19">
        <f t="shared" si="471"/>
        <v>1868647.7321969916</v>
      </c>
      <c r="AK1592" s="20">
        <f t="shared" si="479"/>
        <v>0.12804404916900652</v>
      </c>
      <c r="AL1592" s="17"/>
      <c r="AM1592" s="17"/>
      <c r="AN1592" s="17"/>
      <c r="AO1592" s="17" t="s">
        <v>881</v>
      </c>
      <c r="AP1592" s="28" t="str">
        <f t="shared" si="480"/>
        <v>20195</v>
      </c>
      <c r="AQ1592" s="28" t="str">
        <f t="shared" si="481"/>
        <v>20195RMB</v>
      </c>
      <c r="AR1592" s="206" t="str">
        <f t="shared" si="482"/>
        <v>YAMAHA_Mounter</v>
      </c>
      <c r="AS1592" s="22">
        <f t="shared" si="483"/>
        <v>2</v>
      </c>
      <c r="AT1592" s="24" t="str">
        <f t="shared" si="484"/>
        <v>0-3 months</v>
      </c>
    </row>
    <row r="1593" spans="1:46" s="12" customFormat="1">
      <c r="A1593" s="33" t="str">
        <f t="shared" si="472"/>
        <v>FY 22/23</v>
      </c>
      <c r="B1593" s="152">
        <v>2023</v>
      </c>
      <c r="C1593" s="152">
        <v>2</v>
      </c>
      <c r="D1593" s="33" t="str">
        <f t="shared" si="473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74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75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69"/>
        <v>754000</v>
      </c>
      <c r="AA1593" s="13">
        <v>1.135</v>
      </c>
      <c r="AB1593" s="21">
        <f t="shared" si="476"/>
        <v>757336.28318584082</v>
      </c>
      <c r="AC1593" s="130">
        <f t="shared" si="477"/>
        <v>90880.35398230089</v>
      </c>
      <c r="AD1593" s="169">
        <v>0.12</v>
      </c>
      <c r="AE1593" s="154">
        <f t="shared" si="478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70"/>
        <v>28177779.013274338</v>
      </c>
      <c r="AJ1593" s="19">
        <f t="shared" si="471"/>
        <v>4727216.6376190251</v>
      </c>
      <c r="AK1593" s="20">
        <f t="shared" si="479"/>
        <v>0.1677639900359808</v>
      </c>
      <c r="AL1593" s="17"/>
      <c r="AM1593" s="17"/>
      <c r="AN1593" s="17"/>
      <c r="AO1593" s="17"/>
      <c r="AP1593" s="28" t="str">
        <f t="shared" si="480"/>
        <v>20235</v>
      </c>
      <c r="AQ1593" s="28" t="str">
        <f t="shared" si="481"/>
        <v>20235RMB</v>
      </c>
      <c r="AR1593" s="206" t="str">
        <f t="shared" si="482"/>
        <v>YAMAHA_Mounter</v>
      </c>
      <c r="AS1593" s="22">
        <f t="shared" si="483"/>
        <v>3</v>
      </c>
      <c r="AT1593" s="24" t="str">
        <f t="shared" si="484"/>
        <v>0-3 months</v>
      </c>
    </row>
    <row r="1594" spans="1:46" s="12" customFormat="1">
      <c r="A1594" s="33" t="str">
        <f t="shared" si="472"/>
        <v>FY 22/23</v>
      </c>
      <c r="B1594" s="152">
        <v>2023</v>
      </c>
      <c r="C1594" s="152">
        <v>2</v>
      </c>
      <c r="D1594" s="33" t="str">
        <f t="shared" si="473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74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75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69"/>
        <v>754000</v>
      </c>
      <c r="AA1594" s="13">
        <v>1.135</v>
      </c>
      <c r="AB1594" s="21">
        <f t="shared" si="476"/>
        <v>757336.28318584082</v>
      </c>
      <c r="AC1594" s="130">
        <f t="shared" si="477"/>
        <v>90880.35398230089</v>
      </c>
      <c r="AD1594" s="169">
        <v>0.12</v>
      </c>
      <c r="AE1594" s="154">
        <f t="shared" si="478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70"/>
        <v>28177779.013274338</v>
      </c>
      <c r="AJ1594" s="19">
        <f t="shared" si="471"/>
        <v>4727216.6376190251</v>
      </c>
      <c r="AK1594" s="20">
        <f t="shared" si="479"/>
        <v>0.1677639900359808</v>
      </c>
      <c r="AL1594" s="17"/>
      <c r="AM1594" s="17"/>
      <c r="AN1594" s="17"/>
      <c r="AO1594" s="17"/>
      <c r="AP1594" s="28" t="str">
        <f t="shared" si="480"/>
        <v>20235</v>
      </c>
      <c r="AQ1594" s="28" t="str">
        <f t="shared" si="481"/>
        <v>20235RMB</v>
      </c>
      <c r="AR1594" s="206" t="str">
        <f t="shared" si="482"/>
        <v>YAMAHA_Mounter</v>
      </c>
      <c r="AS1594" s="22">
        <f t="shared" si="483"/>
        <v>3</v>
      </c>
      <c r="AT1594" s="24" t="str">
        <f t="shared" si="484"/>
        <v>0-3 months</v>
      </c>
    </row>
    <row r="1595" spans="1:46" s="12" customFormat="1">
      <c r="A1595" s="33" t="str">
        <f t="shared" si="472"/>
        <v>FY 22/23</v>
      </c>
      <c r="B1595" s="152">
        <v>2023</v>
      </c>
      <c r="C1595" s="152">
        <v>2</v>
      </c>
      <c r="D1595" s="33" t="str">
        <f t="shared" si="473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74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75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69"/>
        <v>800000</v>
      </c>
      <c r="AA1595" s="13">
        <v>1.135</v>
      </c>
      <c r="AB1595" s="21">
        <f t="shared" si="476"/>
        <v>803539.82300884963</v>
      </c>
      <c r="AC1595" s="130">
        <f t="shared" si="477"/>
        <v>96424.778761061956</v>
      </c>
      <c r="AD1595" s="169">
        <v>0.12</v>
      </c>
      <c r="AE1595" s="154">
        <f t="shared" si="478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70"/>
        <v>28177779.013274338</v>
      </c>
      <c r="AJ1595" s="19">
        <f t="shared" si="471"/>
        <v>4727216.6376190251</v>
      </c>
      <c r="AK1595" s="20">
        <f t="shared" si="479"/>
        <v>0.1677639900359808</v>
      </c>
      <c r="AL1595" s="17"/>
      <c r="AM1595" s="17"/>
      <c r="AN1595" s="17"/>
      <c r="AO1595" s="17"/>
      <c r="AP1595" s="28" t="str">
        <f t="shared" si="480"/>
        <v>20235</v>
      </c>
      <c r="AQ1595" s="28" t="str">
        <f t="shared" si="481"/>
        <v>20235RMB</v>
      </c>
      <c r="AR1595" s="206" t="str">
        <f t="shared" si="482"/>
        <v>YAMAHA_Mounter</v>
      </c>
      <c r="AS1595" s="22">
        <f t="shared" si="483"/>
        <v>3</v>
      </c>
      <c r="AT1595" s="24" t="str">
        <f t="shared" si="484"/>
        <v>0-3 months</v>
      </c>
    </row>
    <row r="1596" spans="1:46" s="12" customFormat="1">
      <c r="A1596" s="33" t="str">
        <f t="shared" si="472"/>
        <v>FY 22/23</v>
      </c>
      <c r="B1596" s="152">
        <v>2023</v>
      </c>
      <c r="C1596" s="152">
        <v>2</v>
      </c>
      <c r="D1596" s="33" t="str">
        <f t="shared" si="473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74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75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ref="Z1596:Z1659" si="486">IF(X1596="","",X1596*MAX(O1596,N1596))</f>
        <v>800000</v>
      </c>
      <c r="AA1596" s="13">
        <v>1.135</v>
      </c>
      <c r="AB1596" s="21">
        <f t="shared" si="476"/>
        <v>803539.82300884963</v>
      </c>
      <c r="AC1596" s="130">
        <f t="shared" si="477"/>
        <v>96424.778761061956</v>
      </c>
      <c r="AD1596" s="169">
        <v>0.12</v>
      </c>
      <c r="AE1596" s="154">
        <f t="shared" si="478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70"/>
        <v>28177779.013274338</v>
      </c>
      <c r="AJ1596" s="19">
        <f t="shared" si="471"/>
        <v>4727216.6376190251</v>
      </c>
      <c r="AK1596" s="20">
        <f t="shared" si="479"/>
        <v>0.1677639900359808</v>
      </c>
      <c r="AL1596" s="17"/>
      <c r="AM1596" s="17"/>
      <c r="AN1596" s="17"/>
      <c r="AO1596" s="17"/>
      <c r="AP1596" s="28" t="str">
        <f t="shared" si="480"/>
        <v>20235</v>
      </c>
      <c r="AQ1596" s="28" t="str">
        <f t="shared" si="481"/>
        <v>20235RMB</v>
      </c>
      <c r="AR1596" s="206" t="str">
        <f t="shared" si="482"/>
        <v>YAMAHA_Mounter</v>
      </c>
      <c r="AS1596" s="22">
        <f t="shared" si="483"/>
        <v>3</v>
      </c>
      <c r="AT1596" s="24" t="str">
        <f t="shared" si="484"/>
        <v>0-3 months</v>
      </c>
    </row>
    <row r="1597" spans="1:46" s="12" customFormat="1" ht="17">
      <c r="A1597" s="33" t="str">
        <f t="shared" si="472"/>
        <v>FY 18/19</v>
      </c>
      <c r="B1597" s="152">
        <v>2018</v>
      </c>
      <c r="C1597" s="152">
        <v>6</v>
      </c>
      <c r="D1597" s="33" t="str">
        <f t="shared" si="473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74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75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86"/>
        <v>615000</v>
      </c>
      <c r="AA1597" s="13">
        <v>1.18</v>
      </c>
      <c r="AB1597" s="21">
        <f t="shared" si="476"/>
        <v>625603.44827586215</v>
      </c>
      <c r="AC1597" s="130">
        <f t="shared" si="477"/>
        <v>76761.54310344829</v>
      </c>
      <c r="AD1597" s="169">
        <v>0.1227</v>
      </c>
      <c r="AE1597" s="154">
        <f t="shared" si="478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70"/>
        <v>29946107.503386207</v>
      </c>
      <c r="AJ1597" s="19">
        <f t="shared" si="471"/>
        <v>3987206.4954923098</v>
      </c>
      <c r="AK1597" s="20">
        <f t="shared" si="479"/>
        <v>0.13314606898547499</v>
      </c>
      <c r="AL1597" s="17"/>
      <c r="AM1597" s="17"/>
      <c r="AN1597" s="17"/>
      <c r="AO1597" s="17"/>
      <c r="AP1597" s="28" t="str">
        <f t="shared" si="480"/>
        <v>20187</v>
      </c>
      <c r="AQ1597" s="28" t="str">
        <f t="shared" si="481"/>
        <v>20187RMB</v>
      </c>
      <c r="AR1597" s="206" t="str">
        <f t="shared" si="482"/>
        <v>YAMAHA_Mounter</v>
      </c>
      <c r="AS1597" s="22">
        <f t="shared" si="483"/>
        <v>1</v>
      </c>
      <c r="AT1597" s="24" t="str">
        <f t="shared" si="484"/>
        <v>0-3 months</v>
      </c>
    </row>
    <row r="1598" spans="1:46" s="12" customFormat="1">
      <c r="A1598" s="33" t="str">
        <f t="shared" si="472"/>
        <v>FY 18/19</v>
      </c>
      <c r="B1598" s="152">
        <v>2018</v>
      </c>
      <c r="C1598" s="152">
        <v>5</v>
      </c>
      <c r="D1598" s="33" t="str">
        <f t="shared" si="473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74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75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86"/>
        <v>1088000</v>
      </c>
      <c r="AA1598" s="13">
        <v>1.18</v>
      </c>
      <c r="AB1598" s="21">
        <f t="shared" si="476"/>
        <v>1106758.6206896552</v>
      </c>
      <c r="AC1598" s="130">
        <f t="shared" si="477"/>
        <v>155167.55862068964</v>
      </c>
      <c r="AD1598" s="169">
        <v>0.14019999999999999</v>
      </c>
      <c r="AE1598" s="154">
        <f t="shared" si="478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70"/>
        <v>29946107.503386207</v>
      </c>
      <c r="AJ1598" s="19">
        <f t="shared" si="471"/>
        <v>3987206.4954923098</v>
      </c>
      <c r="AK1598" s="20">
        <f t="shared" si="479"/>
        <v>0.13314606898547499</v>
      </c>
      <c r="AL1598" s="17"/>
      <c r="AM1598" s="17"/>
      <c r="AN1598" s="17"/>
      <c r="AO1598" s="17"/>
      <c r="AP1598" s="28" t="str">
        <f t="shared" si="480"/>
        <v>20187</v>
      </c>
      <c r="AQ1598" s="28" t="str">
        <f t="shared" si="481"/>
        <v>20187RMB</v>
      </c>
      <c r="AR1598" s="206" t="str">
        <f t="shared" si="482"/>
        <v>YAMAHA_Mounter</v>
      </c>
      <c r="AS1598" s="22">
        <f t="shared" si="483"/>
        <v>2</v>
      </c>
      <c r="AT1598" s="24" t="str">
        <f t="shared" si="484"/>
        <v>0-3 months</v>
      </c>
    </row>
    <row r="1599" spans="1:46" s="12" customFormat="1">
      <c r="A1599" s="33" t="str">
        <f t="shared" si="472"/>
        <v>FY 20/21</v>
      </c>
      <c r="B1599" s="152">
        <v>2021</v>
      </c>
      <c r="C1599" s="152">
        <v>2</v>
      </c>
      <c r="D1599" s="33" t="str">
        <f t="shared" si="473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74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75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86"/>
        <v>598000</v>
      </c>
      <c r="AA1599" s="13">
        <v>1.18</v>
      </c>
      <c r="AB1599" s="21">
        <f t="shared" si="476"/>
        <v>624460.17699115048</v>
      </c>
      <c r="AC1599" s="130">
        <f t="shared" si="477"/>
        <v>81304.715044247801</v>
      </c>
      <c r="AD1599" s="169">
        <v>0.13020000000000001</v>
      </c>
      <c r="AE1599" s="154">
        <f t="shared" si="478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70"/>
        <v>43684091.636631854</v>
      </c>
      <c r="AJ1599" s="19">
        <f t="shared" si="471"/>
        <v>6483951.8242071122</v>
      </c>
      <c r="AK1599" s="20">
        <f t="shared" si="479"/>
        <v>0.14842821680123736</v>
      </c>
      <c r="AL1599" s="17"/>
      <c r="AM1599" s="17"/>
      <c r="AN1599" s="17"/>
      <c r="AO1599" s="17"/>
      <c r="AP1599" s="28" t="str">
        <f t="shared" si="480"/>
        <v>20214</v>
      </c>
      <c r="AQ1599" s="28" t="str">
        <f t="shared" si="481"/>
        <v>20214RMB</v>
      </c>
      <c r="AR1599" s="206" t="str">
        <f t="shared" si="482"/>
        <v>YAMAHA_Mounter</v>
      </c>
      <c r="AS1599" s="22">
        <f t="shared" si="483"/>
        <v>2</v>
      </c>
      <c r="AT1599" s="24" t="str">
        <f t="shared" si="484"/>
        <v>0-3 months</v>
      </c>
    </row>
    <row r="1600" spans="1:46" s="12" customFormat="1">
      <c r="A1600" s="33" t="str">
        <f t="shared" si="472"/>
        <v>FY 20/21</v>
      </c>
      <c r="B1600" s="152">
        <v>2021</v>
      </c>
      <c r="C1600" s="152">
        <v>2</v>
      </c>
      <c r="D1600" s="33" t="str">
        <f t="shared" si="473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74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75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86"/>
        <v>800000</v>
      </c>
      <c r="AA1600" s="13">
        <v>1.18</v>
      </c>
      <c r="AB1600" s="21">
        <f t="shared" si="476"/>
        <v>835398.23008849565</v>
      </c>
      <c r="AC1600" s="130">
        <f t="shared" si="477"/>
        <v>108768.84955752215</v>
      </c>
      <c r="AD1600" s="169">
        <v>0.13020000000000001</v>
      </c>
      <c r="AE1600" s="154">
        <f t="shared" si="478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70"/>
        <v>43684091.636631854</v>
      </c>
      <c r="AJ1600" s="19">
        <f t="shared" si="471"/>
        <v>6483951.8242071122</v>
      </c>
      <c r="AK1600" s="20">
        <f t="shared" si="479"/>
        <v>0.14842821680123736</v>
      </c>
      <c r="AL1600" s="17"/>
      <c r="AM1600" s="17"/>
      <c r="AN1600" s="17"/>
      <c r="AO1600" s="17"/>
      <c r="AP1600" s="28" t="str">
        <f t="shared" si="480"/>
        <v>20214</v>
      </c>
      <c r="AQ1600" s="28" t="str">
        <f t="shared" si="481"/>
        <v>20214RMB</v>
      </c>
      <c r="AR1600" s="206" t="str">
        <f t="shared" si="482"/>
        <v>YAMAHA_Mounter</v>
      </c>
      <c r="AS1600" s="22">
        <f t="shared" si="483"/>
        <v>2</v>
      </c>
      <c r="AT1600" s="24" t="str">
        <f t="shared" si="484"/>
        <v>0-3 months</v>
      </c>
    </row>
    <row r="1601" spans="1:46" s="12" customFormat="1">
      <c r="A1601" s="33" t="str">
        <f t="shared" si="472"/>
        <v>FY 24/25</v>
      </c>
      <c r="B1601" s="23">
        <v>2024</v>
      </c>
      <c r="C1601" s="152">
        <v>4</v>
      </c>
      <c r="D1601" s="33" t="str">
        <f t="shared" si="473"/>
        <v>Q1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74"/>
        <v>Q1</v>
      </c>
      <c r="J1601" s="188" t="s">
        <v>3399</v>
      </c>
      <c r="K1601" s="29" t="s">
        <v>3400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75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65</v>
      </c>
      <c r="X1601" s="30">
        <v>837083.3</v>
      </c>
      <c r="Y1601" s="31" t="str">
        <f>IF(W1601="","",IF(W1601="RMB","1.13", "1"))</f>
        <v>1.13</v>
      </c>
      <c r="Z1601" s="18">
        <f t="shared" si="486"/>
        <v>837083.3</v>
      </c>
      <c r="AA1601" s="22">
        <v>1.08</v>
      </c>
      <c r="AB1601" s="21">
        <f t="shared" si="476"/>
        <v>800044.21592920378</v>
      </c>
      <c r="AC1601" s="25">
        <f t="shared" si="477"/>
        <v>105205.8143946903</v>
      </c>
      <c r="AD1601" s="170">
        <v>0.13150000000000001</v>
      </c>
      <c r="AE1601" s="26">
        <f t="shared" si="478"/>
        <v>0</v>
      </c>
      <c r="AF1601" s="26" t="str">
        <f>IF(AND(COUNTIFS($J$18:J1601,J1601)=1,AE1601=1),1,"")</f>
        <v/>
      </c>
      <c r="AG1601" s="26" t="str">
        <f>IF(C1601="","",IF(AND(COUNTIFS($J$18:J1601,J1601)=1,C1601&lt;&gt;""),1,""))</f>
        <v/>
      </c>
      <c r="AH1601" s="26" t="str">
        <f>IF(G1601="","",IF(AND(COUNTIFS($J$18:J1601,J1601)=1,G1601&lt;&gt;""),1,""))</f>
        <v/>
      </c>
      <c r="AI1601" s="27">
        <f t="shared" si="470"/>
        <v>27308925.887079656</v>
      </c>
      <c r="AJ1601" s="27">
        <f t="shared" si="471"/>
        <v>3319273.860338124</v>
      </c>
      <c r="AK1601" s="28">
        <f t="shared" si="479"/>
        <v>0.12154538314919709</v>
      </c>
      <c r="AL1601" s="24"/>
      <c r="AM1601" s="24"/>
      <c r="AN1601" s="24"/>
      <c r="AO1601" s="24"/>
      <c r="AP1601" s="28" t="str">
        <f t="shared" si="480"/>
        <v>20246</v>
      </c>
      <c r="AQ1601" s="28" t="str">
        <f t="shared" si="481"/>
        <v>20246RMB</v>
      </c>
      <c r="AR1601" s="206" t="str">
        <f t="shared" si="482"/>
        <v>YAMAHA_Mounter</v>
      </c>
      <c r="AS1601" s="22">
        <f t="shared" si="483"/>
        <v>2</v>
      </c>
      <c r="AT1601" s="24" t="str">
        <f t="shared" si="484"/>
        <v>0-3 months</v>
      </c>
    </row>
    <row r="1602" spans="1:46" s="12" customFormat="1">
      <c r="A1602" s="33" t="str">
        <f t="shared" si="472"/>
        <v>FY 24/25</v>
      </c>
      <c r="B1602" s="23">
        <v>2024</v>
      </c>
      <c r="C1602" s="152">
        <v>4</v>
      </c>
      <c r="D1602" s="33" t="str">
        <f t="shared" si="473"/>
        <v>Q1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7</v>
      </c>
      <c r="H1602" s="29"/>
      <c r="I1602" s="33" t="str">
        <f t="shared" si="474"/>
        <v>Q2</v>
      </c>
      <c r="J1602" s="188" t="s">
        <v>3383</v>
      </c>
      <c r="K1602" s="29" t="s">
        <v>2421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75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840</v>
      </c>
      <c r="V1602" s="22" t="s">
        <v>113</v>
      </c>
      <c r="W1602" s="22" t="s">
        <v>65</v>
      </c>
      <c r="X1602" s="30">
        <v>1075000</v>
      </c>
      <c r="Y1602" s="31" t="str">
        <f>IF(W1602="","",IF(W1602="RMB","1.13", "1"))</f>
        <v>1.13</v>
      </c>
      <c r="Z1602" s="18">
        <f t="shared" si="486"/>
        <v>1075000</v>
      </c>
      <c r="AA1602" s="22">
        <v>1.075</v>
      </c>
      <c r="AB1602" s="21">
        <f t="shared" si="476"/>
        <v>1022676.9911504426</v>
      </c>
      <c r="AC1602" s="25">
        <f t="shared" si="477"/>
        <v>117403.31858407082</v>
      </c>
      <c r="AD1602" s="169">
        <v>0.1148</v>
      </c>
      <c r="AE1602" s="26">
        <f t="shared" si="478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87">IF(P1602="C66 SERVICE","",SUMIFS(AB:AB,F:F,F1602,G:G,G1602,E:E,E1602))</f>
        <v>25458266.694690265</v>
      </c>
      <c r="AJ1602" s="27">
        <f t="shared" ref="AJ1602:AJ1665" si="488">IF(P1602="C66 SERVICE","",SUMIFS(AC:AC,F:F,F1602,G:G,G1602,E:E,E1602))</f>
        <v>4116526.778578762</v>
      </c>
      <c r="AK1602" s="28">
        <f t="shared" si="479"/>
        <v>0.16169705612508689</v>
      </c>
      <c r="AL1602" s="24"/>
      <c r="AM1602" s="24"/>
      <c r="AN1602" s="24"/>
      <c r="AO1602" s="24"/>
      <c r="AP1602" s="28" t="str">
        <f t="shared" si="480"/>
        <v>20247</v>
      </c>
      <c r="AQ1602" s="28" t="str">
        <f t="shared" si="481"/>
        <v>20247RMB</v>
      </c>
      <c r="AR1602" s="206" t="str">
        <f t="shared" si="482"/>
        <v>YAMAHA_Mounter</v>
      </c>
      <c r="AS1602" s="22">
        <f t="shared" si="483"/>
        <v>3</v>
      </c>
      <c r="AT1602" s="24" t="str">
        <f t="shared" si="484"/>
        <v>0-3 months</v>
      </c>
    </row>
    <row r="1603" spans="1:46" s="12" customFormat="1">
      <c r="A1603" s="33" t="str">
        <f t="shared" si="472"/>
        <v>FY 24/25</v>
      </c>
      <c r="B1603" s="23">
        <v>2024</v>
      </c>
      <c r="C1603" s="152">
        <v>4</v>
      </c>
      <c r="D1603" s="33" t="str">
        <f t="shared" si="473"/>
        <v>Q1</v>
      </c>
      <c r="E1603" s="33" t="s">
        <v>3173</v>
      </c>
      <c r="F1603" s="23">
        <v>2024</v>
      </c>
      <c r="G1603" s="23">
        <v>7</v>
      </c>
      <c r="H1603" s="29"/>
      <c r="I1603" s="33" t="str">
        <f t="shared" si="474"/>
        <v>Q2</v>
      </c>
      <c r="J1603" s="190" t="s">
        <v>3384</v>
      </c>
      <c r="K1603" s="29" t="s">
        <v>3385</v>
      </c>
      <c r="L1603" s="17" t="s">
        <v>68</v>
      </c>
      <c r="M1603" s="22" t="s">
        <v>61</v>
      </c>
      <c r="N1603" s="22">
        <v>1</v>
      </c>
      <c r="O1603" s="22"/>
      <c r="P1603" s="33" t="str">
        <f t="shared" si="475"/>
        <v>MAIN UNIT</v>
      </c>
      <c r="Q1603" s="13" t="s">
        <v>69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312</v>
      </c>
      <c r="W1603" s="22" t="s">
        <v>110</v>
      </c>
      <c r="X1603" s="235">
        <v>9403500</v>
      </c>
      <c r="Y1603" s="31" t="str">
        <f>IF(W1603="","",IF(W1603="RMB","1.13", "1"))</f>
        <v>1</v>
      </c>
      <c r="Z1603" s="18">
        <f t="shared" si="486"/>
        <v>9403500</v>
      </c>
      <c r="AA1603" s="22">
        <v>4.9500000000000002E-2</v>
      </c>
      <c r="AB1603" s="21">
        <f t="shared" si="476"/>
        <v>465473.25</v>
      </c>
      <c r="AC1603" s="25">
        <f t="shared" si="477"/>
        <v>38354.995799999997</v>
      </c>
      <c r="AD1603" s="233">
        <v>8.2400000000000001E-2</v>
      </c>
      <c r="AE1603" s="26">
        <f t="shared" si="478"/>
        <v>1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87"/>
        <v>25458266.694690265</v>
      </c>
      <c r="AJ1603" s="27">
        <f t="shared" si="488"/>
        <v>4116526.778578762</v>
      </c>
      <c r="AK1603" s="28">
        <f t="shared" si="479"/>
        <v>0.16169705612508689</v>
      </c>
      <c r="AL1603" s="24"/>
      <c r="AM1603" s="24"/>
      <c r="AN1603" s="24"/>
      <c r="AO1603" s="24"/>
      <c r="AP1603" s="28" t="str">
        <f t="shared" si="480"/>
        <v>20247</v>
      </c>
      <c r="AQ1603" s="28" t="str">
        <f t="shared" si="481"/>
        <v>20247JPY</v>
      </c>
      <c r="AR1603" s="206" t="str">
        <f t="shared" si="482"/>
        <v>YAMAHA_Mounter</v>
      </c>
      <c r="AS1603" s="22">
        <f t="shared" si="483"/>
        <v>3</v>
      </c>
      <c r="AT1603" s="24" t="str">
        <f t="shared" si="484"/>
        <v>0-3 months</v>
      </c>
    </row>
    <row r="1604" spans="1:46" s="12" customFormat="1">
      <c r="A1604" s="33" t="str">
        <f t="shared" si="472"/>
        <v>FY 23/24</v>
      </c>
      <c r="B1604" s="23">
        <v>2023</v>
      </c>
      <c r="C1604" s="152">
        <v>12</v>
      </c>
      <c r="D1604" s="33" t="str">
        <f t="shared" si="473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74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75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86"/>
        <v>663000</v>
      </c>
      <c r="AA1604" s="22">
        <v>1.095</v>
      </c>
      <c r="AB1604" s="21">
        <f t="shared" si="476"/>
        <v>642464.60176991159</v>
      </c>
      <c r="AC1604" s="25">
        <f t="shared" si="477"/>
        <v>37776.918584070801</v>
      </c>
      <c r="AD1604" s="169">
        <v>5.8799999999999998E-2</v>
      </c>
      <c r="AE1604" s="26">
        <f t="shared" si="478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87"/>
        <v>10271727.486725664</v>
      </c>
      <c r="AJ1604" s="27">
        <f t="shared" si="488"/>
        <v>1227228.7260761063</v>
      </c>
      <c r="AK1604" s="28">
        <f t="shared" si="479"/>
        <v>0.11947637120066472</v>
      </c>
      <c r="AL1604" s="24"/>
      <c r="AM1604" s="24"/>
      <c r="AN1604" s="24"/>
      <c r="AO1604" s="24"/>
      <c r="AP1604" s="28" t="str">
        <f t="shared" si="480"/>
        <v>202312</v>
      </c>
      <c r="AQ1604" s="28" t="str">
        <f t="shared" si="481"/>
        <v>202312RMB</v>
      </c>
      <c r="AR1604" s="206" t="str">
        <f t="shared" si="482"/>
        <v>YAMAHA_Mounter</v>
      </c>
      <c r="AS1604" s="22">
        <f t="shared" si="483"/>
        <v>0</v>
      </c>
      <c r="AT1604" s="24" t="str">
        <f t="shared" si="484"/>
        <v>0-3 months</v>
      </c>
    </row>
    <row r="1605" spans="1:46" s="12" customFormat="1">
      <c r="A1605" s="33" t="str">
        <f t="shared" si="472"/>
        <v>FY 18/19</v>
      </c>
      <c r="B1605" s="152">
        <v>2018</v>
      </c>
      <c r="C1605" s="152">
        <v>8</v>
      </c>
      <c r="D1605" s="33" t="str">
        <f t="shared" si="473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74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75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86"/>
        <v>760000</v>
      </c>
      <c r="AA1605" s="13">
        <v>1.1499999999999999</v>
      </c>
      <c r="AB1605" s="21">
        <f t="shared" si="476"/>
        <v>753448.27586206899</v>
      </c>
      <c r="AC1605" s="130">
        <f t="shared" si="477"/>
        <v>90413.793103448275</v>
      </c>
      <c r="AD1605" s="169">
        <v>0.12</v>
      </c>
      <c r="AE1605" s="154">
        <f t="shared" si="478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87"/>
        <v>26492741.106427077</v>
      </c>
      <c r="AJ1605" s="19">
        <f t="shared" si="488"/>
        <v>3348032.1325698122</v>
      </c>
      <c r="AK1605" s="20">
        <f t="shared" si="479"/>
        <v>0.12637545201985867</v>
      </c>
      <c r="AL1605" s="17"/>
      <c r="AM1605" s="17"/>
      <c r="AN1605" s="17"/>
      <c r="AO1605" s="17"/>
      <c r="AP1605" s="28" t="str">
        <f t="shared" si="480"/>
        <v>20189</v>
      </c>
      <c r="AQ1605" s="28" t="str">
        <f t="shared" si="481"/>
        <v>20189RMB</v>
      </c>
      <c r="AR1605" s="206" t="str">
        <f t="shared" si="482"/>
        <v>YAMAHA_Mounter</v>
      </c>
      <c r="AS1605" s="22">
        <f t="shared" si="483"/>
        <v>1</v>
      </c>
      <c r="AT1605" s="24" t="str">
        <f t="shared" si="484"/>
        <v>0-3 months</v>
      </c>
    </row>
    <row r="1606" spans="1:46" s="12" customFormat="1">
      <c r="A1606" s="33" t="str">
        <f t="shared" si="472"/>
        <v>FY 18/19</v>
      </c>
      <c r="B1606" s="152">
        <v>2018</v>
      </c>
      <c r="C1606" s="152">
        <v>6</v>
      </c>
      <c r="D1606" s="33" t="str">
        <f t="shared" si="473"/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si="474"/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si="475"/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86"/>
        <v>640000</v>
      </c>
      <c r="AA1606" s="13">
        <v>1.1499999999999999</v>
      </c>
      <c r="AB1606" s="21">
        <f t="shared" si="476"/>
        <v>634482.75862068974</v>
      </c>
      <c r="AC1606" s="130">
        <f t="shared" si="477"/>
        <v>76137.931034482768</v>
      </c>
      <c r="AD1606" s="169">
        <v>0.12</v>
      </c>
      <c r="AE1606" s="154">
        <f t="shared" si="478"/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87"/>
        <v>26492741.106427077</v>
      </c>
      <c r="AJ1606" s="19">
        <f t="shared" si="488"/>
        <v>3348032.1325698122</v>
      </c>
      <c r="AK1606" s="20">
        <f t="shared" si="479"/>
        <v>0.12637545201985867</v>
      </c>
      <c r="AL1606" s="17"/>
      <c r="AM1606" s="17"/>
      <c r="AN1606" s="17"/>
      <c r="AO1606" s="17"/>
      <c r="AP1606" s="28" t="str">
        <f t="shared" si="480"/>
        <v>20189</v>
      </c>
      <c r="AQ1606" s="28" t="str">
        <f t="shared" si="481"/>
        <v>20189RMB</v>
      </c>
      <c r="AR1606" s="206" t="str">
        <f t="shared" si="482"/>
        <v>YAMAHA_Mounter</v>
      </c>
      <c r="AS1606" s="22">
        <f t="shared" si="483"/>
        <v>3</v>
      </c>
      <c r="AT1606" s="24" t="str">
        <f t="shared" si="484"/>
        <v>0-3 months</v>
      </c>
    </row>
    <row r="1607" spans="1:46" s="12" customFormat="1">
      <c r="A1607" s="33" t="str">
        <f t="shared" si="472"/>
        <v>FY 20/21</v>
      </c>
      <c r="B1607" s="152">
        <v>2020</v>
      </c>
      <c r="C1607" s="152">
        <v>5</v>
      </c>
      <c r="D1607" s="33" t="str">
        <f t="shared" si="473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4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75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86"/>
        <v>980000</v>
      </c>
      <c r="AA1607" s="13">
        <v>1.095</v>
      </c>
      <c r="AB1607" s="21">
        <f t="shared" si="476"/>
        <v>949646.01769911509</v>
      </c>
      <c r="AC1607" s="130">
        <f t="shared" si="477"/>
        <v>119370.50442477877</v>
      </c>
      <c r="AD1607" s="169">
        <v>0.12570000000000001</v>
      </c>
      <c r="AE1607" s="154">
        <f t="shared" si="478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7"/>
        <v>28065694.408805311</v>
      </c>
      <c r="AJ1607" s="19">
        <f t="shared" si="488"/>
        <v>4157433.2906989697</v>
      </c>
      <c r="AK1607" s="20">
        <f t="shared" si="479"/>
        <v>0.14813220831602228</v>
      </c>
      <c r="AL1607" s="17"/>
      <c r="AM1607" s="17"/>
      <c r="AN1607" s="17"/>
      <c r="AO1607" s="17"/>
      <c r="AP1607" s="28" t="str">
        <f t="shared" si="480"/>
        <v>20205</v>
      </c>
      <c r="AQ1607" s="28" t="str">
        <f t="shared" si="481"/>
        <v>20205RMB</v>
      </c>
      <c r="AR1607" s="206" t="str">
        <f t="shared" si="482"/>
        <v>YAMAHA_Mounter</v>
      </c>
      <c r="AS1607" s="22">
        <f t="shared" si="483"/>
        <v>0</v>
      </c>
      <c r="AT1607" s="24" t="str">
        <f t="shared" si="484"/>
        <v>0-3 months</v>
      </c>
    </row>
    <row r="1608" spans="1:46" s="12" customFormat="1">
      <c r="A1608" s="33" t="str">
        <f t="shared" si="472"/>
        <v>FY 18/19</v>
      </c>
      <c r="B1608" s="152">
        <v>2018</v>
      </c>
      <c r="C1608" s="152">
        <v>4</v>
      </c>
      <c r="D1608" s="33" t="str">
        <f t="shared" si="473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4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75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86"/>
        <v>870600</v>
      </c>
      <c r="AA1608" s="13">
        <v>1.23</v>
      </c>
      <c r="AB1608" s="21">
        <f t="shared" si="476"/>
        <v>915246.15384615387</v>
      </c>
      <c r="AC1608" s="130">
        <f t="shared" si="477"/>
        <v>115137.96615384615</v>
      </c>
      <c r="AD1608" s="169">
        <v>0.1258</v>
      </c>
      <c r="AE1608" s="154">
        <f t="shared" si="478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7"/>
        <v>29288201.603076916</v>
      </c>
      <c r="AJ1608" s="19">
        <f t="shared" si="488"/>
        <v>3870159.1769246152</v>
      </c>
      <c r="AK1608" s="20">
        <f t="shared" si="479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0"/>
        <v>20184</v>
      </c>
      <c r="AQ1608" s="28" t="str">
        <f t="shared" si="481"/>
        <v>20184RMB</v>
      </c>
      <c r="AR1608" s="206" t="str">
        <f t="shared" si="482"/>
        <v>YAMAHA_Mounter</v>
      </c>
      <c r="AS1608" s="22">
        <f t="shared" si="483"/>
        <v>0</v>
      </c>
      <c r="AT1608" s="24" t="str">
        <f t="shared" si="484"/>
        <v>0-3 months</v>
      </c>
    </row>
    <row r="1609" spans="1:46" s="12" customFormat="1">
      <c r="A1609" s="33" t="str">
        <f t="shared" si="472"/>
        <v>FY 19/20</v>
      </c>
      <c r="B1609" s="152">
        <v>2019</v>
      </c>
      <c r="C1609" s="152">
        <v>8</v>
      </c>
      <c r="D1609" s="33" t="str">
        <f t="shared" si="473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4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75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86"/>
        <v>851500</v>
      </c>
      <c r="AA1609" s="13">
        <v>1.135</v>
      </c>
      <c r="AB1609" s="21">
        <f t="shared" si="476"/>
        <v>855267.69911504432</v>
      </c>
      <c r="AC1609" s="130">
        <f t="shared" si="477"/>
        <v>98526.838938053101</v>
      </c>
      <c r="AD1609" s="169">
        <v>0.1152</v>
      </c>
      <c r="AE1609" s="154">
        <f t="shared" si="478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7"/>
        <v>21386017.707964607</v>
      </c>
      <c r="AJ1609" s="19">
        <f t="shared" si="488"/>
        <v>2238764.3265707968</v>
      </c>
      <c r="AK1609" s="20">
        <f t="shared" si="479"/>
        <v>0.10468355339185161</v>
      </c>
      <c r="AL1609" s="17"/>
      <c r="AM1609" s="17"/>
      <c r="AN1609" s="17"/>
      <c r="AO1609" s="17"/>
      <c r="AP1609" s="28" t="str">
        <f t="shared" si="480"/>
        <v>20198</v>
      </c>
      <c r="AQ1609" s="28" t="str">
        <f t="shared" si="481"/>
        <v>20198RMB</v>
      </c>
      <c r="AR1609" s="206" t="str">
        <f t="shared" si="482"/>
        <v>YAMAHA_Mounter</v>
      </c>
      <c r="AS1609" s="22">
        <f t="shared" si="483"/>
        <v>0</v>
      </c>
      <c r="AT1609" s="24" t="str">
        <f t="shared" si="484"/>
        <v>0-3 months</v>
      </c>
    </row>
    <row r="1610" spans="1:46" s="12" customFormat="1">
      <c r="A1610" s="33" t="str">
        <f t="shared" si="472"/>
        <v>FY 20/21</v>
      </c>
      <c r="B1610" s="152">
        <v>2020</v>
      </c>
      <c r="C1610" s="152">
        <v>9</v>
      </c>
      <c r="D1610" s="33" t="str">
        <f t="shared" si="473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4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75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si="486"/>
        <v>677000</v>
      </c>
      <c r="AA1610" s="13">
        <v>1.155</v>
      </c>
      <c r="AB1610" s="21">
        <f t="shared" si="476"/>
        <v>691977.8761061948</v>
      </c>
      <c r="AC1610" s="130">
        <f t="shared" si="477"/>
        <v>98330.056194690289</v>
      </c>
      <c r="AD1610" s="169">
        <v>0.1421</v>
      </c>
      <c r="AE1610" s="154">
        <f t="shared" si="478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7"/>
        <v>44078731.611185849</v>
      </c>
      <c r="AJ1610" s="19">
        <f t="shared" si="488"/>
        <v>5508173.2163771465</v>
      </c>
      <c r="AK1610" s="20">
        <f t="shared" si="479"/>
        <v>0.12496215328889679</v>
      </c>
      <c r="AL1610" s="17"/>
      <c r="AM1610" s="17"/>
      <c r="AN1610" s="17"/>
      <c r="AO1610" s="17"/>
      <c r="AP1610" s="28" t="str">
        <f t="shared" si="480"/>
        <v>202011</v>
      </c>
      <c r="AQ1610" s="28" t="str">
        <f t="shared" si="481"/>
        <v>202011RMB</v>
      </c>
      <c r="AR1610" s="206" t="str">
        <f t="shared" si="482"/>
        <v>YAMAHA_Mounter</v>
      </c>
      <c r="AS1610" s="22">
        <f t="shared" si="483"/>
        <v>2</v>
      </c>
      <c r="AT1610" s="24" t="str">
        <f t="shared" si="484"/>
        <v>0-3 months</v>
      </c>
    </row>
    <row r="1611" spans="1:46" s="12" customFormat="1">
      <c r="A1611" s="33" t="str">
        <f t="shared" si="472"/>
        <v>FY 23/24</v>
      </c>
      <c r="B1611" s="152">
        <v>2023</v>
      </c>
      <c r="C1611" s="152">
        <v>11</v>
      </c>
      <c r="D1611" s="33" t="str">
        <f t="shared" si="473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4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75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86"/>
        <v>350000</v>
      </c>
      <c r="AA1611" s="13">
        <v>1.0900000000000001</v>
      </c>
      <c r="AB1611" s="21">
        <f t="shared" si="476"/>
        <v>337610.61946902657</v>
      </c>
      <c r="AC1611" s="130">
        <f t="shared" si="477"/>
        <v>47569.336283185839</v>
      </c>
      <c r="AD1611" s="169">
        <v>0.1409</v>
      </c>
      <c r="AE1611" s="154">
        <f t="shared" si="478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7"/>
        <v>10524262.405309737</v>
      </c>
      <c r="AJ1611" s="19">
        <f t="shared" si="488"/>
        <v>1479050.9527127435</v>
      </c>
      <c r="AK1611" s="20">
        <f t="shared" si="479"/>
        <v>0.14053725532028996</v>
      </c>
      <c r="AL1611" s="17"/>
      <c r="AM1611" s="17"/>
      <c r="AN1611" s="17"/>
      <c r="AO1611" s="17"/>
      <c r="AP1611" s="28" t="str">
        <f t="shared" si="480"/>
        <v>20242</v>
      </c>
      <c r="AQ1611" s="28" t="str">
        <f t="shared" si="481"/>
        <v>20242RMB</v>
      </c>
      <c r="AR1611" s="206" t="str">
        <f t="shared" si="482"/>
        <v>YAMAHA_Non_Mounter</v>
      </c>
      <c r="AS1611" s="22">
        <f t="shared" si="483"/>
        <v>3</v>
      </c>
      <c r="AT1611" s="24" t="str">
        <f t="shared" si="484"/>
        <v>0-3 months</v>
      </c>
    </row>
    <row r="1612" spans="1:46" s="12" customFormat="1">
      <c r="A1612" s="33" t="str">
        <f t="shared" si="472"/>
        <v>FY 24/25</v>
      </c>
      <c r="B1612" s="23">
        <v>2024</v>
      </c>
      <c r="C1612" s="152">
        <v>4</v>
      </c>
      <c r="D1612" s="33" t="str">
        <f t="shared" si="473"/>
        <v>Q1</v>
      </c>
      <c r="E1612" s="33" t="s">
        <v>3173</v>
      </c>
      <c r="F1612" s="23">
        <v>2024</v>
      </c>
      <c r="G1612" s="23">
        <v>7</v>
      </c>
      <c r="H1612" s="29"/>
      <c r="I1612" s="33" t="str">
        <f t="shared" si="474"/>
        <v>Q2</v>
      </c>
      <c r="J1612" s="190" t="s">
        <v>3384</v>
      </c>
      <c r="K1612" s="29" t="s">
        <v>3385</v>
      </c>
      <c r="L1612" s="17" t="s">
        <v>68</v>
      </c>
      <c r="M1612" s="22" t="s">
        <v>61</v>
      </c>
      <c r="N1612" s="22">
        <v>1</v>
      </c>
      <c r="O1612" s="22"/>
      <c r="P1612" s="33" t="str">
        <f t="shared" si="475"/>
        <v>MAIN UNIT</v>
      </c>
      <c r="Q1612" s="13" t="s">
        <v>69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312</v>
      </c>
      <c r="W1612" s="22" t="s">
        <v>110</v>
      </c>
      <c r="X1612" s="235">
        <v>9403500</v>
      </c>
      <c r="Y1612" s="31" t="str">
        <f>IF(W1612="","",IF(W1612="RMB","1.13", "1"))</f>
        <v>1</v>
      </c>
      <c r="Z1612" s="18">
        <f t="shared" si="486"/>
        <v>9403500</v>
      </c>
      <c r="AA1612" s="22">
        <v>4.9500000000000002E-2</v>
      </c>
      <c r="AB1612" s="21">
        <f t="shared" si="476"/>
        <v>465473.25</v>
      </c>
      <c r="AC1612" s="25">
        <f t="shared" si="477"/>
        <v>38354.995799999997</v>
      </c>
      <c r="AD1612" s="192">
        <v>8.2400000000000001E-2</v>
      </c>
      <c r="AE1612" s="26">
        <f t="shared" si="478"/>
        <v>1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7"/>
        <v>25458266.694690265</v>
      </c>
      <c r="AJ1612" s="27">
        <f t="shared" si="488"/>
        <v>4116526.778578762</v>
      </c>
      <c r="AK1612" s="28">
        <f t="shared" si="479"/>
        <v>0.16169705612508689</v>
      </c>
      <c r="AL1612" s="24"/>
      <c r="AM1612" s="24"/>
      <c r="AN1612" s="24"/>
      <c r="AO1612" s="24"/>
      <c r="AP1612" s="28" t="str">
        <f t="shared" si="480"/>
        <v>20247</v>
      </c>
      <c r="AQ1612" s="28" t="str">
        <f t="shared" si="481"/>
        <v>20247JPY</v>
      </c>
      <c r="AR1612" s="206" t="str">
        <f t="shared" si="482"/>
        <v>YAMAHA_Mounter</v>
      </c>
      <c r="AS1612" s="22">
        <f t="shared" si="483"/>
        <v>3</v>
      </c>
      <c r="AT1612" s="24" t="str">
        <f t="shared" si="484"/>
        <v>0-3 months</v>
      </c>
    </row>
    <row r="1613" spans="1:46" s="12" customFormat="1">
      <c r="A1613" s="33" t="str">
        <f t="shared" si="472"/>
        <v>FY 24/25</v>
      </c>
      <c r="B1613" s="23">
        <v>2024</v>
      </c>
      <c r="C1613" s="152">
        <v>4</v>
      </c>
      <c r="D1613" s="33" t="str">
        <f t="shared" si="473"/>
        <v>Q1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7</v>
      </c>
      <c r="H1613" s="29"/>
      <c r="I1613" s="33" t="str">
        <f t="shared" si="474"/>
        <v>Q2</v>
      </c>
      <c r="J1613" s="188" t="s">
        <v>3522</v>
      </c>
      <c r="K1613" s="29" t="s">
        <v>2443</v>
      </c>
      <c r="L1613" s="17" t="s">
        <v>93</v>
      </c>
      <c r="M1613" s="22" t="s">
        <v>61</v>
      </c>
      <c r="N1613" s="22">
        <v>1</v>
      </c>
      <c r="O1613" s="22"/>
      <c r="P1613" s="33" t="str">
        <f t="shared" si="475"/>
        <v>MAIN UNIT</v>
      </c>
      <c r="Q1613" s="13" t="s">
        <v>62</v>
      </c>
      <c r="R1613" s="22" t="s">
        <v>63</v>
      </c>
      <c r="S1613" s="22" t="s">
        <v>51</v>
      </c>
      <c r="T1613" s="22" t="s">
        <v>94</v>
      </c>
      <c r="U1613" s="22" t="s">
        <v>71</v>
      </c>
      <c r="V1613" s="22" t="s">
        <v>72</v>
      </c>
      <c r="W1613" s="22" t="s">
        <v>65</v>
      </c>
      <c r="X1613" s="30">
        <v>742000</v>
      </c>
      <c r="Y1613" s="31" t="str">
        <f>IF(W1613="","",IF(W1613="RMB","1.13", "1"))</f>
        <v>1.13</v>
      </c>
      <c r="Z1613" s="18">
        <f t="shared" si="486"/>
        <v>742000</v>
      </c>
      <c r="AA1613" s="22">
        <v>1.075</v>
      </c>
      <c r="AB1613" s="21">
        <f t="shared" si="476"/>
        <v>705884.95575221244</v>
      </c>
      <c r="AC1613" s="25">
        <f t="shared" si="477"/>
        <v>92894.460176991153</v>
      </c>
      <c r="AD1613" s="169">
        <v>0.13159999999999999</v>
      </c>
      <c r="AE1613" s="26">
        <f t="shared" si="478"/>
        <v>0</v>
      </c>
      <c r="AF1613" s="26" t="str">
        <f>IF(AND(COUNTIFS($J$18:J1613,J1613)=1,AE1613=1),1,"")</f>
        <v/>
      </c>
      <c r="AG1613" s="26">
        <f>IF(C1613="","",IF(AND(COUNTIFS($J$18:J1613,J1613)=1,C1613&lt;&gt;""),1,""))</f>
        <v>1</v>
      </c>
      <c r="AH1613" s="26">
        <f>IF(G1613="","",IF(AND(COUNTIFS($J$18:J1613,J1613)=1,G1613&lt;&gt;""),1,""))</f>
        <v>1</v>
      </c>
      <c r="AI1613" s="27">
        <f t="shared" si="487"/>
        <v>25458266.694690265</v>
      </c>
      <c r="AJ1613" s="27">
        <f t="shared" si="488"/>
        <v>4116526.778578762</v>
      </c>
      <c r="AK1613" s="28">
        <f t="shared" si="479"/>
        <v>0.16169705612508689</v>
      </c>
      <c r="AL1613" s="24"/>
      <c r="AM1613" s="24"/>
      <c r="AN1613" s="24"/>
      <c r="AO1613" s="24"/>
      <c r="AP1613" s="28" t="str">
        <f t="shared" si="480"/>
        <v>20247</v>
      </c>
      <c r="AQ1613" s="28" t="str">
        <f t="shared" si="481"/>
        <v>20247RMB</v>
      </c>
      <c r="AR1613" s="206" t="str">
        <f t="shared" si="482"/>
        <v>YAMAHA_Mounter</v>
      </c>
      <c r="AS1613" s="22">
        <f t="shared" si="483"/>
        <v>3</v>
      </c>
      <c r="AT1613" s="24" t="str">
        <f t="shared" si="484"/>
        <v>0-3 months</v>
      </c>
    </row>
    <row r="1614" spans="1:46" s="12" customFormat="1">
      <c r="A1614" s="33" t="str">
        <f t="shared" si="472"/>
        <v>FY 22/23</v>
      </c>
      <c r="B1614" s="152">
        <v>2022</v>
      </c>
      <c r="C1614" s="152">
        <v>8</v>
      </c>
      <c r="D1614" s="33" t="str">
        <f t="shared" si="473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4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75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86"/>
        <v>560000</v>
      </c>
      <c r="AA1614" s="13">
        <v>1.135</v>
      </c>
      <c r="AB1614" s="21">
        <f t="shared" si="476"/>
        <v>562477.8761061948</v>
      </c>
      <c r="AC1614" s="130">
        <f t="shared" si="477"/>
        <v>109345.69911504426</v>
      </c>
      <c r="AD1614" s="169">
        <v>0.19439999999999999</v>
      </c>
      <c r="AE1614" s="154">
        <f t="shared" si="478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7"/>
        <v>15948576.102654871</v>
      </c>
      <c r="AJ1614" s="19">
        <f t="shared" si="488"/>
        <v>2739848.7004853105</v>
      </c>
      <c r="AK1614" s="20">
        <f t="shared" si="479"/>
        <v>0.17179268436567344</v>
      </c>
      <c r="AL1614" s="17"/>
      <c r="AM1614" s="17"/>
      <c r="AN1614" s="17"/>
      <c r="AO1614" s="17"/>
      <c r="AP1614" s="28" t="str">
        <f t="shared" si="480"/>
        <v>20229</v>
      </c>
      <c r="AQ1614" s="28" t="str">
        <f t="shared" si="481"/>
        <v>20229RMB</v>
      </c>
      <c r="AR1614" s="206" t="str">
        <f t="shared" si="482"/>
        <v>YAMAHA_Mounter</v>
      </c>
      <c r="AS1614" s="22">
        <f t="shared" si="483"/>
        <v>1</v>
      </c>
      <c r="AT1614" s="24" t="str">
        <f t="shared" si="484"/>
        <v>0-3 months</v>
      </c>
    </row>
    <row r="1615" spans="1:46" s="12" customFormat="1">
      <c r="A1615" s="33" t="str">
        <f t="shared" si="472"/>
        <v>FY 17/18</v>
      </c>
      <c r="B1615" s="152">
        <v>2018</v>
      </c>
      <c r="C1615" s="152">
        <v>3</v>
      </c>
      <c r="D1615" s="33" t="str">
        <f t="shared" si="473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4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75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86"/>
        <v>570000</v>
      </c>
      <c r="AA1615" s="13">
        <v>1.23</v>
      </c>
      <c r="AB1615" s="21">
        <f t="shared" si="476"/>
        <v>599230.76923076925</v>
      </c>
      <c r="AC1615" s="130">
        <f t="shared" si="477"/>
        <v>87607.538461538468</v>
      </c>
      <c r="AD1615" s="169">
        <v>0.1462</v>
      </c>
      <c r="AE1615" s="154">
        <f t="shared" si="478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7"/>
        <v>29288201.603076916</v>
      </c>
      <c r="AJ1615" s="19">
        <f t="shared" si="488"/>
        <v>3870159.1769246152</v>
      </c>
      <c r="AK1615" s="20">
        <f t="shared" si="479"/>
        <v>0.13214055370740244</v>
      </c>
      <c r="AL1615" s="17"/>
      <c r="AM1615" s="17"/>
      <c r="AN1615" s="17"/>
      <c r="AO1615" s="17"/>
      <c r="AP1615" s="28" t="str">
        <f t="shared" si="480"/>
        <v>20184</v>
      </c>
      <c r="AQ1615" s="28" t="str">
        <f t="shared" si="481"/>
        <v>20184RMB</v>
      </c>
      <c r="AR1615" s="206" t="str">
        <f t="shared" si="482"/>
        <v>HELLER</v>
      </c>
      <c r="AS1615" s="22">
        <f t="shared" si="483"/>
        <v>1</v>
      </c>
      <c r="AT1615" s="24" t="str">
        <f t="shared" si="484"/>
        <v>0-3 months</v>
      </c>
    </row>
    <row r="1616" spans="1:46" s="12" customFormat="1">
      <c r="A1616" s="33" t="str">
        <f t="shared" si="472"/>
        <v>FY 20/21</v>
      </c>
      <c r="B1616" s="152">
        <v>2020</v>
      </c>
      <c r="C1616" s="152">
        <v>10</v>
      </c>
      <c r="D1616" s="33" t="str">
        <f t="shared" si="473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4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75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86"/>
        <v>380000</v>
      </c>
      <c r="AA1616" s="13">
        <v>1.175</v>
      </c>
      <c r="AB1616" s="21">
        <f t="shared" si="476"/>
        <v>395132.74336283188</v>
      </c>
      <c r="AC1616" s="130">
        <f t="shared" si="477"/>
        <v>50537.477876106204</v>
      </c>
      <c r="AD1616" s="169">
        <v>0.12790000000000001</v>
      </c>
      <c r="AE1616" s="154">
        <f t="shared" si="478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7"/>
        <v>48763143.537654862</v>
      </c>
      <c r="AJ1616" s="19">
        <f t="shared" si="488"/>
        <v>5924029.9702154724</v>
      </c>
      <c r="AK1616" s="20">
        <f t="shared" si="479"/>
        <v>0.1214858095774925</v>
      </c>
      <c r="AL1616" s="17"/>
      <c r="AM1616" s="17"/>
      <c r="AN1616" s="17"/>
      <c r="AO1616" s="17"/>
      <c r="AP1616" s="28" t="str">
        <f t="shared" si="480"/>
        <v>202012</v>
      </c>
      <c r="AQ1616" s="28" t="str">
        <f t="shared" si="481"/>
        <v>202012RMB</v>
      </c>
      <c r="AR1616" s="206" t="str">
        <f t="shared" si="482"/>
        <v>HELLER</v>
      </c>
      <c r="AS1616" s="22">
        <f t="shared" si="483"/>
        <v>2</v>
      </c>
      <c r="AT1616" s="24" t="str">
        <f t="shared" si="484"/>
        <v>0-3 months</v>
      </c>
    </row>
    <row r="1617" spans="1:46" s="12" customFormat="1">
      <c r="A1617" s="33" t="str">
        <f t="shared" si="472"/>
        <v>FY 21/22</v>
      </c>
      <c r="B1617" s="152">
        <v>2021</v>
      </c>
      <c r="C1617" s="152">
        <v>5</v>
      </c>
      <c r="D1617" s="33" t="str">
        <f t="shared" si="473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4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75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86"/>
        <v>380000</v>
      </c>
      <c r="AA1617" s="13">
        <v>1.2</v>
      </c>
      <c r="AB1617" s="21">
        <f t="shared" si="476"/>
        <v>403539.82300884958</v>
      </c>
      <c r="AC1617" s="130">
        <f t="shared" si="477"/>
        <v>65534.867256637168</v>
      </c>
      <c r="AD1617" s="169">
        <v>0.16239999999999999</v>
      </c>
      <c r="AE1617" s="154">
        <f t="shared" si="478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7"/>
        <v>47458373.787610628</v>
      </c>
      <c r="AJ1617" s="19">
        <f t="shared" si="488"/>
        <v>7436880.1411522133</v>
      </c>
      <c r="AK1617" s="20">
        <f t="shared" si="479"/>
        <v>0.15670322321692506</v>
      </c>
      <c r="AL1617" s="17"/>
      <c r="AM1617" s="17"/>
      <c r="AN1617" s="17"/>
      <c r="AO1617" s="17"/>
      <c r="AP1617" s="28" t="str">
        <f t="shared" si="480"/>
        <v>20218</v>
      </c>
      <c r="AQ1617" s="28" t="str">
        <f t="shared" si="481"/>
        <v>20218RMB</v>
      </c>
      <c r="AR1617" s="206" t="str">
        <f t="shared" si="482"/>
        <v>HELLER</v>
      </c>
      <c r="AS1617" s="22">
        <f t="shared" si="483"/>
        <v>3</v>
      </c>
      <c r="AT1617" s="24" t="str">
        <f t="shared" si="484"/>
        <v>0-3 months</v>
      </c>
    </row>
    <row r="1618" spans="1:46" s="12" customFormat="1">
      <c r="A1618" s="33" t="str">
        <f t="shared" si="472"/>
        <v>FY 22/23</v>
      </c>
      <c r="B1618" s="152">
        <v>2022</v>
      </c>
      <c r="C1618" s="152">
        <v>8</v>
      </c>
      <c r="D1618" s="33" t="str">
        <f t="shared" si="473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4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75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86"/>
        <v>560000</v>
      </c>
      <c r="AA1618" s="13">
        <v>1.135</v>
      </c>
      <c r="AB1618" s="21">
        <f t="shared" si="476"/>
        <v>562477.8761061948</v>
      </c>
      <c r="AC1618" s="130">
        <f t="shared" si="477"/>
        <v>106027.07964601772</v>
      </c>
      <c r="AD1618" s="169">
        <v>0.1885</v>
      </c>
      <c r="AE1618" s="154">
        <f t="shared" si="478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7"/>
        <v>15948576.102654871</v>
      </c>
      <c r="AJ1618" s="19">
        <f t="shared" si="488"/>
        <v>2739848.7004853105</v>
      </c>
      <c r="AK1618" s="20">
        <f t="shared" si="479"/>
        <v>0.17179268436567344</v>
      </c>
      <c r="AL1618" s="17"/>
      <c r="AM1618" s="17"/>
      <c r="AN1618" s="17"/>
      <c r="AO1618" s="17"/>
      <c r="AP1618" s="28" t="str">
        <f t="shared" si="480"/>
        <v>20229</v>
      </c>
      <c r="AQ1618" s="28" t="str">
        <f t="shared" si="481"/>
        <v>20229RMB</v>
      </c>
      <c r="AR1618" s="206" t="str">
        <f t="shared" si="482"/>
        <v>YAMAHA_Mounter</v>
      </c>
      <c r="AS1618" s="22">
        <f t="shared" si="483"/>
        <v>1</v>
      </c>
      <c r="AT1618" s="24" t="str">
        <f t="shared" si="484"/>
        <v>0-3 months</v>
      </c>
    </row>
    <row r="1619" spans="1:46" s="12" customFormat="1">
      <c r="A1619" s="33" t="str">
        <f t="shared" si="472"/>
        <v>FY 20/21</v>
      </c>
      <c r="B1619" s="152">
        <v>2020</v>
      </c>
      <c r="C1619" s="152">
        <v>8</v>
      </c>
      <c r="D1619" s="33" t="str">
        <f t="shared" si="473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4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75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86"/>
        <v>585000</v>
      </c>
      <c r="AA1619" s="13">
        <v>1.1299999999999999</v>
      </c>
      <c r="AB1619" s="21">
        <f t="shared" si="476"/>
        <v>585000</v>
      </c>
      <c r="AC1619" s="130">
        <f t="shared" si="477"/>
        <v>59728.5</v>
      </c>
      <c r="AD1619" s="169">
        <v>0.1021</v>
      </c>
      <c r="AE1619" s="154">
        <f t="shared" si="478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7"/>
        <v>47907808.356810622</v>
      </c>
      <c r="AJ1619" s="19">
        <f t="shared" si="488"/>
        <v>6027384.8806384448</v>
      </c>
      <c r="AK1619" s="20">
        <f t="shared" si="479"/>
        <v>0.12581216063459488</v>
      </c>
      <c r="AL1619" s="17"/>
      <c r="AM1619" s="17"/>
      <c r="AN1619" s="17"/>
      <c r="AO1619" s="17"/>
      <c r="AP1619" s="28" t="str">
        <f t="shared" si="480"/>
        <v>20209</v>
      </c>
      <c r="AQ1619" s="28" t="str">
        <f t="shared" si="481"/>
        <v>20209RMB</v>
      </c>
      <c r="AR1619" s="206" t="str">
        <f t="shared" si="482"/>
        <v>YAMAHA_Mounter</v>
      </c>
      <c r="AS1619" s="22">
        <f t="shared" si="483"/>
        <v>1</v>
      </c>
      <c r="AT1619" s="24" t="str">
        <f t="shared" si="484"/>
        <v>0-3 months</v>
      </c>
    </row>
    <row r="1620" spans="1:46" s="12" customFormat="1">
      <c r="A1620" s="33" t="str">
        <f t="shared" si="472"/>
        <v>FY 20/21</v>
      </c>
      <c r="B1620" s="152">
        <v>2020</v>
      </c>
      <c r="C1620" s="152">
        <v>8</v>
      </c>
      <c r="D1620" s="33" t="str">
        <f t="shared" si="473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4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75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86"/>
        <v>585000</v>
      </c>
      <c r="AA1620" s="13">
        <v>1.1299999999999999</v>
      </c>
      <c r="AB1620" s="21">
        <f t="shared" si="476"/>
        <v>585000</v>
      </c>
      <c r="AC1620" s="130">
        <f t="shared" si="477"/>
        <v>59728.5</v>
      </c>
      <c r="AD1620" s="169">
        <v>0.1021</v>
      </c>
      <c r="AE1620" s="154">
        <f t="shared" si="478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7"/>
        <v>47907808.356810622</v>
      </c>
      <c r="AJ1620" s="19">
        <f t="shared" si="488"/>
        <v>6027384.8806384448</v>
      </c>
      <c r="AK1620" s="20">
        <f t="shared" si="479"/>
        <v>0.12581216063459488</v>
      </c>
      <c r="AL1620" s="17"/>
      <c r="AM1620" s="17"/>
      <c r="AN1620" s="17"/>
      <c r="AO1620" s="17"/>
      <c r="AP1620" s="28" t="str">
        <f t="shared" si="480"/>
        <v>20209</v>
      </c>
      <c r="AQ1620" s="28" t="str">
        <f t="shared" si="481"/>
        <v>20209RMB</v>
      </c>
      <c r="AR1620" s="206" t="str">
        <f t="shared" si="482"/>
        <v>YAMAHA_Mounter</v>
      </c>
      <c r="AS1620" s="22">
        <f t="shared" si="483"/>
        <v>1</v>
      </c>
      <c r="AT1620" s="24" t="str">
        <f t="shared" si="484"/>
        <v>0-3 months</v>
      </c>
    </row>
    <row r="1621" spans="1:46" s="12" customFormat="1">
      <c r="A1621" s="33" t="str">
        <f t="shared" si="472"/>
        <v>FY 18/19</v>
      </c>
      <c r="B1621" s="152">
        <v>2018</v>
      </c>
      <c r="C1621" s="152">
        <v>4</v>
      </c>
      <c r="D1621" s="33" t="str">
        <f t="shared" si="473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4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75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86"/>
        <v>500000</v>
      </c>
      <c r="AA1621" s="13">
        <v>1.23</v>
      </c>
      <c r="AB1621" s="21">
        <f t="shared" si="476"/>
        <v>530172.41379310342</v>
      </c>
      <c r="AC1621" s="130">
        <f t="shared" si="477"/>
        <v>74966.379310344826</v>
      </c>
      <c r="AD1621" s="169">
        <v>0.1414</v>
      </c>
      <c r="AE1621" s="154">
        <f t="shared" si="478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7"/>
        <v>24398045.86045352</v>
      </c>
      <c r="AJ1621" s="19">
        <f t="shared" si="488"/>
        <v>3478417.4064663448</v>
      </c>
      <c r="AK1621" s="20">
        <f t="shared" si="479"/>
        <v>0.14256950849102498</v>
      </c>
      <c r="AL1621" s="17"/>
      <c r="AM1621" s="17"/>
      <c r="AN1621" s="17"/>
      <c r="AO1621" s="17" t="s">
        <v>225</v>
      </c>
      <c r="AP1621" s="28" t="str">
        <f t="shared" si="480"/>
        <v>20186</v>
      </c>
      <c r="AQ1621" s="28" t="str">
        <f t="shared" si="481"/>
        <v>20186RMB</v>
      </c>
      <c r="AR1621" s="206" t="str">
        <f t="shared" si="482"/>
        <v>YAMAHA_Mounter</v>
      </c>
      <c r="AS1621" s="22">
        <f t="shared" si="483"/>
        <v>2</v>
      </c>
      <c r="AT1621" s="24" t="str">
        <f t="shared" si="484"/>
        <v>0-3 months</v>
      </c>
    </row>
    <row r="1622" spans="1:46" s="12" customFormat="1">
      <c r="A1622" s="33" t="str">
        <f t="shared" si="472"/>
        <v>FY 22/23</v>
      </c>
      <c r="B1622" s="152">
        <v>2023</v>
      </c>
      <c r="C1622" s="152">
        <v>3</v>
      </c>
      <c r="D1622" s="33" t="str">
        <f t="shared" si="473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4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75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86"/>
        <v>650000</v>
      </c>
      <c r="AA1622" s="13">
        <v>1.1299999999999999</v>
      </c>
      <c r="AB1622" s="21">
        <f t="shared" si="476"/>
        <v>650000</v>
      </c>
      <c r="AC1622" s="130">
        <f t="shared" si="477"/>
        <v>98345</v>
      </c>
      <c r="AD1622" s="169">
        <v>0.15129999999999999</v>
      </c>
      <c r="AE1622" s="154">
        <f t="shared" si="478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7"/>
        <v>33543315.897345133</v>
      </c>
      <c r="AJ1622" s="19">
        <f t="shared" si="488"/>
        <v>4706169.3252984071</v>
      </c>
      <c r="AK1622" s="20">
        <f t="shared" si="479"/>
        <v>0.14030125523967318</v>
      </c>
      <c r="AL1622" s="17"/>
      <c r="AM1622" s="17"/>
      <c r="AN1622" s="17"/>
      <c r="AO1622" s="17"/>
      <c r="AP1622" s="28" t="str">
        <f t="shared" si="480"/>
        <v>20233</v>
      </c>
      <c r="AQ1622" s="28" t="str">
        <f t="shared" si="481"/>
        <v>20233RMB</v>
      </c>
      <c r="AR1622" s="206" t="str">
        <f t="shared" si="482"/>
        <v>YAMAHA_Mounter</v>
      </c>
      <c r="AS1622" s="22">
        <f t="shared" si="483"/>
        <v>0</v>
      </c>
      <c r="AT1622" s="24" t="str">
        <f t="shared" si="484"/>
        <v>0-3 months</v>
      </c>
    </row>
    <row r="1623" spans="1:46" s="12" customFormat="1">
      <c r="A1623" s="33" t="str">
        <f t="shared" si="472"/>
        <v>FY 21/22</v>
      </c>
      <c r="B1623" s="152">
        <v>2021</v>
      </c>
      <c r="C1623" s="152">
        <v>6</v>
      </c>
      <c r="D1623" s="33" t="str">
        <f t="shared" si="473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4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75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86"/>
        <v>9225000</v>
      </c>
      <c r="AA1623" s="13">
        <v>6.25E-2</v>
      </c>
      <c r="AB1623" s="21">
        <f t="shared" si="476"/>
        <v>576562.5</v>
      </c>
      <c r="AC1623" s="130">
        <f t="shared" si="477"/>
        <v>69187.5</v>
      </c>
      <c r="AD1623" s="169">
        <v>0.12</v>
      </c>
      <c r="AE1623" s="154">
        <f t="shared" si="478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7"/>
        <v>477651199.57437885</v>
      </c>
      <c r="AJ1623" s="19">
        <f t="shared" si="488"/>
        <v>56918800.518691957</v>
      </c>
      <c r="AK1623" s="20">
        <f t="shared" si="479"/>
        <v>0.11916394341605475</v>
      </c>
      <c r="AL1623" s="17"/>
      <c r="AM1623" s="17"/>
      <c r="AN1623" s="17"/>
      <c r="AO1623" s="17"/>
      <c r="AP1623" s="28" t="str">
        <f t="shared" si="480"/>
        <v>CancelCANCEL</v>
      </c>
      <c r="AQ1623" s="28" t="str">
        <f t="shared" si="481"/>
        <v>CancelCANCELJPY</v>
      </c>
      <c r="AR1623" s="206" t="str">
        <f t="shared" si="482"/>
        <v>YAMAHA_Mounter</v>
      </c>
      <c r="AS1623" s="22" t="str">
        <f t="shared" si="483"/>
        <v/>
      </c>
      <c r="AT1623" s="24" t="str">
        <f t="shared" si="484"/>
        <v/>
      </c>
    </row>
    <row r="1624" spans="1:46" s="12" customFormat="1">
      <c r="A1624" s="33" t="str">
        <f t="shared" si="472"/>
        <v>FY 21/22</v>
      </c>
      <c r="B1624" s="152">
        <v>2021</v>
      </c>
      <c r="C1624" s="152">
        <v>6</v>
      </c>
      <c r="D1624" s="33" t="str">
        <f t="shared" si="473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4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75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86"/>
        <v>9225000</v>
      </c>
      <c r="AA1624" s="13">
        <v>6.25E-2</v>
      </c>
      <c r="AB1624" s="21">
        <f t="shared" si="476"/>
        <v>576562.5</v>
      </c>
      <c r="AC1624" s="130">
        <f t="shared" si="477"/>
        <v>69187.5</v>
      </c>
      <c r="AD1624" s="169">
        <v>0.12</v>
      </c>
      <c r="AE1624" s="154">
        <f t="shared" si="478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7"/>
        <v>477651199.57437885</v>
      </c>
      <c r="AJ1624" s="19">
        <f t="shared" si="488"/>
        <v>56918800.518691957</v>
      </c>
      <c r="AK1624" s="20">
        <f t="shared" si="479"/>
        <v>0.11916394341605475</v>
      </c>
      <c r="AL1624" s="17"/>
      <c r="AM1624" s="17"/>
      <c r="AN1624" s="17"/>
      <c r="AO1624" s="17"/>
      <c r="AP1624" s="28" t="str">
        <f t="shared" si="480"/>
        <v>CancelCANCEL</v>
      </c>
      <c r="AQ1624" s="28" t="str">
        <f t="shared" si="481"/>
        <v>CancelCANCELJPY</v>
      </c>
      <c r="AR1624" s="206" t="str">
        <f t="shared" si="482"/>
        <v>YAMAHA_Mounter</v>
      </c>
      <c r="AS1624" s="22" t="str">
        <f t="shared" si="483"/>
        <v/>
      </c>
      <c r="AT1624" s="24" t="str">
        <f t="shared" si="484"/>
        <v/>
      </c>
    </row>
    <row r="1625" spans="1:46" s="12" customFormat="1">
      <c r="A1625" s="33" t="str">
        <f t="shared" si="472"/>
        <v>FY 21/22</v>
      </c>
      <c r="B1625" s="152">
        <v>2022</v>
      </c>
      <c r="C1625" s="152">
        <v>2</v>
      </c>
      <c r="D1625" s="33" t="str">
        <f t="shared" si="473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4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75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86"/>
        <v>979433</v>
      </c>
      <c r="AA1625" s="13">
        <v>1.175</v>
      </c>
      <c r="AB1625" s="21">
        <f t="shared" si="476"/>
        <v>1018436.9690265488</v>
      </c>
      <c r="AC1625" s="130">
        <f t="shared" si="477"/>
        <v>213566.23240486727</v>
      </c>
      <c r="AD1625" s="169">
        <v>0.2097</v>
      </c>
      <c r="AE1625" s="154">
        <f t="shared" si="478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7"/>
        <v>35682787.057522126</v>
      </c>
      <c r="AJ1625" s="19">
        <f t="shared" si="488"/>
        <v>5833368.3789623892</v>
      </c>
      <c r="AK1625" s="20">
        <f t="shared" si="479"/>
        <v>0.16347849649632912</v>
      </c>
      <c r="AL1625" s="17"/>
      <c r="AM1625" s="17"/>
      <c r="AN1625" s="17"/>
      <c r="AO1625" s="17"/>
      <c r="AP1625" s="28" t="str">
        <f t="shared" si="480"/>
        <v>20226</v>
      </c>
      <c r="AQ1625" s="28" t="str">
        <f t="shared" si="481"/>
        <v>20226RMB</v>
      </c>
      <c r="AR1625" s="206" t="str">
        <f t="shared" si="482"/>
        <v>YAMAHA_Mounter</v>
      </c>
      <c r="AS1625" s="22">
        <f t="shared" si="483"/>
        <v>4</v>
      </c>
      <c r="AT1625" s="24" t="str">
        <f t="shared" si="484"/>
        <v>4-6 months</v>
      </c>
    </row>
    <row r="1626" spans="1:46" s="12" customFormat="1">
      <c r="A1626" s="33" t="str">
        <f t="shared" si="472"/>
        <v>FY 19/20</v>
      </c>
      <c r="B1626" s="152">
        <v>2019</v>
      </c>
      <c r="C1626" s="152">
        <v>4</v>
      </c>
      <c r="D1626" s="33" t="str">
        <f t="shared" si="473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4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75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86"/>
        <v>752000</v>
      </c>
      <c r="AA1626" s="13">
        <v>1.135</v>
      </c>
      <c r="AB1626" s="21">
        <f t="shared" si="476"/>
        <v>755327.43362831871</v>
      </c>
      <c r="AC1626" s="130">
        <f t="shared" si="477"/>
        <v>85427.532743362855</v>
      </c>
      <c r="AD1626" s="169">
        <v>0.11310000000000001</v>
      </c>
      <c r="AE1626" s="154">
        <f t="shared" si="478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7"/>
        <v>31296887.037898075</v>
      </c>
      <c r="AJ1626" s="19">
        <f t="shared" si="488"/>
        <v>3588873.9502021763</v>
      </c>
      <c r="AK1626" s="20">
        <f t="shared" si="479"/>
        <v>0.11467191436184473</v>
      </c>
      <c r="AL1626" s="17"/>
      <c r="AM1626" s="17"/>
      <c r="AN1626" s="17"/>
      <c r="AO1626" s="17"/>
      <c r="AP1626" s="28" t="str">
        <f t="shared" si="480"/>
        <v>20196</v>
      </c>
      <c r="AQ1626" s="28" t="str">
        <f t="shared" si="481"/>
        <v>20196RMB</v>
      </c>
      <c r="AR1626" s="206" t="str">
        <f t="shared" si="482"/>
        <v>YAMAHA_Mounter</v>
      </c>
      <c r="AS1626" s="22">
        <f t="shared" si="483"/>
        <v>2</v>
      </c>
      <c r="AT1626" s="24" t="str">
        <f t="shared" si="484"/>
        <v>0-3 months</v>
      </c>
    </row>
    <row r="1627" spans="1:46" s="12" customFormat="1">
      <c r="A1627" s="33" t="str">
        <f t="shared" si="472"/>
        <v>FY 22/23</v>
      </c>
      <c r="B1627" s="152">
        <v>2022</v>
      </c>
      <c r="C1627" s="152">
        <v>11</v>
      </c>
      <c r="D1627" s="33" t="str">
        <f t="shared" si="473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4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75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89">IF(W1627="RMB","1.13", "1")</f>
        <v>1.13</v>
      </c>
      <c r="Z1627" s="18">
        <f t="shared" si="486"/>
        <v>550000</v>
      </c>
      <c r="AA1627" s="13">
        <v>1.08</v>
      </c>
      <c r="AB1627" s="21">
        <f t="shared" si="476"/>
        <v>525663.71681415942</v>
      </c>
      <c r="AC1627" s="130">
        <f t="shared" si="477"/>
        <v>103292.92035398234</v>
      </c>
      <c r="AD1627" s="169">
        <v>0.19650000000000001</v>
      </c>
      <c r="AE1627" s="154">
        <f t="shared" si="478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7"/>
        <v>31017966.201968137</v>
      </c>
      <c r="AJ1627" s="19">
        <f t="shared" si="488"/>
        <v>4704250.3347305888</v>
      </c>
      <c r="AK1627" s="20">
        <f t="shared" si="479"/>
        <v>0.15166211427595458</v>
      </c>
      <c r="AL1627" s="17"/>
      <c r="AM1627" s="17"/>
      <c r="AN1627" s="17"/>
      <c r="AO1627" s="17"/>
      <c r="AP1627" s="28" t="str">
        <f t="shared" si="480"/>
        <v>202211</v>
      </c>
      <c r="AQ1627" s="28" t="str">
        <f t="shared" si="481"/>
        <v>202211RMB</v>
      </c>
      <c r="AR1627" s="206" t="str">
        <f t="shared" si="482"/>
        <v>YAMAHA_Mounter</v>
      </c>
      <c r="AS1627" s="22">
        <f t="shared" si="483"/>
        <v>0</v>
      </c>
      <c r="AT1627" s="24" t="str">
        <f t="shared" si="484"/>
        <v>0-3 months</v>
      </c>
    </row>
    <row r="1628" spans="1:46" s="12" customFormat="1">
      <c r="A1628" s="33" t="str">
        <f t="shared" si="472"/>
        <v>FY 21/22</v>
      </c>
      <c r="B1628" s="152">
        <v>2022</v>
      </c>
      <c r="C1628" s="152">
        <v>2</v>
      </c>
      <c r="D1628" s="33" t="str">
        <f t="shared" si="473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4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75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89"/>
        <v>1.13</v>
      </c>
      <c r="Z1628" s="18">
        <f t="shared" si="486"/>
        <v>1000000</v>
      </c>
      <c r="AA1628" s="13">
        <v>1.22</v>
      </c>
      <c r="AB1628" s="21">
        <f t="shared" si="476"/>
        <v>1079646.0176991152</v>
      </c>
      <c r="AC1628" s="130">
        <f t="shared" si="477"/>
        <v>183539.82300884961</v>
      </c>
      <c r="AD1628" s="169">
        <v>0.17</v>
      </c>
      <c r="AE1628" s="154">
        <f t="shared" si="478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7"/>
        <v>46600814.041769907</v>
      </c>
      <c r="AJ1628" s="19">
        <f t="shared" si="488"/>
        <v>5956366.3435927071</v>
      </c>
      <c r="AK1628" s="20">
        <f t="shared" si="479"/>
        <v>0.1278167874546958</v>
      </c>
      <c r="AL1628" s="17"/>
      <c r="AM1628" s="17"/>
      <c r="AN1628" s="17"/>
      <c r="AO1628" s="17"/>
      <c r="AP1628" s="28" t="str">
        <f t="shared" si="480"/>
        <v>20224</v>
      </c>
      <c r="AQ1628" s="28" t="str">
        <f t="shared" si="481"/>
        <v>20224RMB</v>
      </c>
      <c r="AR1628" s="206" t="str">
        <f t="shared" si="482"/>
        <v>YAMAHA_Mounter</v>
      </c>
      <c r="AS1628" s="22">
        <f t="shared" si="483"/>
        <v>2</v>
      </c>
      <c r="AT1628" s="24" t="str">
        <f t="shared" si="484"/>
        <v>0-3 months</v>
      </c>
    </row>
    <row r="1629" spans="1:46" s="12" customFormat="1">
      <c r="A1629" s="33" t="str">
        <f t="shared" si="472"/>
        <v>FY 21/22</v>
      </c>
      <c r="B1629" s="152">
        <v>2022</v>
      </c>
      <c r="C1629" s="152">
        <v>2</v>
      </c>
      <c r="D1629" s="33" t="str">
        <f t="shared" si="473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4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75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89"/>
        <v>1.13</v>
      </c>
      <c r="Z1629" s="18">
        <f t="shared" si="486"/>
        <v>810000</v>
      </c>
      <c r="AA1629" s="13">
        <v>1.22</v>
      </c>
      <c r="AB1629" s="21">
        <f t="shared" si="476"/>
        <v>874513.27433628333</v>
      </c>
      <c r="AC1629" s="130">
        <f t="shared" si="477"/>
        <v>148667.25663716818</v>
      </c>
      <c r="AD1629" s="169">
        <v>0.17</v>
      </c>
      <c r="AE1629" s="154">
        <f t="shared" si="478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7"/>
        <v>46600814.041769907</v>
      </c>
      <c r="AJ1629" s="19">
        <f t="shared" si="488"/>
        <v>5956366.3435927071</v>
      </c>
      <c r="AK1629" s="20">
        <f t="shared" si="479"/>
        <v>0.1278167874546958</v>
      </c>
      <c r="AL1629" s="17"/>
      <c r="AM1629" s="17"/>
      <c r="AN1629" s="17"/>
      <c r="AO1629" s="17"/>
      <c r="AP1629" s="28" t="str">
        <f t="shared" si="480"/>
        <v>20224</v>
      </c>
      <c r="AQ1629" s="28" t="str">
        <f t="shared" si="481"/>
        <v>20224RMB</v>
      </c>
      <c r="AR1629" s="206" t="str">
        <f t="shared" si="482"/>
        <v>YAMAHA_Mounter</v>
      </c>
      <c r="AS1629" s="22">
        <f t="shared" si="483"/>
        <v>2</v>
      </c>
      <c r="AT1629" s="24" t="str">
        <f t="shared" si="484"/>
        <v>0-3 months</v>
      </c>
    </row>
    <row r="1630" spans="1:46" s="12" customFormat="1">
      <c r="A1630" s="33" t="str">
        <f t="shared" si="472"/>
        <v>FY 20/21</v>
      </c>
      <c r="B1630" s="152">
        <v>2021</v>
      </c>
      <c r="C1630" s="152">
        <v>1</v>
      </c>
      <c r="D1630" s="33" t="str">
        <f t="shared" si="473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4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75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89"/>
        <v>1</v>
      </c>
      <c r="Z1630" s="18">
        <f t="shared" si="486"/>
        <v>8835532</v>
      </c>
      <c r="AA1630" s="13">
        <v>7.17E-2</v>
      </c>
      <c r="AB1630" s="21">
        <f t="shared" si="476"/>
        <v>633507.64439999999</v>
      </c>
      <c r="AC1630" s="130">
        <f t="shared" si="477"/>
        <v>92428.765317960002</v>
      </c>
      <c r="AD1630" s="169">
        <v>0.1459</v>
      </c>
      <c r="AE1630" s="154">
        <f t="shared" si="478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7"/>
        <v>43684091.636631854</v>
      </c>
      <c r="AJ1630" s="19">
        <f t="shared" si="488"/>
        <v>6483951.8242071122</v>
      </c>
      <c r="AK1630" s="20">
        <f t="shared" si="479"/>
        <v>0.14842821680123736</v>
      </c>
      <c r="AL1630" s="17"/>
      <c r="AM1630" s="17"/>
      <c r="AN1630" s="17"/>
      <c r="AO1630" s="17"/>
      <c r="AP1630" s="28" t="str">
        <f t="shared" si="480"/>
        <v>20214</v>
      </c>
      <c r="AQ1630" s="28" t="str">
        <f t="shared" si="481"/>
        <v>20214JPY</v>
      </c>
      <c r="AR1630" s="206" t="str">
        <f t="shared" si="482"/>
        <v>YAMAHA_Mounter</v>
      </c>
      <c r="AS1630" s="22">
        <f t="shared" si="483"/>
        <v>3</v>
      </c>
      <c r="AT1630" s="24" t="str">
        <f t="shared" si="484"/>
        <v>0-3 months</v>
      </c>
    </row>
    <row r="1631" spans="1:46" s="12" customFormat="1">
      <c r="A1631" s="33" t="str">
        <f t="shared" si="472"/>
        <v>FY 21/22</v>
      </c>
      <c r="B1631" s="152">
        <v>2021</v>
      </c>
      <c r="C1631" s="152">
        <v>7</v>
      </c>
      <c r="D1631" s="33" t="str">
        <f t="shared" si="473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4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75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89"/>
        <v>1</v>
      </c>
      <c r="Z1631" s="18">
        <f t="shared" si="486"/>
        <v>7600000</v>
      </c>
      <c r="AA1631" s="13">
        <v>6.25E-2</v>
      </c>
      <c r="AB1631" s="21">
        <f t="shared" si="476"/>
        <v>475000</v>
      </c>
      <c r="AC1631" s="130">
        <f t="shared" si="477"/>
        <v>57000</v>
      </c>
      <c r="AD1631" s="169">
        <v>0.12</v>
      </c>
      <c r="AE1631" s="154">
        <f t="shared" si="478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7"/>
        <v>477651199.57437885</v>
      </c>
      <c r="AJ1631" s="19">
        <f t="shared" si="488"/>
        <v>56918800.518691957</v>
      </c>
      <c r="AK1631" s="20">
        <f t="shared" si="479"/>
        <v>0.11916394341605475</v>
      </c>
      <c r="AL1631" s="17"/>
      <c r="AM1631" s="17"/>
      <c r="AN1631" s="17"/>
      <c r="AO1631" s="17"/>
      <c r="AP1631" s="28" t="str">
        <f t="shared" si="480"/>
        <v>CancelCancel</v>
      </c>
      <c r="AQ1631" s="28" t="str">
        <f t="shared" si="481"/>
        <v>CancelCancelJPY</v>
      </c>
      <c r="AR1631" s="206" t="str">
        <f t="shared" si="482"/>
        <v>YAMAHA_Mounter</v>
      </c>
      <c r="AS1631" s="22" t="str">
        <f t="shared" si="483"/>
        <v/>
      </c>
      <c r="AT1631" s="24" t="str">
        <f t="shared" si="484"/>
        <v/>
      </c>
    </row>
    <row r="1632" spans="1:46" s="12" customFormat="1">
      <c r="A1632" s="33" t="str">
        <f t="shared" ref="A1632:A1695" si="490">IF(C1632="cancel","cancel",IFERROR(IF(D1632="Q4","FY "&amp;RIGHT(B1632,2)-1&amp;"/"&amp;RIGHT(B1632,2),"FY "&amp;RIGHT(B1632,2)&amp;"/"&amp;RIGHT(B1632,2)+1),""))</f>
        <v/>
      </c>
      <c r="B1632" s="152" t="s">
        <v>2585</v>
      </c>
      <c r="C1632" s="152" t="s">
        <v>2585</v>
      </c>
      <c r="D1632" s="33" t="b">
        <f t="shared" ref="D1632:D1695" si="491">IF(B1632="","",IF(AND(C1632&gt;=10,C1632&lt;=12),"Q3",IF(AND(C1632&gt;=1,C1632&lt;=3),"Q4",IF(AND(C1632&gt;=7,C1632&lt;=9),"Q2",IF(AND(C1632&gt;=4,C1632&lt;=6),"Q1")))))</f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ref="I1632:I1695" si="492">IFERROR(IF(F1632="","",IF(F1632="TBA","TBA",IF(F1632="Cancel","Cancel",IF(AND(G1632&gt;=10,G1632&lt;=12),"Q3",IF(AND(G1632&gt;=1,G1632&lt;=3),"Q4",IF(AND(G1632&gt;=7,G1632&lt;=9),"Q2",IF(AND(G1632&gt;=4,G1632&lt;=6),"Q1"))))))),"")</f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ref="P1632:P1695" si="493">IF(M1632="","",IF(AND(N1632&gt;0,L1632&lt;&gt;""),"MAIN UNIT",IF(AND(O1632&gt;0,L1632&lt;&gt;""),"SERVICE/ PARTS","C66 SERVICE/OTHERS")))</f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89"/>
        <v>1.13</v>
      </c>
      <c r="Z1632" s="18">
        <f t="shared" si="486"/>
        <v>500000</v>
      </c>
      <c r="AA1632" s="13">
        <v>1.095</v>
      </c>
      <c r="AB1632" s="21">
        <f t="shared" ref="AB1632:AB1695" si="494">IF(AND(R1632&lt;&gt;"C66",R1632&lt;&gt;""),Z1632/Y1632*AA1632,"")</f>
        <v>484513.27433628321</v>
      </c>
      <c r="AC1632" s="130">
        <f t="shared" ref="AC1632:AC1695" si="495">IF(R1632&lt;&gt;"",AB1632*AD1632,"")</f>
        <v>58141.592920353985</v>
      </c>
      <c r="AD1632" s="169">
        <v>0.12</v>
      </c>
      <c r="AE1632" s="154">
        <f t="shared" ref="AE1632:AE1695" si="496">IF(Q1632="","",IF(Q1632="Yes",1,0))</f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7"/>
        <v>16602721.68141593</v>
      </c>
      <c r="AJ1632" s="19">
        <f t="shared" si="488"/>
        <v>1923201.4867699118</v>
      </c>
      <c r="AK1632" s="20">
        <f t="shared" ref="AK1632:AK1695" si="497">IF(AJ1632&gt;0,AJ1632/AI1632,"")</f>
        <v>0.11583651907642503</v>
      </c>
      <c r="AL1632" s="17"/>
      <c r="AM1632" s="17"/>
      <c r="AN1632" s="17"/>
      <c r="AO1632" s="17"/>
      <c r="AP1632" s="28" t="str">
        <f t="shared" ref="AP1632:AP1695" si="498">IF(F1632="","",F1632&amp;G1632)</f>
        <v>TBATBA</v>
      </c>
      <c r="AQ1632" s="28" t="str">
        <f t="shared" ref="AQ1632:AQ1695" si="499">IF(W1632="","",F1632&amp;G1632&amp;W1632)</f>
        <v>TBATBARMB</v>
      </c>
      <c r="AR1632" s="206" t="str">
        <f t="shared" ref="AR1632:AR1695" si="500">IFERROR(IF(AND(M1632="YAMAHA", R1632="C28"), "YAMAHA_Non_Mounter", IF(AND(M1632="YAMAHA", R1632="C49"), "YAMAHA_Mounter", M1632)),"")</f>
        <v>YAMAHA_Mounter</v>
      </c>
      <c r="AS1632" s="22" t="str">
        <f t="shared" ref="AS1632:AS1695" si="501">IFERROR(IF(OR(G1632="TBA", G1632=""), "", DATEDIF(DATE(B1632, C1632, 1), DATE(F1632, G1632, 1), "M")),"")</f>
        <v/>
      </c>
      <c r="AT1632" s="24" t="str">
        <f t="shared" ref="AT1632:AT1695" si="502">IF(ISNUMBER(AS1632), IF(AS1632&gt;=0, IF(AS1632&lt;=3, "0-3 months", IF(AS1632&lt;=6, "4-6 months", "&gt; 6 months"))), "")</f>
        <v/>
      </c>
    </row>
    <row r="1633" spans="1:46" s="12" customFormat="1">
      <c r="A1633" s="33" t="str">
        <f t="shared" si="490"/>
        <v>cancel</v>
      </c>
      <c r="B1633" s="152"/>
      <c r="C1633" s="152" t="s">
        <v>186</v>
      </c>
      <c r="D1633" s="33" t="str">
        <f t="shared" si="491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92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93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86"/>
        <v>1000000</v>
      </c>
      <c r="AA1633" s="13">
        <v>1.1299999999999999</v>
      </c>
      <c r="AB1633" s="21">
        <f t="shared" si="494"/>
        <v>1000000</v>
      </c>
      <c r="AC1633" s="130">
        <f t="shared" si="495"/>
        <v>120000</v>
      </c>
      <c r="AD1633" s="169">
        <v>0.12</v>
      </c>
      <c r="AE1633" s="154">
        <f t="shared" si="496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7"/>
        <v>477651199.57437885</v>
      </c>
      <c r="AJ1633" s="19">
        <f t="shared" si="488"/>
        <v>56918800.518691957</v>
      </c>
      <c r="AK1633" s="20">
        <f t="shared" si="497"/>
        <v>0.11916394341605475</v>
      </c>
      <c r="AL1633" s="17"/>
      <c r="AM1633" s="17"/>
      <c r="AN1633" s="17"/>
      <c r="AO1633" s="17"/>
      <c r="AP1633" s="28" t="str">
        <f t="shared" si="498"/>
        <v>CancelCancel</v>
      </c>
      <c r="AQ1633" s="28" t="str">
        <f t="shared" si="499"/>
        <v>CancelCancelRMB</v>
      </c>
      <c r="AR1633" s="206" t="str">
        <f t="shared" si="500"/>
        <v>YAMAHA_Mounter</v>
      </c>
      <c r="AS1633" s="22" t="str">
        <f t="shared" si="501"/>
        <v/>
      </c>
      <c r="AT1633" s="24" t="str">
        <f t="shared" si="502"/>
        <v/>
      </c>
    </row>
    <row r="1634" spans="1:46" s="12" customFormat="1">
      <c r="A1634" s="33" t="str">
        <f t="shared" si="490"/>
        <v>cancel</v>
      </c>
      <c r="B1634" s="152"/>
      <c r="C1634" s="152" t="s">
        <v>186</v>
      </c>
      <c r="D1634" s="33" t="str">
        <f t="shared" si="491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92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93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86"/>
        <v>550000</v>
      </c>
      <c r="AA1634" s="13">
        <v>1.1299999999999999</v>
      </c>
      <c r="AB1634" s="21">
        <f t="shared" si="494"/>
        <v>550000</v>
      </c>
      <c r="AC1634" s="130">
        <f t="shared" si="495"/>
        <v>66000</v>
      </c>
      <c r="AD1634" s="169">
        <v>0.12</v>
      </c>
      <c r="AE1634" s="154">
        <f t="shared" si="496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7"/>
        <v>477651199.57437885</v>
      </c>
      <c r="AJ1634" s="19">
        <f t="shared" si="488"/>
        <v>56918800.518691957</v>
      </c>
      <c r="AK1634" s="20">
        <f t="shared" si="497"/>
        <v>0.11916394341605475</v>
      </c>
      <c r="AL1634" s="17"/>
      <c r="AM1634" s="17"/>
      <c r="AN1634" s="17"/>
      <c r="AO1634" s="17"/>
      <c r="AP1634" s="28" t="str">
        <f t="shared" si="498"/>
        <v>CancelCancel</v>
      </c>
      <c r="AQ1634" s="28" t="str">
        <f t="shared" si="499"/>
        <v>CancelCancelRMB</v>
      </c>
      <c r="AR1634" s="206" t="str">
        <f t="shared" si="500"/>
        <v>YAMAHA_Mounter</v>
      </c>
      <c r="AS1634" s="22" t="str">
        <f t="shared" si="501"/>
        <v/>
      </c>
      <c r="AT1634" s="24" t="str">
        <f t="shared" si="502"/>
        <v/>
      </c>
    </row>
    <row r="1635" spans="1:46" s="12" customFormat="1">
      <c r="A1635" s="33" t="str">
        <f t="shared" si="490"/>
        <v>cancel</v>
      </c>
      <c r="B1635" s="152"/>
      <c r="C1635" s="152" t="s">
        <v>186</v>
      </c>
      <c r="D1635" s="33" t="str">
        <f t="shared" si="491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92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93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86"/>
        <v>588550</v>
      </c>
      <c r="AA1635" s="13">
        <v>1.1299999999999999</v>
      </c>
      <c r="AB1635" s="21">
        <f t="shared" si="494"/>
        <v>588550</v>
      </c>
      <c r="AC1635" s="130">
        <f t="shared" si="495"/>
        <v>70626</v>
      </c>
      <c r="AD1635" s="169">
        <v>0.12</v>
      </c>
      <c r="AE1635" s="154">
        <f t="shared" si="496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7"/>
        <v>477651199.57437885</v>
      </c>
      <c r="AJ1635" s="19">
        <f t="shared" si="488"/>
        <v>56918800.518691957</v>
      </c>
      <c r="AK1635" s="20">
        <f t="shared" si="497"/>
        <v>0.11916394341605475</v>
      </c>
      <c r="AL1635" s="17"/>
      <c r="AM1635" s="17"/>
      <c r="AN1635" s="17"/>
      <c r="AO1635" s="17"/>
      <c r="AP1635" s="28" t="str">
        <f t="shared" si="498"/>
        <v>CancelCancel</v>
      </c>
      <c r="AQ1635" s="28" t="str">
        <f t="shared" si="499"/>
        <v>CancelCancelRMB</v>
      </c>
      <c r="AR1635" s="206" t="str">
        <f t="shared" si="500"/>
        <v>YAMAHA_Mounter</v>
      </c>
      <c r="AS1635" s="22" t="str">
        <f t="shared" si="501"/>
        <v/>
      </c>
      <c r="AT1635" s="24" t="str">
        <f t="shared" si="502"/>
        <v/>
      </c>
    </row>
    <row r="1636" spans="1:46" s="12" customFormat="1">
      <c r="A1636" s="33" t="str">
        <f t="shared" si="490"/>
        <v>cancel</v>
      </c>
      <c r="B1636" s="152"/>
      <c r="C1636" s="152" t="s">
        <v>186</v>
      </c>
      <c r="D1636" s="33" t="str">
        <f t="shared" si="491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92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93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86"/>
        <v>588550</v>
      </c>
      <c r="AA1636" s="13">
        <v>1.1299999999999999</v>
      </c>
      <c r="AB1636" s="21">
        <f t="shared" si="494"/>
        <v>588550</v>
      </c>
      <c r="AC1636" s="130">
        <f t="shared" si="495"/>
        <v>70626</v>
      </c>
      <c r="AD1636" s="169">
        <v>0.12</v>
      </c>
      <c r="AE1636" s="154">
        <f t="shared" si="496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7"/>
        <v>477651199.57437885</v>
      </c>
      <c r="AJ1636" s="19">
        <f t="shared" si="488"/>
        <v>56918800.518691957</v>
      </c>
      <c r="AK1636" s="20">
        <f t="shared" si="497"/>
        <v>0.11916394341605475</v>
      </c>
      <c r="AL1636" s="17"/>
      <c r="AM1636" s="17"/>
      <c r="AN1636" s="17"/>
      <c r="AO1636" s="17"/>
      <c r="AP1636" s="28" t="str">
        <f t="shared" si="498"/>
        <v>CancelCancel</v>
      </c>
      <c r="AQ1636" s="28" t="str">
        <f t="shared" si="499"/>
        <v>CancelCancelRMB</v>
      </c>
      <c r="AR1636" s="206" t="str">
        <f t="shared" si="500"/>
        <v>YAMAHA_Mounter</v>
      </c>
      <c r="AS1636" s="22" t="str">
        <f t="shared" si="501"/>
        <v/>
      </c>
      <c r="AT1636" s="24" t="str">
        <f t="shared" si="502"/>
        <v/>
      </c>
    </row>
    <row r="1637" spans="1:46" s="12" customFormat="1">
      <c r="A1637" s="33" t="str">
        <f t="shared" si="490"/>
        <v>FY 19/20</v>
      </c>
      <c r="B1637" s="152">
        <v>2019</v>
      </c>
      <c r="C1637" s="152">
        <v>8</v>
      </c>
      <c r="D1637" s="33" t="str">
        <f t="shared" si="491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92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93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86"/>
        <v>820000</v>
      </c>
      <c r="AA1637" s="13">
        <v>1.135</v>
      </c>
      <c r="AB1637" s="21">
        <f t="shared" si="494"/>
        <v>823628.31858407089</v>
      </c>
      <c r="AC1637" s="130">
        <f t="shared" si="495"/>
        <v>63995.920353982314</v>
      </c>
      <c r="AD1637" s="169">
        <v>7.7700000000000005E-2</v>
      </c>
      <c r="AE1637" s="154">
        <f t="shared" si="496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7"/>
        <v>21386017.707964607</v>
      </c>
      <c r="AJ1637" s="19">
        <f t="shared" si="488"/>
        <v>2238764.3265707968</v>
      </c>
      <c r="AK1637" s="20">
        <f t="shared" si="497"/>
        <v>0.10468355339185161</v>
      </c>
      <c r="AL1637" s="17"/>
      <c r="AM1637" s="17"/>
      <c r="AN1637" s="17"/>
      <c r="AO1637" s="17"/>
      <c r="AP1637" s="28" t="str">
        <f t="shared" si="498"/>
        <v>20198</v>
      </c>
      <c r="AQ1637" s="28" t="str">
        <f t="shared" si="499"/>
        <v>20198RMB</v>
      </c>
      <c r="AR1637" s="206" t="str">
        <f t="shared" si="500"/>
        <v>YAMAHA_Mounter</v>
      </c>
      <c r="AS1637" s="22">
        <f t="shared" si="501"/>
        <v>0</v>
      </c>
      <c r="AT1637" s="24" t="str">
        <f t="shared" si="502"/>
        <v>0-3 months</v>
      </c>
    </row>
    <row r="1638" spans="1:46" s="12" customFormat="1">
      <c r="A1638" s="33" t="str">
        <f t="shared" si="490"/>
        <v>FY 20/21</v>
      </c>
      <c r="B1638" s="152">
        <v>2020</v>
      </c>
      <c r="C1638" s="152">
        <v>5</v>
      </c>
      <c r="D1638" s="33" t="str">
        <f t="shared" si="491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92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93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86"/>
        <v>570000</v>
      </c>
      <c r="AA1638" s="13">
        <v>1.089</v>
      </c>
      <c r="AB1638" s="21">
        <f t="shared" si="494"/>
        <v>549318.5840707965</v>
      </c>
      <c r="AC1638" s="130">
        <f t="shared" si="495"/>
        <v>69873.323893805325</v>
      </c>
      <c r="AD1638" s="169">
        <v>0.12720000000000001</v>
      </c>
      <c r="AE1638" s="154">
        <f t="shared" si="496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7"/>
        <v>29183109.05575221</v>
      </c>
      <c r="AJ1638" s="19">
        <f t="shared" si="488"/>
        <v>3741266.5648721238</v>
      </c>
      <c r="AK1638" s="20">
        <f t="shared" si="497"/>
        <v>0.12819972531798121</v>
      </c>
      <c r="AL1638" s="17"/>
      <c r="AM1638" s="17"/>
      <c r="AN1638" s="17"/>
      <c r="AO1638" s="17"/>
      <c r="AP1638" s="28" t="str">
        <f t="shared" si="498"/>
        <v>20206</v>
      </c>
      <c r="AQ1638" s="28" t="str">
        <f t="shared" si="499"/>
        <v>20206RMB</v>
      </c>
      <c r="AR1638" s="206" t="str">
        <f t="shared" si="500"/>
        <v>YAMAHA_Mounter</v>
      </c>
      <c r="AS1638" s="22">
        <f t="shared" si="501"/>
        <v>1</v>
      </c>
      <c r="AT1638" s="24" t="str">
        <f t="shared" si="502"/>
        <v>0-3 months</v>
      </c>
    </row>
    <row r="1639" spans="1:46" s="12" customFormat="1">
      <c r="A1639" s="33" t="str">
        <f t="shared" si="490"/>
        <v>FY 19/20</v>
      </c>
      <c r="B1639" s="152">
        <v>2020</v>
      </c>
      <c r="C1639" s="152">
        <v>3</v>
      </c>
      <c r="D1639" s="33" t="str">
        <f t="shared" si="491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92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93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86"/>
        <v>7367500</v>
      </c>
      <c r="AA1639" s="13">
        <v>7.3599999999999999E-2</v>
      </c>
      <c r="AB1639" s="21">
        <f t="shared" si="494"/>
        <v>542248</v>
      </c>
      <c r="AC1639" s="130">
        <f t="shared" si="495"/>
        <v>77270.34</v>
      </c>
      <c r="AD1639" s="169">
        <v>0.14249999999999999</v>
      </c>
      <c r="AE1639" s="154">
        <f t="shared" si="496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7"/>
        <v>33477255.428389374</v>
      </c>
      <c r="AJ1639" s="19">
        <f t="shared" si="488"/>
        <v>4578663.362915583</v>
      </c>
      <c r="AK1639" s="20">
        <f t="shared" si="497"/>
        <v>0.13676937682988152</v>
      </c>
      <c r="AL1639" s="17"/>
      <c r="AM1639" s="17"/>
      <c r="AN1639" s="17"/>
      <c r="AO1639" s="17"/>
      <c r="AP1639" s="28" t="str">
        <f t="shared" si="498"/>
        <v>20204</v>
      </c>
      <c r="AQ1639" s="28" t="str">
        <f t="shared" si="499"/>
        <v>20204JPY</v>
      </c>
      <c r="AR1639" s="206" t="str">
        <f t="shared" si="500"/>
        <v>YAMAHA_Mounter</v>
      </c>
      <c r="AS1639" s="22">
        <f t="shared" si="501"/>
        <v>1</v>
      </c>
      <c r="AT1639" s="24" t="str">
        <f t="shared" si="502"/>
        <v>0-3 months</v>
      </c>
    </row>
    <row r="1640" spans="1:46" s="12" customFormat="1">
      <c r="A1640" s="33" t="str">
        <f t="shared" si="490"/>
        <v>FY 19/20</v>
      </c>
      <c r="B1640" s="152">
        <v>2020</v>
      </c>
      <c r="C1640" s="152">
        <v>3</v>
      </c>
      <c r="D1640" s="33" t="str">
        <f t="shared" si="491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92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93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86"/>
        <v>7367500</v>
      </c>
      <c r="AA1640" s="13">
        <v>7.3599999999999999E-2</v>
      </c>
      <c r="AB1640" s="21">
        <f t="shared" si="494"/>
        <v>542248</v>
      </c>
      <c r="AC1640" s="130">
        <f t="shared" si="495"/>
        <v>77270.34</v>
      </c>
      <c r="AD1640" s="169">
        <v>0.14249999999999999</v>
      </c>
      <c r="AE1640" s="154">
        <f t="shared" si="496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7"/>
        <v>33477255.428389374</v>
      </c>
      <c r="AJ1640" s="19">
        <f t="shared" si="488"/>
        <v>4578663.362915583</v>
      </c>
      <c r="AK1640" s="20">
        <f t="shared" si="497"/>
        <v>0.13676937682988152</v>
      </c>
      <c r="AL1640" s="17"/>
      <c r="AM1640" s="17"/>
      <c r="AN1640" s="17"/>
      <c r="AO1640" s="17"/>
      <c r="AP1640" s="28" t="str">
        <f t="shared" si="498"/>
        <v>20204</v>
      </c>
      <c r="AQ1640" s="28" t="str">
        <f t="shared" si="499"/>
        <v>20204JPY</v>
      </c>
      <c r="AR1640" s="206" t="str">
        <f t="shared" si="500"/>
        <v>YAMAHA_Mounter</v>
      </c>
      <c r="AS1640" s="22">
        <f t="shared" si="501"/>
        <v>1</v>
      </c>
      <c r="AT1640" s="24" t="str">
        <f t="shared" si="502"/>
        <v>0-3 months</v>
      </c>
    </row>
    <row r="1641" spans="1:46" s="12" customFormat="1">
      <c r="A1641" s="33" t="str">
        <f t="shared" si="490"/>
        <v>FY 19/20</v>
      </c>
      <c r="B1641" s="152">
        <v>2020</v>
      </c>
      <c r="C1641" s="152">
        <v>3</v>
      </c>
      <c r="D1641" s="33" t="str">
        <f t="shared" si="491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92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93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86"/>
        <v>7367500</v>
      </c>
      <c r="AA1641" s="13">
        <v>7.3599999999999999E-2</v>
      </c>
      <c r="AB1641" s="21">
        <f t="shared" si="494"/>
        <v>542248</v>
      </c>
      <c r="AC1641" s="130">
        <f t="shared" si="495"/>
        <v>77270.34</v>
      </c>
      <c r="AD1641" s="169">
        <v>0.14249999999999999</v>
      </c>
      <c r="AE1641" s="154">
        <f t="shared" si="496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7"/>
        <v>33477255.428389374</v>
      </c>
      <c r="AJ1641" s="19">
        <f t="shared" si="488"/>
        <v>4578663.362915583</v>
      </c>
      <c r="AK1641" s="20">
        <f t="shared" si="497"/>
        <v>0.13676937682988152</v>
      </c>
      <c r="AL1641" s="17"/>
      <c r="AM1641" s="17"/>
      <c r="AN1641" s="17"/>
      <c r="AO1641" s="17"/>
      <c r="AP1641" s="28" t="str">
        <f t="shared" si="498"/>
        <v>20204</v>
      </c>
      <c r="AQ1641" s="28" t="str">
        <f t="shared" si="499"/>
        <v>20204JPY</v>
      </c>
      <c r="AR1641" s="206" t="str">
        <f t="shared" si="500"/>
        <v>YAMAHA_Mounter</v>
      </c>
      <c r="AS1641" s="22">
        <f t="shared" si="501"/>
        <v>1</v>
      </c>
      <c r="AT1641" s="24" t="str">
        <f t="shared" si="502"/>
        <v>0-3 months</v>
      </c>
    </row>
    <row r="1642" spans="1:46" s="12" customFormat="1">
      <c r="A1642" s="33" t="str">
        <f t="shared" si="490"/>
        <v>FY 19/20</v>
      </c>
      <c r="B1642" s="152">
        <v>2020</v>
      </c>
      <c r="C1642" s="152">
        <v>3</v>
      </c>
      <c r="D1642" s="33" t="str">
        <f t="shared" si="491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92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93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86"/>
        <v>7367500</v>
      </c>
      <c r="AA1642" s="13">
        <v>7.3599999999999999E-2</v>
      </c>
      <c r="AB1642" s="21">
        <f t="shared" si="494"/>
        <v>542248</v>
      </c>
      <c r="AC1642" s="130">
        <f t="shared" si="495"/>
        <v>77270.34</v>
      </c>
      <c r="AD1642" s="169">
        <v>0.14249999999999999</v>
      </c>
      <c r="AE1642" s="154">
        <f t="shared" si="496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7"/>
        <v>33477255.428389374</v>
      </c>
      <c r="AJ1642" s="19">
        <f t="shared" si="488"/>
        <v>4578663.362915583</v>
      </c>
      <c r="AK1642" s="20">
        <f t="shared" si="497"/>
        <v>0.13676937682988152</v>
      </c>
      <c r="AL1642" s="17"/>
      <c r="AM1642" s="17"/>
      <c r="AN1642" s="17"/>
      <c r="AO1642" s="17"/>
      <c r="AP1642" s="28" t="str">
        <f t="shared" si="498"/>
        <v>20204</v>
      </c>
      <c r="AQ1642" s="28" t="str">
        <f t="shared" si="499"/>
        <v>20204JPY</v>
      </c>
      <c r="AR1642" s="206" t="str">
        <f t="shared" si="500"/>
        <v>YAMAHA_Mounter</v>
      </c>
      <c r="AS1642" s="22">
        <f t="shared" si="501"/>
        <v>1</v>
      </c>
      <c r="AT1642" s="24" t="str">
        <f t="shared" si="502"/>
        <v>0-3 months</v>
      </c>
    </row>
    <row r="1643" spans="1:46" s="12" customFormat="1">
      <c r="A1643" s="33" t="str">
        <f t="shared" si="490"/>
        <v>FY 20/21</v>
      </c>
      <c r="B1643" s="152">
        <v>2020</v>
      </c>
      <c r="C1643" s="152">
        <v>8</v>
      </c>
      <c r="D1643" s="33" t="str">
        <f t="shared" si="491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92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93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86"/>
        <v>815000</v>
      </c>
      <c r="AA1643" s="13">
        <v>1.1299999999999999</v>
      </c>
      <c r="AB1643" s="21">
        <f t="shared" si="494"/>
        <v>815000</v>
      </c>
      <c r="AC1643" s="130">
        <f t="shared" si="495"/>
        <v>117034</v>
      </c>
      <c r="AD1643" s="169">
        <v>0.14360000000000001</v>
      </c>
      <c r="AE1643" s="154">
        <f t="shared" si="496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7"/>
        <v>47907808.356810622</v>
      </c>
      <c r="AJ1643" s="19">
        <f t="shared" si="488"/>
        <v>6027384.8806384448</v>
      </c>
      <c r="AK1643" s="20">
        <f t="shared" si="497"/>
        <v>0.12581216063459488</v>
      </c>
      <c r="AL1643" s="17"/>
      <c r="AM1643" s="17"/>
      <c r="AN1643" s="17"/>
      <c r="AO1643" s="17"/>
      <c r="AP1643" s="28" t="str">
        <f t="shared" si="498"/>
        <v>20209</v>
      </c>
      <c r="AQ1643" s="28" t="str">
        <f t="shared" si="499"/>
        <v>20209RMB</v>
      </c>
      <c r="AR1643" s="206" t="str">
        <f t="shared" si="500"/>
        <v>YAMAHA_Mounter</v>
      </c>
      <c r="AS1643" s="22">
        <f t="shared" si="501"/>
        <v>1</v>
      </c>
      <c r="AT1643" s="24" t="str">
        <f t="shared" si="502"/>
        <v>0-3 months</v>
      </c>
    </row>
    <row r="1644" spans="1:46" s="12" customFormat="1">
      <c r="A1644" s="33" t="str">
        <f t="shared" si="490"/>
        <v>FY 20/21</v>
      </c>
      <c r="B1644" s="152">
        <v>2020</v>
      </c>
      <c r="C1644" s="152">
        <v>8</v>
      </c>
      <c r="D1644" s="33" t="str">
        <f t="shared" si="491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92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93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86"/>
        <v>815000</v>
      </c>
      <c r="AA1644" s="13">
        <v>1.1299999999999999</v>
      </c>
      <c r="AB1644" s="21">
        <f t="shared" si="494"/>
        <v>815000</v>
      </c>
      <c r="AC1644" s="130">
        <f t="shared" si="495"/>
        <v>117034</v>
      </c>
      <c r="AD1644" s="169">
        <v>0.14360000000000001</v>
      </c>
      <c r="AE1644" s="154">
        <f t="shared" si="496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7"/>
        <v>47907808.356810622</v>
      </c>
      <c r="AJ1644" s="19">
        <f t="shared" si="488"/>
        <v>6027384.8806384448</v>
      </c>
      <c r="AK1644" s="20">
        <f t="shared" si="497"/>
        <v>0.12581216063459488</v>
      </c>
      <c r="AL1644" s="17"/>
      <c r="AM1644" s="17"/>
      <c r="AN1644" s="17"/>
      <c r="AO1644" s="17"/>
      <c r="AP1644" s="28" t="str">
        <f t="shared" si="498"/>
        <v>20209</v>
      </c>
      <c r="AQ1644" s="28" t="str">
        <f t="shared" si="499"/>
        <v>20209RMB</v>
      </c>
      <c r="AR1644" s="206" t="str">
        <f t="shared" si="500"/>
        <v>YAMAHA_Mounter</v>
      </c>
      <c r="AS1644" s="22">
        <f t="shared" si="501"/>
        <v>1</v>
      </c>
      <c r="AT1644" s="24" t="str">
        <f t="shared" si="502"/>
        <v>0-3 months</v>
      </c>
    </row>
    <row r="1645" spans="1:46" s="12" customFormat="1">
      <c r="A1645" s="33" t="str">
        <f t="shared" si="490"/>
        <v>FY 20/21</v>
      </c>
      <c r="B1645" s="152">
        <v>2020</v>
      </c>
      <c r="C1645" s="152">
        <v>8</v>
      </c>
      <c r="D1645" s="33" t="str">
        <f t="shared" si="491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92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93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86"/>
        <v>815000</v>
      </c>
      <c r="AA1645" s="13">
        <v>1.1299999999999999</v>
      </c>
      <c r="AB1645" s="21">
        <f t="shared" si="494"/>
        <v>815000</v>
      </c>
      <c r="AC1645" s="130">
        <f t="shared" si="495"/>
        <v>117034</v>
      </c>
      <c r="AD1645" s="169">
        <v>0.14360000000000001</v>
      </c>
      <c r="AE1645" s="154">
        <f t="shared" si="496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7"/>
        <v>47907808.356810622</v>
      </c>
      <c r="AJ1645" s="19">
        <f t="shared" si="488"/>
        <v>6027384.8806384448</v>
      </c>
      <c r="AK1645" s="20">
        <f t="shared" si="497"/>
        <v>0.12581216063459488</v>
      </c>
      <c r="AL1645" s="17"/>
      <c r="AM1645" s="17"/>
      <c r="AN1645" s="17"/>
      <c r="AO1645" s="17"/>
      <c r="AP1645" s="28" t="str">
        <f t="shared" si="498"/>
        <v>20209</v>
      </c>
      <c r="AQ1645" s="28" t="str">
        <f t="shared" si="499"/>
        <v>20209RMB</v>
      </c>
      <c r="AR1645" s="206" t="str">
        <f t="shared" si="500"/>
        <v>YAMAHA_Mounter</v>
      </c>
      <c r="AS1645" s="22">
        <f t="shared" si="501"/>
        <v>1</v>
      </c>
      <c r="AT1645" s="24" t="str">
        <f t="shared" si="502"/>
        <v>0-3 months</v>
      </c>
    </row>
    <row r="1646" spans="1:46" s="12" customFormat="1">
      <c r="A1646" s="33" t="str">
        <f t="shared" si="490"/>
        <v>FY 20/21</v>
      </c>
      <c r="B1646" s="152">
        <v>2020</v>
      </c>
      <c r="C1646" s="152">
        <v>8</v>
      </c>
      <c r="D1646" s="33" t="str">
        <f t="shared" si="491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92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93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86"/>
        <v>815000</v>
      </c>
      <c r="AA1646" s="13">
        <v>1.1299999999999999</v>
      </c>
      <c r="AB1646" s="21">
        <f t="shared" si="494"/>
        <v>815000</v>
      </c>
      <c r="AC1646" s="130">
        <f t="shared" si="495"/>
        <v>117034</v>
      </c>
      <c r="AD1646" s="169">
        <v>0.14360000000000001</v>
      </c>
      <c r="AE1646" s="154">
        <f t="shared" si="496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7"/>
        <v>47907808.356810622</v>
      </c>
      <c r="AJ1646" s="19">
        <f t="shared" si="488"/>
        <v>6027384.8806384448</v>
      </c>
      <c r="AK1646" s="20">
        <f t="shared" si="497"/>
        <v>0.12581216063459488</v>
      </c>
      <c r="AL1646" s="17"/>
      <c r="AM1646" s="17"/>
      <c r="AN1646" s="17"/>
      <c r="AO1646" s="17"/>
      <c r="AP1646" s="28" t="str">
        <f t="shared" si="498"/>
        <v>20209</v>
      </c>
      <c r="AQ1646" s="28" t="str">
        <f t="shared" si="499"/>
        <v>20209RMB</v>
      </c>
      <c r="AR1646" s="206" t="str">
        <f t="shared" si="500"/>
        <v>YAMAHA_Mounter</v>
      </c>
      <c r="AS1646" s="22">
        <f t="shared" si="501"/>
        <v>1</v>
      </c>
      <c r="AT1646" s="24" t="str">
        <f t="shared" si="502"/>
        <v>0-3 months</v>
      </c>
    </row>
    <row r="1647" spans="1:46" s="12" customFormat="1">
      <c r="A1647" s="33" t="str">
        <f t="shared" si="490"/>
        <v>FY 21/22</v>
      </c>
      <c r="B1647" s="152">
        <v>2021</v>
      </c>
      <c r="C1647" s="152">
        <v>7</v>
      </c>
      <c r="D1647" s="33" t="str">
        <f t="shared" si="491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92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93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503">IF(W1647="RMB","1.13", "1")</f>
        <v>1.13</v>
      </c>
      <c r="Z1647" s="18">
        <f t="shared" si="486"/>
        <v>544000</v>
      </c>
      <c r="AA1647" s="13">
        <v>1.2</v>
      </c>
      <c r="AB1647" s="21">
        <f t="shared" si="494"/>
        <v>577699.11504424782</v>
      </c>
      <c r="AC1647" s="130">
        <f t="shared" si="495"/>
        <v>84748.460176991153</v>
      </c>
      <c r="AD1647" s="169">
        <v>0.1467</v>
      </c>
      <c r="AE1647" s="154">
        <f t="shared" si="496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7"/>
        <v>10844605.840707963</v>
      </c>
      <c r="AJ1647" s="19">
        <f t="shared" si="488"/>
        <v>1523130.9860707966</v>
      </c>
      <c r="AK1647" s="20">
        <f t="shared" si="497"/>
        <v>0.14045056209911663</v>
      </c>
      <c r="AL1647" s="17"/>
      <c r="AM1647" s="17"/>
      <c r="AN1647" s="17"/>
      <c r="AO1647" s="17"/>
      <c r="AP1647" s="28" t="str">
        <f t="shared" si="498"/>
        <v>20219</v>
      </c>
      <c r="AQ1647" s="28" t="str">
        <f t="shared" si="499"/>
        <v>20219RMB</v>
      </c>
      <c r="AR1647" s="206" t="str">
        <f t="shared" si="500"/>
        <v>YAMAHA_Mounter</v>
      </c>
      <c r="AS1647" s="22">
        <f t="shared" si="501"/>
        <v>2</v>
      </c>
      <c r="AT1647" s="24" t="str">
        <f t="shared" si="502"/>
        <v>0-3 months</v>
      </c>
    </row>
    <row r="1648" spans="1:46" s="12" customFormat="1">
      <c r="A1648" s="33" t="str">
        <f t="shared" si="490"/>
        <v>FY 21/22</v>
      </c>
      <c r="B1648" s="152">
        <v>2021</v>
      </c>
      <c r="C1648" s="152">
        <v>7</v>
      </c>
      <c r="D1648" s="33" t="str">
        <f t="shared" si="491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92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93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503"/>
        <v>1.13</v>
      </c>
      <c r="Z1648" s="18">
        <f t="shared" si="486"/>
        <v>544000</v>
      </c>
      <c r="AA1648" s="13">
        <v>1.2</v>
      </c>
      <c r="AB1648" s="21">
        <f t="shared" si="494"/>
        <v>577699.11504424782</v>
      </c>
      <c r="AC1648" s="130">
        <f t="shared" si="495"/>
        <v>84748.460176991153</v>
      </c>
      <c r="AD1648" s="169">
        <v>0.1467</v>
      </c>
      <c r="AE1648" s="154">
        <f t="shared" si="496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7"/>
        <v>10844605.840707963</v>
      </c>
      <c r="AJ1648" s="19">
        <f t="shared" si="488"/>
        <v>1523130.9860707966</v>
      </c>
      <c r="AK1648" s="20">
        <f t="shared" si="497"/>
        <v>0.14045056209911663</v>
      </c>
      <c r="AL1648" s="17"/>
      <c r="AM1648" s="17"/>
      <c r="AN1648" s="17"/>
      <c r="AO1648" s="17"/>
      <c r="AP1648" s="28" t="str">
        <f t="shared" si="498"/>
        <v>20219</v>
      </c>
      <c r="AQ1648" s="28" t="str">
        <f t="shared" si="499"/>
        <v>20219RMB</v>
      </c>
      <c r="AR1648" s="206" t="str">
        <f t="shared" si="500"/>
        <v>YAMAHA_Mounter</v>
      </c>
      <c r="AS1648" s="22">
        <f t="shared" si="501"/>
        <v>2</v>
      </c>
      <c r="AT1648" s="24" t="str">
        <f t="shared" si="502"/>
        <v>0-3 months</v>
      </c>
    </row>
    <row r="1649" spans="1:46" s="12" customFormat="1">
      <c r="A1649" s="33" t="str">
        <f t="shared" si="490"/>
        <v>FY 21/22</v>
      </c>
      <c r="B1649" s="152">
        <v>2021</v>
      </c>
      <c r="C1649" s="152">
        <v>7</v>
      </c>
      <c r="D1649" s="33" t="str">
        <f t="shared" si="491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92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93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503"/>
        <v>1.13</v>
      </c>
      <c r="Z1649" s="18">
        <f t="shared" si="486"/>
        <v>544000</v>
      </c>
      <c r="AA1649" s="13">
        <v>1.2</v>
      </c>
      <c r="AB1649" s="21">
        <f t="shared" si="494"/>
        <v>577699.11504424782</v>
      </c>
      <c r="AC1649" s="130">
        <f t="shared" si="495"/>
        <v>84748.460176991153</v>
      </c>
      <c r="AD1649" s="169">
        <v>0.1467</v>
      </c>
      <c r="AE1649" s="154">
        <f t="shared" si="496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7"/>
        <v>10844605.840707963</v>
      </c>
      <c r="AJ1649" s="19">
        <f t="shared" si="488"/>
        <v>1523130.9860707966</v>
      </c>
      <c r="AK1649" s="20">
        <f t="shared" si="497"/>
        <v>0.14045056209911663</v>
      </c>
      <c r="AL1649" s="17"/>
      <c r="AM1649" s="17"/>
      <c r="AN1649" s="17"/>
      <c r="AO1649" s="17"/>
      <c r="AP1649" s="28" t="str">
        <f t="shared" si="498"/>
        <v>20219</v>
      </c>
      <c r="AQ1649" s="28" t="str">
        <f t="shared" si="499"/>
        <v>20219RMB</v>
      </c>
      <c r="AR1649" s="206" t="str">
        <f t="shared" si="500"/>
        <v>YAMAHA_Mounter</v>
      </c>
      <c r="AS1649" s="22">
        <f t="shared" si="501"/>
        <v>2</v>
      </c>
      <c r="AT1649" s="24" t="str">
        <f t="shared" si="502"/>
        <v>0-3 months</v>
      </c>
    </row>
    <row r="1650" spans="1:46" s="12" customFormat="1">
      <c r="A1650" s="33" t="str">
        <f t="shared" si="490"/>
        <v>FY 21/22</v>
      </c>
      <c r="B1650" s="152">
        <v>2021</v>
      </c>
      <c r="C1650" s="152">
        <v>7</v>
      </c>
      <c r="D1650" s="33" t="str">
        <f t="shared" si="491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92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93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503"/>
        <v>1.13</v>
      </c>
      <c r="Z1650" s="18">
        <f t="shared" si="486"/>
        <v>544000</v>
      </c>
      <c r="AA1650" s="13">
        <v>1.2</v>
      </c>
      <c r="AB1650" s="21">
        <f t="shared" si="494"/>
        <v>577699.11504424782</v>
      </c>
      <c r="AC1650" s="130">
        <f t="shared" si="495"/>
        <v>84748.460176991153</v>
      </c>
      <c r="AD1650" s="169">
        <v>0.1467</v>
      </c>
      <c r="AE1650" s="154">
        <f t="shared" si="496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7"/>
        <v>10844605.840707963</v>
      </c>
      <c r="AJ1650" s="19">
        <f t="shared" si="488"/>
        <v>1523130.9860707966</v>
      </c>
      <c r="AK1650" s="20">
        <f t="shared" si="497"/>
        <v>0.14045056209911663</v>
      </c>
      <c r="AL1650" s="17"/>
      <c r="AM1650" s="17"/>
      <c r="AN1650" s="17"/>
      <c r="AO1650" s="17"/>
      <c r="AP1650" s="28" t="str">
        <f t="shared" si="498"/>
        <v>20219</v>
      </c>
      <c r="AQ1650" s="28" t="str">
        <f t="shared" si="499"/>
        <v>20219RMB</v>
      </c>
      <c r="AR1650" s="206" t="str">
        <f t="shared" si="500"/>
        <v>YAMAHA_Mounter</v>
      </c>
      <c r="AS1650" s="22">
        <f t="shared" si="501"/>
        <v>2</v>
      </c>
      <c r="AT1650" s="24" t="str">
        <f t="shared" si="502"/>
        <v>0-3 months</v>
      </c>
    </row>
    <row r="1651" spans="1:46" s="12" customFormat="1">
      <c r="A1651" s="33" t="str">
        <f t="shared" si="490"/>
        <v>FY 21/22</v>
      </c>
      <c r="B1651" s="152">
        <v>2022</v>
      </c>
      <c r="C1651" s="152">
        <v>1</v>
      </c>
      <c r="D1651" s="33" t="str">
        <f t="shared" si="491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92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93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503"/>
        <v>1.13</v>
      </c>
      <c r="Z1651" s="18">
        <f t="shared" si="486"/>
        <v>747200</v>
      </c>
      <c r="AA1651" s="13">
        <v>1.22</v>
      </c>
      <c r="AB1651" s="21">
        <f t="shared" si="494"/>
        <v>806711.50442477886</v>
      </c>
      <c r="AC1651" s="130">
        <f t="shared" si="495"/>
        <v>166989.2814159292</v>
      </c>
      <c r="AD1651" s="169">
        <v>0.20699999999999999</v>
      </c>
      <c r="AE1651" s="154">
        <f t="shared" si="496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7"/>
        <v>46600814.041769907</v>
      </c>
      <c r="AJ1651" s="19">
        <f t="shared" si="488"/>
        <v>5956366.3435927071</v>
      </c>
      <c r="AK1651" s="20">
        <f t="shared" si="497"/>
        <v>0.1278167874546958</v>
      </c>
      <c r="AL1651" s="17"/>
      <c r="AM1651" s="17"/>
      <c r="AN1651" s="17"/>
      <c r="AO1651" s="17" t="s">
        <v>2149</v>
      </c>
      <c r="AP1651" s="28" t="str">
        <f t="shared" si="498"/>
        <v>20224</v>
      </c>
      <c r="AQ1651" s="28" t="str">
        <f t="shared" si="499"/>
        <v>20224RMB</v>
      </c>
      <c r="AR1651" s="206" t="str">
        <f t="shared" si="500"/>
        <v>YAMAHA_Mounter</v>
      </c>
      <c r="AS1651" s="22">
        <f t="shared" si="501"/>
        <v>3</v>
      </c>
      <c r="AT1651" s="24" t="str">
        <f t="shared" si="502"/>
        <v>0-3 months</v>
      </c>
    </row>
    <row r="1652" spans="1:46" s="12" customFormat="1">
      <c r="A1652" s="33" t="str">
        <f t="shared" si="490"/>
        <v>FY 21/22</v>
      </c>
      <c r="B1652" s="152">
        <v>2022</v>
      </c>
      <c r="C1652" s="152">
        <v>1</v>
      </c>
      <c r="D1652" s="33" t="str">
        <f t="shared" si="491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92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93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503"/>
        <v>1.13</v>
      </c>
      <c r="Z1652" s="18">
        <f t="shared" si="486"/>
        <v>747200</v>
      </c>
      <c r="AA1652" s="13">
        <v>1.22</v>
      </c>
      <c r="AB1652" s="21">
        <f t="shared" si="494"/>
        <v>806711.50442477886</v>
      </c>
      <c r="AC1652" s="130">
        <f t="shared" si="495"/>
        <v>166989.2814159292</v>
      </c>
      <c r="AD1652" s="169">
        <v>0.20699999999999999</v>
      </c>
      <c r="AE1652" s="154">
        <f t="shared" si="496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7"/>
        <v>46600814.041769907</v>
      </c>
      <c r="AJ1652" s="19">
        <f t="shared" si="488"/>
        <v>5956366.3435927071</v>
      </c>
      <c r="AK1652" s="20">
        <f t="shared" si="497"/>
        <v>0.1278167874546958</v>
      </c>
      <c r="AL1652" s="17"/>
      <c r="AM1652" s="17"/>
      <c r="AN1652" s="17"/>
      <c r="AO1652" s="17" t="s">
        <v>2149</v>
      </c>
      <c r="AP1652" s="28" t="str">
        <f t="shared" si="498"/>
        <v>20224</v>
      </c>
      <c r="AQ1652" s="28" t="str">
        <f t="shared" si="499"/>
        <v>20224RMB</v>
      </c>
      <c r="AR1652" s="206" t="str">
        <f t="shared" si="500"/>
        <v>YAMAHA_Mounter</v>
      </c>
      <c r="AS1652" s="22">
        <f t="shared" si="501"/>
        <v>3</v>
      </c>
      <c r="AT1652" s="24" t="str">
        <f t="shared" si="502"/>
        <v>0-3 months</v>
      </c>
    </row>
    <row r="1653" spans="1:46" s="12" customFormat="1">
      <c r="A1653" s="33" t="str">
        <f t="shared" si="490"/>
        <v>FY 21/22</v>
      </c>
      <c r="B1653" s="152">
        <v>2022</v>
      </c>
      <c r="C1653" s="152">
        <v>1</v>
      </c>
      <c r="D1653" s="33" t="str">
        <f t="shared" si="491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92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93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503"/>
        <v>1.13</v>
      </c>
      <c r="Z1653" s="18">
        <f t="shared" si="486"/>
        <v>747200</v>
      </c>
      <c r="AA1653" s="13">
        <v>1.22</v>
      </c>
      <c r="AB1653" s="21">
        <f t="shared" si="494"/>
        <v>806711.50442477886</v>
      </c>
      <c r="AC1653" s="130">
        <f t="shared" si="495"/>
        <v>166989.2814159292</v>
      </c>
      <c r="AD1653" s="169">
        <v>0.20699999999999999</v>
      </c>
      <c r="AE1653" s="154">
        <f t="shared" si="496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7"/>
        <v>46600814.041769907</v>
      </c>
      <c r="AJ1653" s="19">
        <f t="shared" si="488"/>
        <v>5956366.3435927071</v>
      </c>
      <c r="AK1653" s="20">
        <f t="shared" si="497"/>
        <v>0.1278167874546958</v>
      </c>
      <c r="AL1653" s="17"/>
      <c r="AM1653" s="17"/>
      <c r="AN1653" s="17"/>
      <c r="AO1653" s="17" t="s">
        <v>2149</v>
      </c>
      <c r="AP1653" s="28" t="str">
        <f t="shared" si="498"/>
        <v>20224</v>
      </c>
      <c r="AQ1653" s="28" t="str">
        <f t="shared" si="499"/>
        <v>20224RMB</v>
      </c>
      <c r="AR1653" s="206" t="str">
        <f t="shared" si="500"/>
        <v>YAMAHA_Mounter</v>
      </c>
      <c r="AS1653" s="22">
        <f t="shared" si="501"/>
        <v>3</v>
      </c>
      <c r="AT1653" s="24" t="str">
        <f t="shared" si="502"/>
        <v>0-3 months</v>
      </c>
    </row>
    <row r="1654" spans="1:46" s="12" customFormat="1">
      <c r="A1654" s="33" t="str">
        <f t="shared" si="490"/>
        <v>FY 21/22</v>
      </c>
      <c r="B1654" s="152">
        <v>2022</v>
      </c>
      <c r="C1654" s="152">
        <v>1</v>
      </c>
      <c r="D1654" s="33" t="str">
        <f t="shared" si="491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92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93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503"/>
        <v>1.13</v>
      </c>
      <c r="Z1654" s="18">
        <f t="shared" si="486"/>
        <v>747200</v>
      </c>
      <c r="AA1654" s="13">
        <v>1.22</v>
      </c>
      <c r="AB1654" s="21">
        <f t="shared" si="494"/>
        <v>806711.50442477886</v>
      </c>
      <c r="AC1654" s="130">
        <f t="shared" si="495"/>
        <v>166989.2814159292</v>
      </c>
      <c r="AD1654" s="169">
        <v>0.20699999999999999</v>
      </c>
      <c r="AE1654" s="154">
        <f t="shared" si="496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7"/>
        <v>46600814.041769907</v>
      </c>
      <c r="AJ1654" s="19">
        <f t="shared" si="488"/>
        <v>5956366.3435927071</v>
      </c>
      <c r="AK1654" s="20">
        <f t="shared" si="497"/>
        <v>0.1278167874546958</v>
      </c>
      <c r="AL1654" s="17"/>
      <c r="AM1654" s="17"/>
      <c r="AN1654" s="17"/>
      <c r="AO1654" s="17" t="s">
        <v>2149</v>
      </c>
      <c r="AP1654" s="28" t="str">
        <f t="shared" si="498"/>
        <v>20224</v>
      </c>
      <c r="AQ1654" s="28" t="str">
        <f t="shared" si="499"/>
        <v>20224RMB</v>
      </c>
      <c r="AR1654" s="206" t="str">
        <f t="shared" si="500"/>
        <v>YAMAHA_Mounter</v>
      </c>
      <c r="AS1654" s="22">
        <f t="shared" si="501"/>
        <v>3</v>
      </c>
      <c r="AT1654" s="24" t="str">
        <f t="shared" si="502"/>
        <v>0-3 months</v>
      </c>
    </row>
    <row r="1655" spans="1:46" s="12" customFormat="1">
      <c r="A1655" s="33" t="str">
        <f t="shared" si="490"/>
        <v>FY 21/22</v>
      </c>
      <c r="B1655" s="152">
        <v>2022</v>
      </c>
      <c r="C1655" s="152">
        <v>1</v>
      </c>
      <c r="D1655" s="33" t="str">
        <f t="shared" si="491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92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93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503"/>
        <v>1.13</v>
      </c>
      <c r="Z1655" s="18">
        <f t="shared" si="486"/>
        <v>747200</v>
      </c>
      <c r="AA1655" s="13">
        <v>1.22</v>
      </c>
      <c r="AB1655" s="21">
        <f t="shared" si="494"/>
        <v>806711.50442477886</v>
      </c>
      <c r="AC1655" s="130">
        <f t="shared" si="495"/>
        <v>166989.2814159292</v>
      </c>
      <c r="AD1655" s="169">
        <v>0.20699999999999999</v>
      </c>
      <c r="AE1655" s="154">
        <f t="shared" si="496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7"/>
        <v>46600814.041769907</v>
      </c>
      <c r="AJ1655" s="19">
        <f t="shared" si="488"/>
        <v>5956366.3435927071</v>
      </c>
      <c r="AK1655" s="20">
        <f t="shared" si="497"/>
        <v>0.1278167874546958</v>
      </c>
      <c r="AL1655" s="17"/>
      <c r="AM1655" s="17"/>
      <c r="AN1655" s="17"/>
      <c r="AO1655" s="17" t="s">
        <v>2149</v>
      </c>
      <c r="AP1655" s="28" t="str">
        <f t="shared" si="498"/>
        <v>20224</v>
      </c>
      <c r="AQ1655" s="28" t="str">
        <f t="shared" si="499"/>
        <v>20224RMB</v>
      </c>
      <c r="AR1655" s="206" t="str">
        <f t="shared" si="500"/>
        <v>YAMAHA_Mounter</v>
      </c>
      <c r="AS1655" s="22">
        <f t="shared" si="501"/>
        <v>3</v>
      </c>
      <c r="AT1655" s="24" t="str">
        <f t="shared" si="502"/>
        <v>0-3 months</v>
      </c>
    </row>
    <row r="1656" spans="1:46" s="12" customFormat="1">
      <c r="A1656" s="33" t="str">
        <f t="shared" si="490"/>
        <v>FY 22/23</v>
      </c>
      <c r="B1656" s="152">
        <v>2023</v>
      </c>
      <c r="C1656" s="152">
        <v>2</v>
      </c>
      <c r="D1656" s="33" t="str">
        <f t="shared" si="491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92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93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503"/>
        <v>1.13</v>
      </c>
      <c r="Z1656" s="18">
        <f t="shared" si="486"/>
        <v>710000</v>
      </c>
      <c r="AA1656" s="13">
        <v>1.105</v>
      </c>
      <c r="AB1656" s="21">
        <f t="shared" si="494"/>
        <v>694292.03539823007</v>
      </c>
      <c r="AC1656" s="130">
        <f t="shared" si="495"/>
        <v>146009.61504424777</v>
      </c>
      <c r="AD1656" s="169">
        <v>0.21029999999999999</v>
      </c>
      <c r="AE1656" s="154">
        <f t="shared" si="496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7"/>
        <v>13640480.497522123</v>
      </c>
      <c r="AJ1656" s="19">
        <f t="shared" si="488"/>
        <v>1928605.8020906283</v>
      </c>
      <c r="AK1656" s="20">
        <f t="shared" si="497"/>
        <v>0.1413884065477731</v>
      </c>
      <c r="AL1656" s="17"/>
      <c r="AM1656" s="17"/>
      <c r="AN1656" s="17"/>
      <c r="AO1656" s="17"/>
      <c r="AP1656" s="28" t="str">
        <f t="shared" si="498"/>
        <v>20236</v>
      </c>
      <c r="AQ1656" s="28" t="str">
        <f t="shared" si="499"/>
        <v>20236RMB</v>
      </c>
      <c r="AR1656" s="206" t="str">
        <f t="shared" si="500"/>
        <v>YAMAHA_Mounter</v>
      </c>
      <c r="AS1656" s="22">
        <f t="shared" si="501"/>
        <v>4</v>
      </c>
      <c r="AT1656" s="24" t="str">
        <f t="shared" si="502"/>
        <v>4-6 months</v>
      </c>
    </row>
    <row r="1657" spans="1:46" s="12" customFormat="1">
      <c r="A1657" s="33" t="str">
        <f t="shared" si="490"/>
        <v>FY 20/21</v>
      </c>
      <c r="B1657" s="152">
        <v>2021</v>
      </c>
      <c r="C1657" s="152">
        <v>1</v>
      </c>
      <c r="D1657" s="33" t="str">
        <f t="shared" si="491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92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93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503"/>
        <v>1</v>
      </c>
      <c r="Z1657" s="18">
        <f t="shared" si="486"/>
        <v>13880000</v>
      </c>
      <c r="AA1657" s="13">
        <v>7.2800000000000004E-2</v>
      </c>
      <c r="AB1657" s="21">
        <f t="shared" si="494"/>
        <v>1010464</v>
      </c>
      <c r="AC1657" s="130">
        <f t="shared" si="495"/>
        <v>235943.34400000001</v>
      </c>
      <c r="AD1657" s="169">
        <v>0.23350000000000001</v>
      </c>
      <c r="AE1657" s="154">
        <f t="shared" si="496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7"/>
        <v>63006605.696460173</v>
      </c>
      <c r="AJ1657" s="19">
        <f t="shared" si="488"/>
        <v>8897485.660753984</v>
      </c>
      <c r="AK1657" s="20">
        <f t="shared" si="497"/>
        <v>0.141215124388995</v>
      </c>
      <c r="AL1657" s="17"/>
      <c r="AM1657" s="17"/>
      <c r="AN1657" s="17"/>
      <c r="AO1657" s="17"/>
      <c r="AP1657" s="28" t="str">
        <f t="shared" si="498"/>
        <v>20215</v>
      </c>
      <c r="AQ1657" s="28" t="str">
        <f t="shared" si="499"/>
        <v>20215JPY</v>
      </c>
      <c r="AR1657" s="206" t="str">
        <f t="shared" si="500"/>
        <v>YAMAHA_Non_Mounter</v>
      </c>
      <c r="AS1657" s="22">
        <f t="shared" si="501"/>
        <v>4</v>
      </c>
      <c r="AT1657" s="24" t="str">
        <f t="shared" si="502"/>
        <v>4-6 months</v>
      </c>
    </row>
    <row r="1658" spans="1:46" s="12" customFormat="1">
      <c r="A1658" s="33" t="str">
        <f t="shared" si="490"/>
        <v>FY 23/24</v>
      </c>
      <c r="B1658" s="152">
        <v>2023</v>
      </c>
      <c r="C1658" s="152">
        <v>7</v>
      </c>
      <c r="D1658" s="33" t="str">
        <f t="shared" si="491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92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93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503"/>
        <v>1</v>
      </c>
      <c r="Z1658" s="18">
        <f t="shared" si="486"/>
        <v>7100000</v>
      </c>
      <c r="AA1658" s="13">
        <v>5.6099999999999997E-2</v>
      </c>
      <c r="AB1658" s="21">
        <f t="shared" si="494"/>
        <v>398310</v>
      </c>
      <c r="AC1658" s="130">
        <f t="shared" si="495"/>
        <v>42141.198000000004</v>
      </c>
      <c r="AD1658" s="169">
        <v>0.10580000000000001</v>
      </c>
      <c r="AE1658" s="154">
        <f t="shared" si="496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7"/>
        <v>22953677.784070797</v>
      </c>
      <c r="AJ1658" s="19">
        <f t="shared" si="488"/>
        <v>4168706.6744155753</v>
      </c>
      <c r="AK1658" s="20">
        <f t="shared" si="497"/>
        <v>0.18161388835511752</v>
      </c>
      <c r="AL1658" s="17"/>
      <c r="AM1658" s="17"/>
      <c r="AN1658" s="17"/>
      <c r="AO1658" s="17"/>
      <c r="AP1658" s="28" t="str">
        <f t="shared" si="498"/>
        <v>20238</v>
      </c>
      <c r="AQ1658" s="28" t="str">
        <f t="shared" si="499"/>
        <v>20238JPY</v>
      </c>
      <c r="AR1658" s="206" t="str">
        <f t="shared" si="500"/>
        <v>YAMAHA_Mounter</v>
      </c>
      <c r="AS1658" s="22">
        <f t="shared" si="501"/>
        <v>1</v>
      </c>
      <c r="AT1658" s="24" t="str">
        <f t="shared" si="502"/>
        <v>0-3 months</v>
      </c>
    </row>
    <row r="1659" spans="1:46" s="12" customFormat="1">
      <c r="A1659" s="33" t="str">
        <f t="shared" si="490"/>
        <v>FY 23/24</v>
      </c>
      <c r="B1659" s="152">
        <v>2023</v>
      </c>
      <c r="C1659" s="152">
        <v>7</v>
      </c>
      <c r="D1659" s="33" t="str">
        <f t="shared" si="491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92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93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503"/>
        <v>1</v>
      </c>
      <c r="Z1659" s="18">
        <f t="shared" si="486"/>
        <v>7100000</v>
      </c>
      <c r="AA1659" s="13">
        <v>5.6099999999999997E-2</v>
      </c>
      <c r="AB1659" s="21">
        <f t="shared" si="494"/>
        <v>398310</v>
      </c>
      <c r="AC1659" s="130">
        <f t="shared" si="495"/>
        <v>42141.198000000004</v>
      </c>
      <c r="AD1659" s="169">
        <v>0.10580000000000001</v>
      </c>
      <c r="AE1659" s="154">
        <f t="shared" si="496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7"/>
        <v>22953677.784070797</v>
      </c>
      <c r="AJ1659" s="19">
        <f t="shared" si="488"/>
        <v>4168706.6744155753</v>
      </c>
      <c r="AK1659" s="20">
        <f t="shared" si="497"/>
        <v>0.18161388835511752</v>
      </c>
      <c r="AL1659" s="17"/>
      <c r="AM1659" s="17"/>
      <c r="AN1659" s="17"/>
      <c r="AO1659" s="17"/>
      <c r="AP1659" s="28" t="str">
        <f t="shared" si="498"/>
        <v>20238</v>
      </c>
      <c r="AQ1659" s="28" t="str">
        <f t="shared" si="499"/>
        <v>20238JPY</v>
      </c>
      <c r="AR1659" s="206" t="str">
        <f t="shared" si="500"/>
        <v>YAMAHA_Mounter</v>
      </c>
      <c r="AS1659" s="22">
        <f t="shared" si="501"/>
        <v>1</v>
      </c>
      <c r="AT1659" s="24" t="str">
        <f t="shared" si="502"/>
        <v>0-3 months</v>
      </c>
    </row>
    <row r="1660" spans="1:46" s="12" customFormat="1">
      <c r="A1660" s="33" t="str">
        <f t="shared" si="490"/>
        <v>FY 18/19</v>
      </c>
      <c r="B1660" s="152">
        <v>2018</v>
      </c>
      <c r="C1660" s="152">
        <v>10</v>
      </c>
      <c r="D1660" s="33" t="str">
        <f t="shared" si="491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92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93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ref="Z1660:Z1723" si="504">IF(X1660="","",X1660*MAX(O1660,N1660))</f>
        <v>1740000</v>
      </c>
      <c r="AA1660" s="13">
        <v>1.125</v>
      </c>
      <c r="AB1660" s="21">
        <f t="shared" si="494"/>
        <v>1687500</v>
      </c>
      <c r="AC1660" s="130">
        <f t="shared" si="495"/>
        <v>202500</v>
      </c>
      <c r="AD1660" s="169">
        <v>0.12</v>
      </c>
      <c r="AE1660" s="154">
        <f t="shared" si="496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7"/>
        <v>29840797.698275864</v>
      </c>
      <c r="AJ1660" s="19">
        <f t="shared" si="488"/>
        <v>3940167.6555448272</v>
      </c>
      <c r="AK1660" s="20">
        <f t="shared" si="497"/>
        <v>0.13203962224416277</v>
      </c>
      <c r="AL1660" s="17"/>
      <c r="AM1660" s="17"/>
      <c r="AN1660" s="17"/>
      <c r="AO1660" s="17"/>
      <c r="AP1660" s="28" t="str">
        <f t="shared" si="498"/>
        <v>201812</v>
      </c>
      <c r="AQ1660" s="28" t="str">
        <f t="shared" si="499"/>
        <v>201812RMB</v>
      </c>
      <c r="AR1660" s="206" t="str">
        <f t="shared" si="500"/>
        <v>YAMAHA_Mounter</v>
      </c>
      <c r="AS1660" s="22">
        <f t="shared" si="501"/>
        <v>2</v>
      </c>
      <c r="AT1660" s="24" t="str">
        <f t="shared" si="502"/>
        <v>0-3 months</v>
      </c>
    </row>
    <row r="1661" spans="1:46" s="12" customFormat="1">
      <c r="A1661" s="33" t="str">
        <f t="shared" si="490"/>
        <v>FY 19/20</v>
      </c>
      <c r="B1661" s="152">
        <v>2019</v>
      </c>
      <c r="C1661" s="152">
        <v>4</v>
      </c>
      <c r="D1661" s="33" t="str">
        <f t="shared" si="491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92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93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504"/>
        <v>2794040</v>
      </c>
      <c r="AA1661" s="13">
        <v>1.1599999999999999</v>
      </c>
      <c r="AB1661" s="21">
        <f t="shared" si="494"/>
        <v>2868218.0530973454</v>
      </c>
      <c r="AC1661" s="130">
        <f t="shared" si="495"/>
        <v>289116.37975221244</v>
      </c>
      <c r="AD1661" s="169">
        <v>0.1008</v>
      </c>
      <c r="AE1661" s="154">
        <f t="shared" si="496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7"/>
        <v>32843736.557277881</v>
      </c>
      <c r="AJ1661" s="19">
        <f t="shared" si="488"/>
        <v>3921470.6822663117</v>
      </c>
      <c r="AK1661" s="20">
        <f t="shared" si="497"/>
        <v>0.11939782416131177</v>
      </c>
      <c r="AL1661" s="17"/>
      <c r="AM1661" s="17"/>
      <c r="AN1661" s="17"/>
      <c r="AO1661" s="17"/>
      <c r="AP1661" s="28" t="str">
        <f t="shared" si="498"/>
        <v>20194</v>
      </c>
      <c r="AQ1661" s="28" t="str">
        <f t="shared" si="499"/>
        <v>20194RMB</v>
      </c>
      <c r="AR1661" s="206" t="str">
        <f t="shared" si="500"/>
        <v>YAMAHA_Mounter</v>
      </c>
      <c r="AS1661" s="22">
        <f t="shared" si="501"/>
        <v>0</v>
      </c>
      <c r="AT1661" s="24" t="str">
        <f t="shared" si="502"/>
        <v>0-3 months</v>
      </c>
    </row>
    <row r="1662" spans="1:46" s="12" customFormat="1">
      <c r="A1662" s="33" t="str">
        <f t="shared" si="490"/>
        <v>FY 19/20</v>
      </c>
      <c r="B1662" s="152">
        <v>2019</v>
      </c>
      <c r="C1662" s="152">
        <v>6</v>
      </c>
      <c r="D1662" s="33" t="str">
        <f t="shared" si="491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92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93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504"/>
        <v>650000</v>
      </c>
      <c r="AA1662" s="13">
        <v>1.135</v>
      </c>
      <c r="AB1662" s="21">
        <f t="shared" si="494"/>
        <v>652876.10619469034</v>
      </c>
      <c r="AC1662" s="130">
        <f t="shared" si="495"/>
        <v>82915.265486725679</v>
      </c>
      <c r="AD1662" s="169">
        <v>0.127</v>
      </c>
      <c r="AE1662" s="154">
        <f t="shared" si="496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7"/>
        <v>34015877.71150443</v>
      </c>
      <c r="AJ1662" s="19">
        <f t="shared" si="488"/>
        <v>4446292.375441948</v>
      </c>
      <c r="AK1662" s="20">
        <f t="shared" si="497"/>
        <v>0.13071226364205143</v>
      </c>
      <c r="AL1662" s="17"/>
      <c r="AM1662" s="17"/>
      <c r="AN1662" s="17"/>
      <c r="AO1662" s="17"/>
      <c r="AP1662" s="28" t="str">
        <f t="shared" si="498"/>
        <v>20197</v>
      </c>
      <c r="AQ1662" s="28" t="str">
        <f t="shared" si="499"/>
        <v>20197RMB</v>
      </c>
      <c r="AR1662" s="206" t="str">
        <f t="shared" si="500"/>
        <v>YAMAHA_Mounter</v>
      </c>
      <c r="AS1662" s="22">
        <f t="shared" si="501"/>
        <v>1</v>
      </c>
      <c r="AT1662" s="24" t="str">
        <f t="shared" si="502"/>
        <v>0-3 months</v>
      </c>
    </row>
    <row r="1663" spans="1:46" s="12" customFormat="1">
      <c r="A1663" s="33" t="str">
        <f t="shared" si="490"/>
        <v>FY 19/20</v>
      </c>
      <c r="B1663" s="152">
        <v>2019</v>
      </c>
      <c r="C1663" s="152">
        <v>6</v>
      </c>
      <c r="D1663" s="33" t="str">
        <f t="shared" si="491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92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93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504"/>
        <v>650000</v>
      </c>
      <c r="AA1663" s="13">
        <v>1.135</v>
      </c>
      <c r="AB1663" s="21">
        <f t="shared" si="494"/>
        <v>652876.10619469034</v>
      </c>
      <c r="AC1663" s="130">
        <f t="shared" si="495"/>
        <v>82915.265486725679</v>
      </c>
      <c r="AD1663" s="169">
        <v>0.127</v>
      </c>
      <c r="AE1663" s="154">
        <f t="shared" si="496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7"/>
        <v>34015877.71150443</v>
      </c>
      <c r="AJ1663" s="19">
        <f t="shared" si="488"/>
        <v>4446292.375441948</v>
      </c>
      <c r="AK1663" s="20">
        <f t="shared" si="497"/>
        <v>0.13071226364205143</v>
      </c>
      <c r="AL1663" s="17"/>
      <c r="AM1663" s="17"/>
      <c r="AN1663" s="17"/>
      <c r="AO1663" s="17"/>
      <c r="AP1663" s="28" t="str">
        <f t="shared" si="498"/>
        <v>20197</v>
      </c>
      <c r="AQ1663" s="28" t="str">
        <f t="shared" si="499"/>
        <v>20197RMB</v>
      </c>
      <c r="AR1663" s="206" t="str">
        <f t="shared" si="500"/>
        <v>YAMAHA_Mounter</v>
      </c>
      <c r="AS1663" s="22">
        <f t="shared" si="501"/>
        <v>1</v>
      </c>
      <c r="AT1663" s="24" t="str">
        <f t="shared" si="502"/>
        <v>0-3 months</v>
      </c>
    </row>
    <row r="1664" spans="1:46" s="12" customFormat="1">
      <c r="A1664" s="33" t="str">
        <f t="shared" si="490"/>
        <v>FY 19/20</v>
      </c>
      <c r="B1664" s="152">
        <v>2019</v>
      </c>
      <c r="C1664" s="152">
        <v>6</v>
      </c>
      <c r="D1664" s="33" t="str">
        <f t="shared" si="491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92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93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504"/>
        <v>900000</v>
      </c>
      <c r="AA1664" s="13">
        <v>1.135</v>
      </c>
      <c r="AB1664" s="21">
        <f t="shared" si="494"/>
        <v>903982.3008849558</v>
      </c>
      <c r="AC1664" s="130">
        <f t="shared" si="495"/>
        <v>114805.75221238939</v>
      </c>
      <c r="AD1664" s="169">
        <v>0.127</v>
      </c>
      <c r="AE1664" s="154">
        <f t="shared" si="496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7"/>
        <v>34015877.71150443</v>
      </c>
      <c r="AJ1664" s="19">
        <f t="shared" si="488"/>
        <v>4446292.375441948</v>
      </c>
      <c r="AK1664" s="20">
        <f t="shared" si="497"/>
        <v>0.13071226364205143</v>
      </c>
      <c r="AL1664" s="17"/>
      <c r="AM1664" s="17"/>
      <c r="AN1664" s="17"/>
      <c r="AO1664" s="17"/>
      <c r="AP1664" s="28" t="str">
        <f t="shared" si="498"/>
        <v>20197</v>
      </c>
      <c r="AQ1664" s="28" t="str">
        <f t="shared" si="499"/>
        <v>20197RMB</v>
      </c>
      <c r="AR1664" s="206" t="str">
        <f t="shared" si="500"/>
        <v>YAMAHA_Mounter</v>
      </c>
      <c r="AS1664" s="22">
        <f t="shared" si="501"/>
        <v>1</v>
      </c>
      <c r="AT1664" s="24" t="str">
        <f t="shared" si="502"/>
        <v>0-3 months</v>
      </c>
    </row>
    <row r="1665" spans="1:46" s="12" customFormat="1">
      <c r="A1665" s="33" t="str">
        <f t="shared" si="490"/>
        <v>FY 19/20</v>
      </c>
      <c r="B1665" s="152">
        <v>2019</v>
      </c>
      <c r="C1665" s="152">
        <v>6</v>
      </c>
      <c r="D1665" s="33" t="str">
        <f t="shared" si="491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92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93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504"/>
        <v>900000</v>
      </c>
      <c r="AA1665" s="13">
        <v>1.135</v>
      </c>
      <c r="AB1665" s="21">
        <f t="shared" si="494"/>
        <v>903982.3008849558</v>
      </c>
      <c r="AC1665" s="130">
        <f t="shared" si="495"/>
        <v>114805.75221238939</v>
      </c>
      <c r="AD1665" s="169">
        <v>0.127</v>
      </c>
      <c r="AE1665" s="154">
        <f t="shared" si="496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7"/>
        <v>34015877.71150443</v>
      </c>
      <c r="AJ1665" s="19">
        <f t="shared" si="488"/>
        <v>4446292.375441948</v>
      </c>
      <c r="AK1665" s="20">
        <f t="shared" si="497"/>
        <v>0.13071226364205143</v>
      </c>
      <c r="AL1665" s="17"/>
      <c r="AM1665" s="17"/>
      <c r="AN1665" s="17"/>
      <c r="AO1665" s="17"/>
      <c r="AP1665" s="28" t="str">
        <f t="shared" si="498"/>
        <v>20197</v>
      </c>
      <c r="AQ1665" s="28" t="str">
        <f t="shared" si="499"/>
        <v>20197RMB</v>
      </c>
      <c r="AR1665" s="206" t="str">
        <f t="shared" si="500"/>
        <v>YAMAHA_Mounter</v>
      </c>
      <c r="AS1665" s="22">
        <f t="shared" si="501"/>
        <v>1</v>
      </c>
      <c r="AT1665" s="24" t="str">
        <f t="shared" si="502"/>
        <v>0-3 months</v>
      </c>
    </row>
    <row r="1666" spans="1:46" s="12" customFormat="1">
      <c r="A1666" s="33" t="str">
        <f t="shared" si="490"/>
        <v>FY 18/19</v>
      </c>
      <c r="B1666" s="152">
        <v>2018</v>
      </c>
      <c r="C1666" s="152">
        <v>11</v>
      </c>
      <c r="D1666" s="33" t="str">
        <f t="shared" si="491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92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93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504"/>
        <v>8600000</v>
      </c>
      <c r="AA1666" s="13">
        <v>6.2799999999999995E-2</v>
      </c>
      <c r="AB1666" s="21">
        <f t="shared" si="494"/>
        <v>540080</v>
      </c>
      <c r="AC1666" s="130">
        <f t="shared" si="495"/>
        <v>64809.599999999999</v>
      </c>
      <c r="AD1666" s="169">
        <v>0.12</v>
      </c>
      <c r="AE1666" s="154">
        <f t="shared" si="496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505">IF(P1666="C66 SERVICE","",SUMIFS(AB:AB,F:F,F1666,G:G,G1666,E:E,E1666))</f>
        <v>477651199.57437885</v>
      </c>
      <c r="AJ1666" s="19">
        <f t="shared" ref="AJ1666:AJ1729" si="506">IF(P1666="C66 SERVICE","",SUMIFS(AC:AC,F:F,F1666,G:G,G1666,E:E,E1666))</f>
        <v>56918800.518691957</v>
      </c>
      <c r="AK1666" s="20">
        <f t="shared" si="497"/>
        <v>0.11916394341605475</v>
      </c>
      <c r="AL1666" s="17"/>
      <c r="AM1666" s="17"/>
      <c r="AN1666" s="17"/>
      <c r="AO1666" s="17"/>
      <c r="AP1666" s="28" t="str">
        <f t="shared" si="498"/>
        <v>CancelCancel</v>
      </c>
      <c r="AQ1666" s="28" t="str">
        <f t="shared" si="499"/>
        <v>CancelCancelJPY</v>
      </c>
      <c r="AR1666" s="206" t="str">
        <f t="shared" si="500"/>
        <v>YAMAHA_Mounter</v>
      </c>
      <c r="AS1666" s="22" t="str">
        <f t="shared" si="501"/>
        <v/>
      </c>
      <c r="AT1666" s="24" t="str">
        <f t="shared" si="502"/>
        <v/>
      </c>
    </row>
    <row r="1667" spans="1:46" s="12" customFormat="1">
      <c r="A1667" s="33" t="str">
        <f t="shared" si="490"/>
        <v>FY 19/20</v>
      </c>
      <c r="B1667" s="152">
        <v>2019</v>
      </c>
      <c r="C1667" s="152">
        <v>8</v>
      </c>
      <c r="D1667" s="33" t="str">
        <f t="shared" si="491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92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93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504"/>
        <v>590000</v>
      </c>
      <c r="AA1667" s="13">
        <v>1.095</v>
      </c>
      <c r="AB1667" s="21">
        <f t="shared" si="494"/>
        <v>571725.66371681425</v>
      </c>
      <c r="AC1667" s="130">
        <f t="shared" si="495"/>
        <v>91476.106194690277</v>
      </c>
      <c r="AD1667" s="169">
        <v>0.16</v>
      </c>
      <c r="AE1667" s="154">
        <f t="shared" si="496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505"/>
        <v>37599388.802345134</v>
      </c>
      <c r="AJ1667" s="19">
        <f t="shared" si="506"/>
        <v>4866784.3630338367</v>
      </c>
      <c r="AK1667" s="20">
        <f t="shared" si="497"/>
        <v>0.12943785838163113</v>
      </c>
      <c r="AL1667" s="17"/>
      <c r="AM1667" s="17"/>
      <c r="AN1667" s="17"/>
      <c r="AO1667" s="17"/>
      <c r="AP1667" s="28" t="str">
        <f t="shared" si="498"/>
        <v>20199</v>
      </c>
      <c r="AQ1667" s="28" t="str">
        <f t="shared" si="499"/>
        <v>20199RMB</v>
      </c>
      <c r="AR1667" s="206" t="str">
        <f t="shared" si="500"/>
        <v>YAMAHA_Mounter</v>
      </c>
      <c r="AS1667" s="22">
        <f t="shared" si="501"/>
        <v>1</v>
      </c>
      <c r="AT1667" s="24" t="str">
        <f t="shared" si="502"/>
        <v>0-3 months</v>
      </c>
    </row>
    <row r="1668" spans="1:46" s="12" customFormat="1">
      <c r="A1668" s="33" t="str">
        <f t="shared" si="490"/>
        <v>FY 21/22</v>
      </c>
      <c r="B1668" s="152">
        <v>2021</v>
      </c>
      <c r="C1668" s="152">
        <v>6</v>
      </c>
      <c r="D1668" s="33" t="str">
        <f t="shared" si="491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92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93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504"/>
        <v>12270000</v>
      </c>
      <c r="AA1668" s="13">
        <v>6.9199999999999998E-2</v>
      </c>
      <c r="AB1668" s="21">
        <f t="shared" si="494"/>
        <v>849084</v>
      </c>
      <c r="AC1668" s="130">
        <f t="shared" si="495"/>
        <v>79474.262400000007</v>
      </c>
      <c r="AD1668" s="169">
        <v>9.3600000000000003E-2</v>
      </c>
      <c r="AE1668" s="154">
        <f t="shared" si="496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505"/>
        <v>26407088.359292038</v>
      </c>
      <c r="AJ1668" s="19">
        <f t="shared" si="506"/>
        <v>3424510.6998470789</v>
      </c>
      <c r="AK1668" s="20">
        <f t="shared" si="497"/>
        <v>0.12968149510667554</v>
      </c>
      <c r="AL1668" s="17"/>
      <c r="AM1668" s="17"/>
      <c r="AN1668" s="17"/>
      <c r="AO1668" s="17"/>
      <c r="AP1668" s="28" t="str">
        <f t="shared" si="498"/>
        <v>20221</v>
      </c>
      <c r="AQ1668" s="28" t="str">
        <f t="shared" si="499"/>
        <v>20221JPY</v>
      </c>
      <c r="AR1668" s="206" t="str">
        <f t="shared" si="500"/>
        <v>YAMAHA_Mounter</v>
      </c>
      <c r="AS1668" s="22">
        <f t="shared" si="501"/>
        <v>7</v>
      </c>
      <c r="AT1668" s="24" t="str">
        <f t="shared" si="502"/>
        <v>&gt; 6 months</v>
      </c>
    </row>
    <row r="1669" spans="1:46" s="12" customFormat="1">
      <c r="A1669" s="33" t="str">
        <f t="shared" si="490"/>
        <v>FY 21/22</v>
      </c>
      <c r="B1669" s="152">
        <v>2021</v>
      </c>
      <c r="C1669" s="152">
        <v>6</v>
      </c>
      <c r="D1669" s="33" t="str">
        <f t="shared" si="491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92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93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504"/>
        <v>12270000</v>
      </c>
      <c r="AA1669" s="13">
        <v>6.25E-2</v>
      </c>
      <c r="AB1669" s="21">
        <f t="shared" si="494"/>
        <v>766875</v>
      </c>
      <c r="AC1669" s="130">
        <f t="shared" si="495"/>
        <v>71779.5</v>
      </c>
      <c r="AD1669" s="169">
        <v>9.3600000000000003E-2</v>
      </c>
      <c r="AE1669" s="154">
        <f t="shared" si="496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505"/>
        <v>35682787.057522126</v>
      </c>
      <c r="AJ1669" s="19">
        <f t="shared" si="506"/>
        <v>5833368.3789623892</v>
      </c>
      <c r="AK1669" s="20">
        <f t="shared" si="497"/>
        <v>0.16347849649632912</v>
      </c>
      <c r="AL1669" s="17"/>
      <c r="AM1669" s="17"/>
      <c r="AN1669" s="17"/>
      <c r="AO1669" s="17"/>
      <c r="AP1669" s="28" t="str">
        <f t="shared" si="498"/>
        <v>20226</v>
      </c>
      <c r="AQ1669" s="28" t="str">
        <f t="shared" si="499"/>
        <v>20226JPY</v>
      </c>
      <c r="AR1669" s="206" t="str">
        <f t="shared" si="500"/>
        <v>YAMAHA_Mounter</v>
      </c>
      <c r="AS1669" s="22">
        <f t="shared" si="501"/>
        <v>12</v>
      </c>
      <c r="AT1669" s="24" t="str">
        <f t="shared" si="502"/>
        <v>&gt; 6 months</v>
      </c>
    </row>
    <row r="1670" spans="1:46" s="12" customFormat="1">
      <c r="A1670" s="33" t="str">
        <f t="shared" si="490"/>
        <v>FY 21/22</v>
      </c>
      <c r="B1670" s="152">
        <v>2021</v>
      </c>
      <c r="C1670" s="152">
        <v>6</v>
      </c>
      <c r="D1670" s="33" t="str">
        <f t="shared" si="491"/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si="492"/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si="493"/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504"/>
        <v>12270000</v>
      </c>
      <c r="AA1670" s="13">
        <v>6.25E-2</v>
      </c>
      <c r="AB1670" s="21">
        <f t="shared" si="494"/>
        <v>766875</v>
      </c>
      <c r="AC1670" s="130">
        <f t="shared" si="495"/>
        <v>71779.5</v>
      </c>
      <c r="AD1670" s="169">
        <v>9.3600000000000003E-2</v>
      </c>
      <c r="AE1670" s="154">
        <f t="shared" si="496"/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505"/>
        <v>35682787.057522126</v>
      </c>
      <c r="AJ1670" s="19">
        <f t="shared" si="506"/>
        <v>5833368.3789623892</v>
      </c>
      <c r="AK1670" s="20">
        <f t="shared" si="497"/>
        <v>0.16347849649632912</v>
      </c>
      <c r="AL1670" s="17"/>
      <c r="AM1670" s="17"/>
      <c r="AN1670" s="17"/>
      <c r="AO1670" s="17"/>
      <c r="AP1670" s="28" t="str">
        <f t="shared" si="498"/>
        <v>20226</v>
      </c>
      <c r="AQ1670" s="28" t="str">
        <f t="shared" si="499"/>
        <v>20226JPY</v>
      </c>
      <c r="AR1670" s="206" t="str">
        <f t="shared" si="500"/>
        <v>YAMAHA_Mounter</v>
      </c>
      <c r="AS1670" s="22">
        <f t="shared" si="501"/>
        <v>12</v>
      </c>
      <c r="AT1670" s="24" t="str">
        <f t="shared" si="502"/>
        <v>&gt; 6 months</v>
      </c>
    </row>
    <row r="1671" spans="1:46" s="12" customFormat="1">
      <c r="A1671" s="33" t="str">
        <f t="shared" si="490"/>
        <v>FY 22/23</v>
      </c>
      <c r="B1671" s="152">
        <v>2023</v>
      </c>
      <c r="C1671" s="152">
        <v>2</v>
      </c>
      <c r="D1671" s="33" t="str">
        <f t="shared" si="491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2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3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504"/>
        <v>739000</v>
      </c>
      <c r="AA1671" s="13">
        <v>1.1399999999999999</v>
      </c>
      <c r="AB1671" s="21">
        <f t="shared" si="494"/>
        <v>745539.82300884952</v>
      </c>
      <c r="AC1671" s="130">
        <f t="shared" si="495"/>
        <v>85289.755752212383</v>
      </c>
      <c r="AD1671" s="169">
        <v>0.1144</v>
      </c>
      <c r="AE1671" s="154">
        <f t="shared" si="496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5"/>
        <v>30573205.452778768</v>
      </c>
      <c r="AJ1671" s="19">
        <f t="shared" si="506"/>
        <v>3790930.1683151261</v>
      </c>
      <c r="AK1671" s="20">
        <f t="shared" si="497"/>
        <v>0.12399518179964254</v>
      </c>
      <c r="AL1671" s="17"/>
      <c r="AM1671" s="17"/>
      <c r="AN1671" s="17"/>
      <c r="AO1671" s="17"/>
      <c r="AP1671" s="28" t="str">
        <f t="shared" si="498"/>
        <v>20234</v>
      </c>
      <c r="AQ1671" s="28" t="str">
        <f t="shared" si="499"/>
        <v>20234RMB</v>
      </c>
      <c r="AR1671" s="206" t="str">
        <f t="shared" si="500"/>
        <v>YAMAHA_Mounter</v>
      </c>
      <c r="AS1671" s="22">
        <f t="shared" si="501"/>
        <v>2</v>
      </c>
      <c r="AT1671" s="24" t="str">
        <f t="shared" si="502"/>
        <v>0-3 months</v>
      </c>
    </row>
    <row r="1672" spans="1:46" s="12" customFormat="1">
      <c r="A1672" s="33" t="str">
        <f t="shared" si="490"/>
        <v>FY 23/24</v>
      </c>
      <c r="B1672" s="23">
        <v>2024</v>
      </c>
      <c r="C1672" s="152">
        <v>2</v>
      </c>
      <c r="D1672" s="33" t="str">
        <f t="shared" si="491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2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3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504"/>
        <v>8120000</v>
      </c>
      <c r="AA1672" s="22">
        <v>5.3100000000000001E-2</v>
      </c>
      <c r="AB1672" s="21">
        <f t="shared" si="494"/>
        <v>431172</v>
      </c>
      <c r="AC1672" s="25">
        <f t="shared" si="495"/>
        <v>41306.277600000001</v>
      </c>
      <c r="AD1672" s="209">
        <v>9.5799999999999996E-2</v>
      </c>
      <c r="AE1672" s="26">
        <f t="shared" si="496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5"/>
        <v>21194662.454867262</v>
      </c>
      <c r="AJ1672" s="27">
        <f t="shared" si="506"/>
        <v>2981431.5970757701</v>
      </c>
      <c r="AK1672" s="28">
        <f t="shared" si="497"/>
        <v>0.14066898226968919</v>
      </c>
      <c r="AL1672" s="24"/>
      <c r="AM1672" s="24"/>
      <c r="AN1672" s="24"/>
      <c r="AO1672" s="24"/>
      <c r="AP1672" s="28" t="str">
        <f t="shared" si="498"/>
        <v>20243</v>
      </c>
      <c r="AQ1672" s="28" t="str">
        <f t="shared" si="499"/>
        <v>20243JPY</v>
      </c>
      <c r="AR1672" s="206" t="str">
        <f t="shared" si="500"/>
        <v>YAMAHA_Mounter</v>
      </c>
      <c r="AS1672" s="22">
        <f t="shared" si="501"/>
        <v>1</v>
      </c>
      <c r="AT1672" s="24" t="str">
        <f t="shared" si="502"/>
        <v>0-3 months</v>
      </c>
    </row>
    <row r="1673" spans="1:46" s="12" customFormat="1">
      <c r="A1673" s="33" t="str">
        <f t="shared" si="490"/>
        <v>FY 21/22</v>
      </c>
      <c r="B1673" s="152">
        <v>2021</v>
      </c>
      <c r="C1673" s="152">
        <v>5</v>
      </c>
      <c r="D1673" s="33" t="str">
        <f t="shared" si="491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2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3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504"/>
        <v>585200</v>
      </c>
      <c r="AA1673" s="13">
        <v>1.1950000000000001</v>
      </c>
      <c r="AB1673" s="21">
        <f t="shared" si="494"/>
        <v>618861.94690265495</v>
      </c>
      <c r="AC1673" s="130">
        <f t="shared" si="495"/>
        <v>74263.433628318584</v>
      </c>
      <c r="AD1673" s="169">
        <v>0.12</v>
      </c>
      <c r="AE1673" s="154">
        <f t="shared" si="496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5"/>
        <v>477651199.57437885</v>
      </c>
      <c r="AJ1673" s="19">
        <f t="shared" si="506"/>
        <v>56918800.518691957</v>
      </c>
      <c r="AK1673" s="20">
        <f t="shared" si="497"/>
        <v>0.11916394341605475</v>
      </c>
      <c r="AL1673" s="17"/>
      <c r="AM1673" s="17"/>
      <c r="AN1673" s="17"/>
      <c r="AO1673" s="17" t="s">
        <v>2092</v>
      </c>
      <c r="AP1673" s="28" t="str">
        <f t="shared" si="498"/>
        <v>CancelCANCEL</v>
      </c>
      <c r="AQ1673" s="28" t="str">
        <f t="shared" si="499"/>
        <v>CancelCANCELRMB</v>
      </c>
      <c r="AR1673" s="206" t="str">
        <f t="shared" si="500"/>
        <v>YAMAHA_Mounter</v>
      </c>
      <c r="AS1673" s="22" t="str">
        <f t="shared" si="501"/>
        <v/>
      </c>
      <c r="AT1673" s="24" t="str">
        <f t="shared" si="502"/>
        <v/>
      </c>
    </row>
    <row r="1674" spans="1:46" s="12" customFormat="1">
      <c r="A1674" s="33" t="str">
        <f t="shared" si="490"/>
        <v>FY 21/22</v>
      </c>
      <c r="B1674" s="152">
        <v>2021</v>
      </c>
      <c r="C1674" s="152">
        <v>5</v>
      </c>
      <c r="D1674" s="33" t="str">
        <f t="shared" si="491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2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3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si="504"/>
        <v>585200</v>
      </c>
      <c r="AA1674" s="13">
        <v>1.1950000000000001</v>
      </c>
      <c r="AB1674" s="21">
        <f t="shared" si="494"/>
        <v>618861.94690265495</v>
      </c>
      <c r="AC1674" s="130">
        <f t="shared" si="495"/>
        <v>74263.433628318584</v>
      </c>
      <c r="AD1674" s="169">
        <v>0.12</v>
      </c>
      <c r="AE1674" s="154">
        <f t="shared" si="496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5"/>
        <v>477651199.57437885</v>
      </c>
      <c r="AJ1674" s="19">
        <f t="shared" si="506"/>
        <v>56918800.518691957</v>
      </c>
      <c r="AK1674" s="20">
        <f t="shared" si="497"/>
        <v>0.11916394341605475</v>
      </c>
      <c r="AL1674" s="17"/>
      <c r="AM1674" s="17"/>
      <c r="AN1674" s="17"/>
      <c r="AO1674" s="17" t="s">
        <v>2092</v>
      </c>
      <c r="AP1674" s="28" t="str">
        <f t="shared" si="498"/>
        <v>CancelCANCEL</v>
      </c>
      <c r="AQ1674" s="28" t="str">
        <f t="shared" si="499"/>
        <v>CancelCANCELRMB</v>
      </c>
      <c r="AR1674" s="206" t="str">
        <f t="shared" si="500"/>
        <v>YAMAHA_Mounter</v>
      </c>
      <c r="AS1674" s="22" t="str">
        <f t="shared" si="501"/>
        <v/>
      </c>
      <c r="AT1674" s="24" t="str">
        <f t="shared" si="502"/>
        <v/>
      </c>
    </row>
    <row r="1675" spans="1:46" s="12" customFormat="1">
      <c r="A1675" s="33" t="str">
        <f t="shared" si="490"/>
        <v>FY 17/18</v>
      </c>
      <c r="B1675" s="152">
        <v>2018</v>
      </c>
      <c r="C1675" s="152">
        <v>1</v>
      </c>
      <c r="D1675" s="33" t="str">
        <f t="shared" si="491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2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3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4"/>
        <v>9800000</v>
      </c>
      <c r="AA1675" s="13">
        <v>7.2099999999999997E-2</v>
      </c>
      <c r="AB1675" s="21">
        <f t="shared" si="494"/>
        <v>706580</v>
      </c>
      <c r="AC1675" s="130">
        <f t="shared" si="495"/>
        <v>75604.06</v>
      </c>
      <c r="AD1675" s="169">
        <v>0.107</v>
      </c>
      <c r="AE1675" s="154">
        <f t="shared" si="496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5"/>
        <v>26492741.106427077</v>
      </c>
      <c r="AJ1675" s="19">
        <f t="shared" si="506"/>
        <v>3348032.1325698122</v>
      </c>
      <c r="AK1675" s="20">
        <f t="shared" si="497"/>
        <v>0.12637545201985867</v>
      </c>
      <c r="AL1675" s="17"/>
      <c r="AM1675" s="17"/>
      <c r="AN1675" s="17"/>
      <c r="AO1675" s="17"/>
      <c r="AP1675" s="28" t="str">
        <f t="shared" si="498"/>
        <v>20189</v>
      </c>
      <c r="AQ1675" s="28" t="str">
        <f t="shared" si="499"/>
        <v>20189JPY</v>
      </c>
      <c r="AR1675" s="206" t="str">
        <f t="shared" si="500"/>
        <v>YAMAHA_Mounter</v>
      </c>
      <c r="AS1675" s="22">
        <f t="shared" si="501"/>
        <v>8</v>
      </c>
      <c r="AT1675" s="24" t="str">
        <f t="shared" si="502"/>
        <v>&gt; 6 months</v>
      </c>
    </row>
    <row r="1676" spans="1:46" s="12" customFormat="1">
      <c r="A1676" s="33" t="str">
        <f t="shared" si="490"/>
        <v>FY 22/23</v>
      </c>
      <c r="B1676" s="152">
        <v>2022</v>
      </c>
      <c r="C1676" s="152">
        <v>6</v>
      </c>
      <c r="D1676" s="33" t="str">
        <f t="shared" si="491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2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3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4"/>
        <v>460000</v>
      </c>
      <c r="AA1676" s="13">
        <v>1.175</v>
      </c>
      <c r="AB1676" s="21">
        <f t="shared" si="494"/>
        <v>478318.5840707965</v>
      </c>
      <c r="AC1676" s="130">
        <f t="shared" si="495"/>
        <v>68256.061946902657</v>
      </c>
      <c r="AD1676" s="169">
        <v>0.14269999999999999</v>
      </c>
      <c r="AE1676" s="154">
        <f t="shared" si="496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5"/>
        <v>35682787.057522126</v>
      </c>
      <c r="AJ1676" s="19">
        <f t="shared" si="506"/>
        <v>5833368.3789623892</v>
      </c>
      <c r="AK1676" s="20">
        <f t="shared" si="497"/>
        <v>0.16347849649632912</v>
      </c>
      <c r="AL1676" s="17"/>
      <c r="AM1676" s="17"/>
      <c r="AN1676" s="17"/>
      <c r="AO1676" s="17"/>
      <c r="AP1676" s="28" t="str">
        <f t="shared" si="498"/>
        <v>20226</v>
      </c>
      <c r="AQ1676" s="28" t="str">
        <f t="shared" si="499"/>
        <v>20226RMB</v>
      </c>
      <c r="AR1676" s="206" t="str">
        <f t="shared" si="500"/>
        <v>YAMAHA_Mounter</v>
      </c>
      <c r="AS1676" s="22">
        <f t="shared" si="501"/>
        <v>0</v>
      </c>
      <c r="AT1676" s="24" t="str">
        <f t="shared" si="502"/>
        <v>0-3 months</v>
      </c>
    </row>
    <row r="1677" spans="1:46" s="12" customFormat="1">
      <c r="A1677" s="33" t="str">
        <f t="shared" si="490"/>
        <v>FY 19/20</v>
      </c>
      <c r="B1677" s="152">
        <v>2019</v>
      </c>
      <c r="C1677" s="152">
        <v>11</v>
      </c>
      <c r="D1677" s="33" t="str">
        <f t="shared" si="491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2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3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4"/>
        <v>11000000</v>
      </c>
      <c r="AA1677" s="13">
        <v>7.3499999999999996E-2</v>
      </c>
      <c r="AB1677" s="21">
        <f t="shared" si="494"/>
        <v>808500</v>
      </c>
      <c r="AC1677" s="130">
        <f t="shared" si="495"/>
        <v>83518.05</v>
      </c>
      <c r="AD1677" s="169">
        <v>0.1033</v>
      </c>
      <c r="AE1677" s="154">
        <f t="shared" si="496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5"/>
        <v>26147030.909862842</v>
      </c>
      <c r="AJ1677" s="19">
        <f t="shared" si="506"/>
        <v>2743862.8630715334</v>
      </c>
      <c r="AK1677" s="20">
        <f t="shared" si="497"/>
        <v>0.10493974908778378</v>
      </c>
      <c r="AL1677" s="17"/>
      <c r="AM1677" s="17"/>
      <c r="AN1677" s="17"/>
      <c r="AO1677" s="17"/>
      <c r="AP1677" s="28" t="str">
        <f t="shared" si="498"/>
        <v>201911</v>
      </c>
      <c r="AQ1677" s="28" t="str">
        <f t="shared" si="499"/>
        <v>201911JPY</v>
      </c>
      <c r="AR1677" s="206" t="str">
        <f t="shared" si="500"/>
        <v>YAMAHA_Mounter</v>
      </c>
      <c r="AS1677" s="22">
        <f t="shared" si="501"/>
        <v>0</v>
      </c>
      <c r="AT1677" s="24" t="str">
        <f t="shared" si="502"/>
        <v>0-3 months</v>
      </c>
    </row>
    <row r="1678" spans="1:46" s="12" customFormat="1">
      <c r="A1678" s="33" t="str">
        <f t="shared" si="490"/>
        <v>FY 20/21</v>
      </c>
      <c r="B1678" s="152">
        <v>2021</v>
      </c>
      <c r="C1678" s="152">
        <v>2</v>
      </c>
      <c r="D1678" s="33" t="str">
        <f t="shared" si="491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2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3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4"/>
        <v>12700000</v>
      </c>
      <c r="AA1678" s="13">
        <v>7.2800000000000004E-2</v>
      </c>
      <c r="AB1678" s="21">
        <f t="shared" si="494"/>
        <v>924560</v>
      </c>
      <c r="AC1678" s="130">
        <f t="shared" si="495"/>
        <v>129161.03199999999</v>
      </c>
      <c r="AD1678" s="169">
        <v>0.13969999999999999</v>
      </c>
      <c r="AE1678" s="154">
        <f t="shared" si="496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5"/>
        <v>63006605.696460173</v>
      </c>
      <c r="AJ1678" s="19">
        <f t="shared" si="506"/>
        <v>8897485.660753984</v>
      </c>
      <c r="AK1678" s="20">
        <f t="shared" si="497"/>
        <v>0.141215124388995</v>
      </c>
      <c r="AL1678" s="17"/>
      <c r="AM1678" s="17"/>
      <c r="AN1678" s="17"/>
      <c r="AO1678" s="17"/>
      <c r="AP1678" s="28" t="str">
        <f t="shared" si="498"/>
        <v>20215</v>
      </c>
      <c r="AQ1678" s="28" t="str">
        <f t="shared" si="499"/>
        <v>20215JPY</v>
      </c>
      <c r="AR1678" s="206" t="str">
        <f t="shared" si="500"/>
        <v>YAMAHA_Mounter</v>
      </c>
      <c r="AS1678" s="22">
        <f t="shared" si="501"/>
        <v>3</v>
      </c>
      <c r="AT1678" s="24" t="str">
        <f t="shared" si="502"/>
        <v>0-3 months</v>
      </c>
    </row>
    <row r="1679" spans="1:46" s="12" customFormat="1">
      <c r="A1679" s="33" t="str">
        <f t="shared" si="490"/>
        <v>FY 21/22</v>
      </c>
      <c r="B1679" s="152">
        <v>2021</v>
      </c>
      <c r="C1679" s="152">
        <v>8</v>
      </c>
      <c r="D1679" s="33" t="str">
        <f t="shared" si="491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2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3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4"/>
        <v>14000000</v>
      </c>
      <c r="AA1679" s="13">
        <v>7.0000000000000007E-2</v>
      </c>
      <c r="AB1679" s="21">
        <f t="shared" si="494"/>
        <v>980000.00000000012</v>
      </c>
      <c r="AC1679" s="130">
        <f t="shared" si="495"/>
        <v>110054.00000000001</v>
      </c>
      <c r="AD1679" s="169">
        <v>0.1123</v>
      </c>
      <c r="AE1679" s="154">
        <f t="shared" si="496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5"/>
        <v>29500529.005044252</v>
      </c>
      <c r="AJ1679" s="19">
        <f t="shared" si="506"/>
        <v>3253064.846231177</v>
      </c>
      <c r="AK1679" s="20">
        <f t="shared" si="497"/>
        <v>0.11027140718984871</v>
      </c>
      <c r="AL1679" s="17"/>
      <c r="AM1679" s="17"/>
      <c r="AN1679" s="17"/>
      <c r="AO1679" s="17"/>
      <c r="AP1679" s="28" t="str">
        <f t="shared" si="498"/>
        <v>202111</v>
      </c>
      <c r="AQ1679" s="28" t="str">
        <f t="shared" si="499"/>
        <v>202111JPY</v>
      </c>
      <c r="AR1679" s="206" t="str">
        <f t="shared" si="500"/>
        <v>YAMAHA_Mounter</v>
      </c>
      <c r="AS1679" s="22">
        <f t="shared" si="501"/>
        <v>3</v>
      </c>
      <c r="AT1679" s="24" t="str">
        <f t="shared" si="502"/>
        <v>0-3 months</v>
      </c>
    </row>
    <row r="1680" spans="1:46" s="12" customFormat="1">
      <c r="A1680" s="33" t="str">
        <f t="shared" si="490"/>
        <v>cancel</v>
      </c>
      <c r="B1680" s="152"/>
      <c r="C1680" s="152" t="s">
        <v>186</v>
      </c>
      <c r="D1680" s="33" t="str">
        <f t="shared" si="491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2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3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4"/>
        <v>11998800</v>
      </c>
      <c r="AA1680" s="13">
        <v>7.3599999999999999E-2</v>
      </c>
      <c r="AB1680" s="21">
        <f t="shared" si="494"/>
        <v>883111.67999999993</v>
      </c>
      <c r="AC1680" s="130">
        <f t="shared" si="495"/>
        <v>105973.40159999998</v>
      </c>
      <c r="AD1680" s="169">
        <v>0.12</v>
      </c>
      <c r="AE1680" s="154">
        <f t="shared" si="496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5"/>
        <v>477651199.57437885</v>
      </c>
      <c r="AJ1680" s="19">
        <f t="shared" si="506"/>
        <v>56918800.518691957</v>
      </c>
      <c r="AK1680" s="20">
        <f t="shared" si="497"/>
        <v>0.11916394341605475</v>
      </c>
      <c r="AL1680" s="17"/>
      <c r="AM1680" s="17"/>
      <c r="AN1680" s="17"/>
      <c r="AO1680" s="17"/>
      <c r="AP1680" s="28" t="str">
        <f t="shared" si="498"/>
        <v>CancelCancel</v>
      </c>
      <c r="AQ1680" s="28" t="str">
        <f t="shared" si="499"/>
        <v>CancelCancelJPY</v>
      </c>
      <c r="AR1680" s="206" t="str">
        <f t="shared" si="500"/>
        <v>YAMAHA_Mounter</v>
      </c>
      <c r="AS1680" s="22" t="str">
        <f t="shared" si="501"/>
        <v/>
      </c>
      <c r="AT1680" s="24" t="str">
        <f t="shared" si="502"/>
        <v/>
      </c>
    </row>
    <row r="1681" spans="1:46" s="12" customFormat="1">
      <c r="A1681" s="33" t="str">
        <f t="shared" si="490"/>
        <v>FY 21/22</v>
      </c>
      <c r="B1681" s="152">
        <v>2021</v>
      </c>
      <c r="C1681" s="152">
        <v>4</v>
      </c>
      <c r="D1681" s="33" t="str">
        <f t="shared" si="491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2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3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4"/>
        <v>13500000</v>
      </c>
      <c r="AA1681" s="13">
        <v>7.0999999999999994E-2</v>
      </c>
      <c r="AB1681" s="21">
        <f t="shared" si="494"/>
        <v>958499.99999999988</v>
      </c>
      <c r="AC1681" s="130">
        <f t="shared" si="495"/>
        <v>130451.84999999998</v>
      </c>
      <c r="AD1681" s="169">
        <v>0.1361</v>
      </c>
      <c r="AE1681" s="154">
        <f t="shared" si="496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5"/>
        <v>15533177.71460177</v>
      </c>
      <c r="AJ1681" s="19">
        <f t="shared" si="506"/>
        <v>1819298.5437526547</v>
      </c>
      <c r="AK1681" s="20">
        <f t="shared" si="497"/>
        <v>0.11712339723265033</v>
      </c>
      <c r="AL1681" s="17"/>
      <c r="AM1681" s="17"/>
      <c r="AN1681" s="17"/>
      <c r="AO1681" s="17"/>
      <c r="AP1681" s="28" t="str">
        <f t="shared" si="498"/>
        <v>202110</v>
      </c>
      <c r="AQ1681" s="28" t="str">
        <f t="shared" si="499"/>
        <v>202110JPY</v>
      </c>
      <c r="AR1681" s="206" t="str">
        <f t="shared" si="500"/>
        <v>YAMAHA_Mounter</v>
      </c>
      <c r="AS1681" s="22">
        <f t="shared" si="501"/>
        <v>6</v>
      </c>
      <c r="AT1681" s="24" t="str">
        <f t="shared" si="502"/>
        <v>4-6 months</v>
      </c>
    </row>
    <row r="1682" spans="1:46" s="12" customFormat="1">
      <c r="A1682" s="33" t="str">
        <f t="shared" si="490"/>
        <v>FY 21/22</v>
      </c>
      <c r="B1682" s="152">
        <v>2021</v>
      </c>
      <c r="C1682" s="152">
        <v>4</v>
      </c>
      <c r="D1682" s="33" t="str">
        <f t="shared" si="491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2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3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4"/>
        <v>8900000</v>
      </c>
      <c r="AA1682" s="13">
        <v>6.9199999999999998E-2</v>
      </c>
      <c r="AB1682" s="21">
        <f t="shared" si="494"/>
        <v>615880</v>
      </c>
      <c r="AC1682" s="130">
        <f t="shared" si="495"/>
        <v>83821.267999999996</v>
      </c>
      <c r="AD1682" s="169">
        <v>0.1361</v>
      </c>
      <c r="AE1682" s="154">
        <f t="shared" si="496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5"/>
        <v>28726768.133805312</v>
      </c>
      <c r="AJ1682" s="19">
        <f t="shared" si="506"/>
        <v>3853638.1988864429</v>
      </c>
      <c r="AK1682" s="20">
        <f t="shared" si="497"/>
        <v>0.1341479898099476</v>
      </c>
      <c r="AL1682" s="17"/>
      <c r="AM1682" s="17"/>
      <c r="AN1682" s="17"/>
      <c r="AO1682" s="17"/>
      <c r="AP1682" s="28" t="str">
        <f t="shared" si="498"/>
        <v>20223</v>
      </c>
      <c r="AQ1682" s="28" t="str">
        <f t="shared" si="499"/>
        <v>20223JPY</v>
      </c>
      <c r="AR1682" s="206" t="str">
        <f t="shared" si="500"/>
        <v>YAMAHA_Mounter</v>
      </c>
      <c r="AS1682" s="22">
        <f t="shared" si="501"/>
        <v>11</v>
      </c>
      <c r="AT1682" s="24" t="str">
        <f t="shared" si="502"/>
        <v>&gt; 6 months</v>
      </c>
    </row>
    <row r="1683" spans="1:46" s="12" customFormat="1">
      <c r="A1683" s="33" t="str">
        <f t="shared" si="490"/>
        <v>FY 17/18</v>
      </c>
      <c r="B1683" s="152">
        <v>2018</v>
      </c>
      <c r="C1683" s="152">
        <v>3</v>
      </c>
      <c r="D1683" s="33" t="str">
        <f t="shared" si="491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2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3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4"/>
        <v>18143760</v>
      </c>
      <c r="AA1683" s="13">
        <v>7.2300000000000003E-2</v>
      </c>
      <c r="AB1683" s="21">
        <f t="shared" si="494"/>
        <v>1311793.848</v>
      </c>
      <c r="AC1683" s="130">
        <f t="shared" si="495"/>
        <v>172238.53224239999</v>
      </c>
      <c r="AD1683" s="169">
        <v>0.1313</v>
      </c>
      <c r="AE1683" s="154">
        <f t="shared" si="496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5"/>
        <v>34109166.105589926</v>
      </c>
      <c r="AJ1683" s="19">
        <f t="shared" si="506"/>
        <v>4642032.7199573703</v>
      </c>
      <c r="AK1683" s="20">
        <f t="shared" si="497"/>
        <v>0.13609340977692849</v>
      </c>
      <c r="AL1683" s="17"/>
      <c r="AM1683" s="17"/>
      <c r="AN1683" s="17"/>
      <c r="AO1683" s="17"/>
      <c r="AP1683" s="28" t="str">
        <f t="shared" si="498"/>
        <v>20185</v>
      </c>
      <c r="AQ1683" s="28" t="str">
        <f t="shared" si="499"/>
        <v>20185JPY</v>
      </c>
      <c r="AR1683" s="206" t="str">
        <f t="shared" si="500"/>
        <v>YAMAHA_Mounter</v>
      </c>
      <c r="AS1683" s="22">
        <f t="shared" si="501"/>
        <v>2</v>
      </c>
      <c r="AT1683" s="24" t="str">
        <f t="shared" si="502"/>
        <v>0-3 months</v>
      </c>
    </row>
    <row r="1684" spans="1:46" s="12" customFormat="1">
      <c r="A1684" s="33" t="str">
        <f t="shared" si="490"/>
        <v>FY 17/18</v>
      </c>
      <c r="B1684" s="152">
        <v>2018</v>
      </c>
      <c r="C1684" s="152">
        <v>3</v>
      </c>
      <c r="D1684" s="33" t="str">
        <f t="shared" si="491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2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3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4"/>
        <v>18143760</v>
      </c>
      <c r="AA1684" s="13">
        <v>7.3200000000000001E-2</v>
      </c>
      <c r="AB1684" s="21">
        <f t="shared" si="494"/>
        <v>1328123.2320000001</v>
      </c>
      <c r="AC1684" s="130">
        <f t="shared" si="495"/>
        <v>159374.78784</v>
      </c>
      <c r="AD1684" s="169">
        <v>0.12</v>
      </c>
      <c r="AE1684" s="154">
        <f t="shared" si="496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5"/>
        <v>477651199.57437885</v>
      </c>
      <c r="AJ1684" s="19">
        <f t="shared" si="506"/>
        <v>56918800.518691957</v>
      </c>
      <c r="AK1684" s="20">
        <f t="shared" si="497"/>
        <v>0.11916394341605475</v>
      </c>
      <c r="AL1684" s="17"/>
      <c r="AM1684" s="17"/>
      <c r="AN1684" s="17"/>
      <c r="AO1684" s="17"/>
      <c r="AP1684" s="28" t="str">
        <f t="shared" si="498"/>
        <v>CancelCancel</v>
      </c>
      <c r="AQ1684" s="28" t="str">
        <f t="shared" si="499"/>
        <v>CancelCancelJPY</v>
      </c>
      <c r="AR1684" s="206" t="str">
        <f t="shared" si="500"/>
        <v>YAMAHA_Mounter</v>
      </c>
      <c r="AS1684" s="22" t="str">
        <f t="shared" si="501"/>
        <v/>
      </c>
      <c r="AT1684" s="24" t="str">
        <f t="shared" si="502"/>
        <v/>
      </c>
    </row>
    <row r="1685" spans="1:46" s="12" customFormat="1">
      <c r="A1685" s="33" t="str">
        <f t="shared" si="490"/>
        <v>FY 20/21</v>
      </c>
      <c r="B1685" s="152">
        <v>2021</v>
      </c>
      <c r="C1685" s="152">
        <v>1</v>
      </c>
      <c r="D1685" s="33" t="str">
        <f t="shared" si="491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2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3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4"/>
        <v>7100000</v>
      </c>
      <c r="AA1685" s="13">
        <v>7.5700000000000003E-2</v>
      </c>
      <c r="AB1685" s="21">
        <f t="shared" si="494"/>
        <v>537470</v>
      </c>
      <c r="AC1685" s="130">
        <f t="shared" si="495"/>
        <v>94218.491000000009</v>
      </c>
      <c r="AD1685" s="169">
        <v>0.17530000000000001</v>
      </c>
      <c r="AE1685" s="154">
        <f t="shared" si="496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5"/>
        <v>31097187.02948761</v>
      </c>
      <c r="AJ1685" s="19">
        <f t="shared" si="506"/>
        <v>3892353.6644401965</v>
      </c>
      <c r="AK1685" s="20">
        <f t="shared" si="497"/>
        <v>0.12516738767237401</v>
      </c>
      <c r="AL1685" s="17"/>
      <c r="AM1685" s="17"/>
      <c r="AN1685" s="17"/>
      <c r="AO1685" s="17"/>
      <c r="AP1685" s="28" t="str">
        <f t="shared" si="498"/>
        <v>20212</v>
      </c>
      <c r="AQ1685" s="28" t="str">
        <f t="shared" si="499"/>
        <v>20212JPY</v>
      </c>
      <c r="AR1685" s="206" t="str">
        <f t="shared" si="500"/>
        <v>YAMAHA_Mounter</v>
      </c>
      <c r="AS1685" s="22">
        <f t="shared" si="501"/>
        <v>1</v>
      </c>
      <c r="AT1685" s="24" t="str">
        <f t="shared" si="502"/>
        <v>0-3 months</v>
      </c>
    </row>
    <row r="1686" spans="1:46" s="12" customFormat="1">
      <c r="A1686" s="33" t="str">
        <f t="shared" si="490"/>
        <v>FY 18/19</v>
      </c>
      <c r="B1686" s="152">
        <v>2019</v>
      </c>
      <c r="C1686" s="152">
        <v>3</v>
      </c>
      <c r="D1686" s="33" t="str">
        <f t="shared" si="491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2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3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4"/>
        <v>10000000</v>
      </c>
      <c r="AA1686" s="13">
        <v>7.2300000000000003E-2</v>
      </c>
      <c r="AB1686" s="21">
        <f t="shared" si="494"/>
        <v>723000</v>
      </c>
      <c r="AC1686" s="130">
        <f t="shared" si="495"/>
        <v>97460.400000000009</v>
      </c>
      <c r="AD1686" s="169">
        <v>0.1348</v>
      </c>
      <c r="AE1686" s="154">
        <f t="shared" si="496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5"/>
        <v>32843736.557277881</v>
      </c>
      <c r="AJ1686" s="19">
        <f t="shared" si="506"/>
        <v>3921470.6822663117</v>
      </c>
      <c r="AK1686" s="20">
        <f t="shared" si="497"/>
        <v>0.11939782416131177</v>
      </c>
      <c r="AL1686" s="17"/>
      <c r="AM1686" s="17"/>
      <c r="AN1686" s="17"/>
      <c r="AO1686" s="17"/>
      <c r="AP1686" s="28" t="str">
        <f t="shared" si="498"/>
        <v>20194</v>
      </c>
      <c r="AQ1686" s="28" t="str">
        <f t="shared" si="499"/>
        <v>20194JPY</v>
      </c>
      <c r="AR1686" s="206" t="str">
        <f t="shared" si="500"/>
        <v>YAMAHA_Mounter</v>
      </c>
      <c r="AS1686" s="22">
        <f t="shared" si="501"/>
        <v>1</v>
      </c>
      <c r="AT1686" s="24" t="str">
        <f t="shared" si="502"/>
        <v>0-3 months</v>
      </c>
    </row>
    <row r="1687" spans="1:46" s="12" customFormat="1">
      <c r="A1687" s="33" t="str">
        <f t="shared" si="490"/>
        <v>FY 18/19</v>
      </c>
      <c r="B1687" s="152">
        <v>2019</v>
      </c>
      <c r="C1687" s="152">
        <v>3</v>
      </c>
      <c r="D1687" s="33" t="str">
        <f t="shared" si="491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2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3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4"/>
        <v>13000000</v>
      </c>
      <c r="AA1687" s="13">
        <v>7.2300000000000003E-2</v>
      </c>
      <c r="AB1687" s="21">
        <f t="shared" si="494"/>
        <v>939900</v>
      </c>
      <c r="AC1687" s="130">
        <f t="shared" si="495"/>
        <v>126698.52</v>
      </c>
      <c r="AD1687" s="169">
        <v>0.1348</v>
      </c>
      <c r="AE1687" s="154">
        <f t="shared" si="496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5"/>
        <v>32843736.557277881</v>
      </c>
      <c r="AJ1687" s="19">
        <f t="shared" si="506"/>
        <v>3921470.6822663117</v>
      </c>
      <c r="AK1687" s="20">
        <f t="shared" si="497"/>
        <v>0.11939782416131177</v>
      </c>
      <c r="AL1687" s="17"/>
      <c r="AM1687" s="17"/>
      <c r="AN1687" s="17"/>
      <c r="AO1687" s="17"/>
      <c r="AP1687" s="28" t="str">
        <f t="shared" si="498"/>
        <v>20194</v>
      </c>
      <c r="AQ1687" s="28" t="str">
        <f t="shared" si="499"/>
        <v>20194JPY</v>
      </c>
      <c r="AR1687" s="206" t="str">
        <f t="shared" si="500"/>
        <v>YAMAHA_Mounter</v>
      </c>
      <c r="AS1687" s="22">
        <f t="shared" si="501"/>
        <v>1</v>
      </c>
      <c r="AT1687" s="24" t="str">
        <f t="shared" si="502"/>
        <v>0-3 months</v>
      </c>
    </row>
    <row r="1688" spans="1:46" s="12" customFormat="1">
      <c r="A1688" s="33" t="str">
        <f t="shared" si="490"/>
        <v>FY 19/20</v>
      </c>
      <c r="B1688" s="152">
        <v>2019</v>
      </c>
      <c r="C1688" s="152">
        <v>6</v>
      </c>
      <c r="D1688" s="33" t="str">
        <f t="shared" si="491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2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3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4"/>
        <v>1010000</v>
      </c>
      <c r="AA1688" s="13">
        <v>1.135</v>
      </c>
      <c r="AB1688" s="21">
        <f t="shared" si="494"/>
        <v>1014469.0265486727</v>
      </c>
      <c r="AC1688" s="130">
        <f t="shared" si="495"/>
        <v>106113.46017699117</v>
      </c>
      <c r="AD1688" s="169">
        <v>0.1046</v>
      </c>
      <c r="AE1688" s="154">
        <f t="shared" si="496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5"/>
        <v>31296887.037898075</v>
      </c>
      <c r="AJ1688" s="19">
        <f t="shared" si="506"/>
        <v>3588873.9502021763</v>
      </c>
      <c r="AK1688" s="20">
        <f t="shared" si="497"/>
        <v>0.11467191436184473</v>
      </c>
      <c r="AL1688" s="17"/>
      <c r="AM1688" s="17"/>
      <c r="AN1688" s="17"/>
      <c r="AO1688" s="17"/>
      <c r="AP1688" s="28" t="str">
        <f t="shared" si="498"/>
        <v>20196</v>
      </c>
      <c r="AQ1688" s="28" t="str">
        <f t="shared" si="499"/>
        <v>20196RMB</v>
      </c>
      <c r="AR1688" s="206" t="str">
        <f t="shared" si="500"/>
        <v>YAMAHA_Mounter</v>
      </c>
      <c r="AS1688" s="22">
        <f t="shared" si="501"/>
        <v>0</v>
      </c>
      <c r="AT1688" s="24" t="str">
        <f t="shared" si="502"/>
        <v>0-3 months</v>
      </c>
    </row>
    <row r="1689" spans="1:46" s="12" customFormat="1">
      <c r="A1689" s="33" t="str">
        <f t="shared" si="490"/>
        <v>FY 20/21</v>
      </c>
      <c r="B1689" s="152">
        <v>2021</v>
      </c>
      <c r="C1689" s="152">
        <v>2</v>
      </c>
      <c r="D1689" s="33" t="str">
        <f t="shared" si="491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2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3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4"/>
        <v>14200000</v>
      </c>
      <c r="AA1689" s="13">
        <v>7.17E-2</v>
      </c>
      <c r="AB1689" s="21">
        <f t="shared" si="494"/>
        <v>1018140</v>
      </c>
      <c r="AC1689" s="130">
        <f t="shared" si="495"/>
        <v>115864.33199999999</v>
      </c>
      <c r="AD1689" s="169">
        <v>0.1138</v>
      </c>
      <c r="AE1689" s="154">
        <f t="shared" si="496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5"/>
        <v>43684091.636631854</v>
      </c>
      <c r="AJ1689" s="19">
        <f t="shared" si="506"/>
        <v>6483951.8242071122</v>
      </c>
      <c r="AK1689" s="20">
        <f t="shared" si="497"/>
        <v>0.14842821680123736</v>
      </c>
      <c r="AL1689" s="17"/>
      <c r="AM1689" s="17"/>
      <c r="AN1689" s="17"/>
      <c r="AO1689" s="17"/>
      <c r="AP1689" s="28" t="str">
        <f t="shared" si="498"/>
        <v>20214</v>
      </c>
      <c r="AQ1689" s="28" t="str">
        <f t="shared" si="499"/>
        <v>20214JPY</v>
      </c>
      <c r="AR1689" s="206" t="str">
        <f t="shared" si="500"/>
        <v>YAMAHA_Mounter</v>
      </c>
      <c r="AS1689" s="22">
        <f t="shared" si="501"/>
        <v>2</v>
      </c>
      <c r="AT1689" s="24" t="str">
        <f t="shared" si="502"/>
        <v>0-3 months</v>
      </c>
    </row>
    <row r="1690" spans="1:46" s="12" customFormat="1">
      <c r="A1690" s="33" t="str">
        <f t="shared" si="490"/>
        <v>FY 21/22</v>
      </c>
      <c r="B1690" s="152">
        <v>2022</v>
      </c>
      <c r="C1690" s="152">
        <v>1</v>
      </c>
      <c r="D1690" s="33" t="str">
        <f t="shared" si="491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2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3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4"/>
        <v>11200000</v>
      </c>
      <c r="AA1690" s="13">
        <v>5.7799999999999997E-2</v>
      </c>
      <c r="AB1690" s="21">
        <f t="shared" si="494"/>
        <v>647360</v>
      </c>
      <c r="AC1690" s="130">
        <f t="shared" si="495"/>
        <v>81567.360000000001</v>
      </c>
      <c r="AD1690" s="169">
        <v>0.126</v>
      </c>
      <c r="AE1690" s="154">
        <f t="shared" si="496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5"/>
        <v>15948576.102654871</v>
      </c>
      <c r="AJ1690" s="19">
        <f t="shared" si="506"/>
        <v>2739848.7004853105</v>
      </c>
      <c r="AK1690" s="20">
        <f t="shared" si="497"/>
        <v>0.17179268436567344</v>
      </c>
      <c r="AL1690" s="17"/>
      <c r="AM1690" s="17"/>
      <c r="AN1690" s="17"/>
      <c r="AO1690" s="17"/>
      <c r="AP1690" s="28" t="str">
        <f t="shared" si="498"/>
        <v>20229</v>
      </c>
      <c r="AQ1690" s="28" t="str">
        <f t="shared" si="499"/>
        <v>20229JPY</v>
      </c>
      <c r="AR1690" s="206" t="str">
        <f t="shared" si="500"/>
        <v>YAMAHA_Mounter</v>
      </c>
      <c r="AS1690" s="22">
        <f t="shared" si="501"/>
        <v>8</v>
      </c>
      <c r="AT1690" s="24" t="str">
        <f t="shared" si="502"/>
        <v>&gt; 6 months</v>
      </c>
    </row>
    <row r="1691" spans="1:46" s="12" customFormat="1">
      <c r="A1691" s="33" t="str">
        <f t="shared" si="490"/>
        <v>FY 19/20</v>
      </c>
      <c r="B1691" s="152">
        <v>2019</v>
      </c>
      <c r="C1691" s="152">
        <v>5</v>
      </c>
      <c r="D1691" s="33" t="str">
        <f t="shared" si="491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2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3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4"/>
        <v>720000</v>
      </c>
      <c r="AA1691" s="13">
        <v>1.135</v>
      </c>
      <c r="AB1691" s="21">
        <f t="shared" si="494"/>
        <v>723185.84070796461</v>
      </c>
      <c r="AC1691" s="130">
        <f t="shared" si="495"/>
        <v>124243.32743362832</v>
      </c>
      <c r="AD1691" s="169">
        <v>0.17180000000000001</v>
      </c>
      <c r="AE1691" s="154">
        <f t="shared" si="496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5"/>
        <v>34015877.71150443</v>
      </c>
      <c r="AJ1691" s="19">
        <f t="shared" si="506"/>
        <v>4446292.375441948</v>
      </c>
      <c r="AK1691" s="20">
        <f t="shared" si="497"/>
        <v>0.13071226364205143</v>
      </c>
      <c r="AL1691" s="17"/>
      <c r="AM1691" s="17"/>
      <c r="AN1691" s="17"/>
      <c r="AO1691" s="17"/>
      <c r="AP1691" s="28" t="str">
        <f t="shared" si="498"/>
        <v>20197</v>
      </c>
      <c r="AQ1691" s="28" t="str">
        <f t="shared" si="499"/>
        <v>20197RMB</v>
      </c>
      <c r="AR1691" s="206" t="str">
        <f t="shared" si="500"/>
        <v>YAMAHA_Mounter</v>
      </c>
      <c r="AS1691" s="22">
        <f t="shared" si="501"/>
        <v>2</v>
      </c>
      <c r="AT1691" s="24" t="str">
        <f t="shared" si="502"/>
        <v>0-3 months</v>
      </c>
    </row>
    <row r="1692" spans="1:46" s="12" customFormat="1">
      <c r="A1692" s="33" t="str">
        <f t="shared" si="490"/>
        <v>FY 16/17</v>
      </c>
      <c r="B1692" s="152">
        <v>2017</v>
      </c>
      <c r="C1692" s="152">
        <v>2</v>
      </c>
      <c r="D1692" s="33" t="str">
        <f t="shared" si="491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2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3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4"/>
        <v>11327150</v>
      </c>
      <c r="AA1692" s="13">
        <v>7.2099999999999997E-2</v>
      </c>
      <c r="AB1692" s="21">
        <f t="shared" si="494"/>
        <v>816687.51500000001</v>
      </c>
      <c r="AC1692" s="130">
        <f t="shared" si="495"/>
        <v>114499.589603</v>
      </c>
      <c r="AD1692" s="169">
        <v>0.14019999999999999</v>
      </c>
      <c r="AE1692" s="154">
        <f t="shared" si="496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5"/>
        <v>26754147.763010349</v>
      </c>
      <c r="AJ1692" s="19">
        <f t="shared" si="506"/>
        <v>3429137.9965357962</v>
      </c>
      <c r="AK1692" s="20">
        <f t="shared" si="497"/>
        <v>0.12817220069617921</v>
      </c>
      <c r="AL1692" s="17"/>
      <c r="AM1692" s="17"/>
      <c r="AN1692" s="17"/>
      <c r="AO1692" s="17"/>
      <c r="AP1692" s="28" t="str">
        <f t="shared" si="498"/>
        <v>20188</v>
      </c>
      <c r="AQ1692" s="28" t="str">
        <f t="shared" si="499"/>
        <v>20188JPY</v>
      </c>
      <c r="AR1692" s="206" t="str">
        <f t="shared" si="500"/>
        <v>YAMAHA_Mounter</v>
      </c>
      <c r="AS1692" s="22">
        <f t="shared" si="501"/>
        <v>18</v>
      </c>
      <c r="AT1692" s="24" t="str">
        <f t="shared" si="502"/>
        <v>&gt; 6 months</v>
      </c>
    </row>
    <row r="1693" spans="1:46" s="12" customFormat="1">
      <c r="A1693" s="33" t="str">
        <f t="shared" si="490"/>
        <v>FY 20/21</v>
      </c>
      <c r="B1693" s="152">
        <v>2021</v>
      </c>
      <c r="C1693" s="152">
        <v>3</v>
      </c>
      <c r="D1693" s="33" t="str">
        <f t="shared" si="491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2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3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07">IF(W1693="RMB","1.13", "1")</f>
        <v>1</v>
      </c>
      <c r="Z1693" s="18">
        <f t="shared" si="504"/>
        <v>13000000</v>
      </c>
      <c r="AA1693" s="13">
        <v>7.17E-2</v>
      </c>
      <c r="AB1693" s="21">
        <f t="shared" si="494"/>
        <v>932100</v>
      </c>
      <c r="AC1693" s="130">
        <f t="shared" si="495"/>
        <v>122943.98999999999</v>
      </c>
      <c r="AD1693" s="169">
        <v>0.13189999999999999</v>
      </c>
      <c r="AE1693" s="154">
        <f t="shared" si="496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5"/>
        <v>41443303.53761062</v>
      </c>
      <c r="AJ1693" s="19">
        <f t="shared" si="506"/>
        <v>6194988.76643031</v>
      </c>
      <c r="AK1693" s="20">
        <f t="shared" si="497"/>
        <v>0.1494810557466355</v>
      </c>
      <c r="AL1693" s="17"/>
      <c r="AM1693" s="17"/>
      <c r="AN1693" s="17"/>
      <c r="AO1693" s="17"/>
      <c r="AP1693" s="28" t="str">
        <f t="shared" si="498"/>
        <v>20217</v>
      </c>
      <c r="AQ1693" s="28" t="str">
        <f t="shared" si="499"/>
        <v>20217JPY</v>
      </c>
      <c r="AR1693" s="206" t="str">
        <f t="shared" si="500"/>
        <v>YAMAHA_Mounter</v>
      </c>
      <c r="AS1693" s="22">
        <f t="shared" si="501"/>
        <v>4</v>
      </c>
      <c r="AT1693" s="24" t="str">
        <f t="shared" si="502"/>
        <v>4-6 months</v>
      </c>
    </row>
    <row r="1694" spans="1:46" s="12" customFormat="1">
      <c r="A1694" s="33" t="str">
        <f t="shared" si="490"/>
        <v>FY 20/21</v>
      </c>
      <c r="B1694" s="152">
        <v>2021</v>
      </c>
      <c r="C1694" s="152">
        <v>3</v>
      </c>
      <c r="D1694" s="33" t="str">
        <f t="shared" si="491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2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3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07"/>
        <v>1</v>
      </c>
      <c r="Z1694" s="18">
        <f t="shared" si="504"/>
        <v>9200000</v>
      </c>
      <c r="AA1694" s="13">
        <v>7.17E-2</v>
      </c>
      <c r="AB1694" s="21">
        <f t="shared" si="494"/>
        <v>659640</v>
      </c>
      <c r="AC1694" s="130">
        <f t="shared" si="495"/>
        <v>87006.515999999989</v>
      </c>
      <c r="AD1694" s="169">
        <v>0.13189999999999999</v>
      </c>
      <c r="AE1694" s="154">
        <f t="shared" si="496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5"/>
        <v>41443303.53761062</v>
      </c>
      <c r="AJ1694" s="19">
        <f t="shared" si="506"/>
        <v>6194988.76643031</v>
      </c>
      <c r="AK1694" s="20">
        <f t="shared" si="497"/>
        <v>0.1494810557466355</v>
      </c>
      <c r="AL1694" s="17"/>
      <c r="AM1694" s="17"/>
      <c r="AN1694" s="17"/>
      <c r="AO1694" s="17"/>
      <c r="AP1694" s="28" t="str">
        <f t="shared" si="498"/>
        <v>20217</v>
      </c>
      <c r="AQ1694" s="28" t="str">
        <f t="shared" si="499"/>
        <v>20217JPY</v>
      </c>
      <c r="AR1694" s="206" t="str">
        <f t="shared" si="500"/>
        <v>YAMAHA_Mounter</v>
      </c>
      <c r="AS1694" s="22">
        <f t="shared" si="501"/>
        <v>4</v>
      </c>
      <c r="AT1694" s="24" t="str">
        <f t="shared" si="502"/>
        <v>4-6 months</v>
      </c>
    </row>
    <row r="1695" spans="1:46" s="12" customFormat="1">
      <c r="A1695" s="33" t="str">
        <f t="shared" si="490"/>
        <v>FY 21/22</v>
      </c>
      <c r="B1695" s="152">
        <v>2021</v>
      </c>
      <c r="C1695" s="152">
        <v>10</v>
      </c>
      <c r="D1695" s="33" t="str">
        <f t="shared" si="491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2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3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07"/>
        <v>1</v>
      </c>
      <c r="Z1695" s="18">
        <f t="shared" si="504"/>
        <v>14300000</v>
      </c>
      <c r="AA1695" s="13">
        <v>6.54E-2</v>
      </c>
      <c r="AB1695" s="21">
        <f t="shared" si="494"/>
        <v>935220</v>
      </c>
      <c r="AC1695" s="130">
        <f t="shared" si="495"/>
        <v>120643.38</v>
      </c>
      <c r="AD1695" s="169">
        <v>0.129</v>
      </c>
      <c r="AE1695" s="154">
        <f t="shared" si="496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5"/>
        <v>46600814.041769907</v>
      </c>
      <c r="AJ1695" s="19">
        <f t="shared" si="506"/>
        <v>5956366.3435927071</v>
      </c>
      <c r="AK1695" s="20">
        <f t="shared" si="497"/>
        <v>0.1278167874546958</v>
      </c>
      <c r="AL1695" s="17"/>
      <c r="AM1695" s="17"/>
      <c r="AN1695" s="17"/>
      <c r="AO1695" s="17"/>
      <c r="AP1695" s="28" t="str">
        <f t="shared" si="498"/>
        <v>20224</v>
      </c>
      <c r="AQ1695" s="28" t="str">
        <f t="shared" si="499"/>
        <v>20224JPY</v>
      </c>
      <c r="AR1695" s="206" t="str">
        <f t="shared" si="500"/>
        <v>YAMAHA_Mounter</v>
      </c>
      <c r="AS1695" s="22">
        <f t="shared" si="501"/>
        <v>6</v>
      </c>
      <c r="AT1695" s="24" t="str">
        <f t="shared" si="502"/>
        <v>4-6 months</v>
      </c>
    </row>
    <row r="1696" spans="1:46" s="12" customFormat="1">
      <c r="A1696" s="33" t="str">
        <f t="shared" ref="A1696:A1759" si="508">IF(C1696="cancel","cancel",IFERROR(IF(D1696="Q4","FY "&amp;RIGHT(B1696,2)-1&amp;"/"&amp;RIGHT(B1696,2),"FY "&amp;RIGHT(B1696,2)&amp;"/"&amp;RIGHT(B1696,2)+1),""))</f>
        <v>FY 22/23</v>
      </c>
      <c r="B1696" s="152">
        <v>2022</v>
      </c>
      <c r="C1696" s="152">
        <v>4</v>
      </c>
      <c r="D1696" s="33" t="str">
        <f t="shared" ref="D1696:D1759" si="509">IF(B1696="","",IF(AND(C1696&gt;=10,C1696&lt;=12),"Q3",IF(AND(C1696&gt;=1,C1696&lt;=3),"Q4",IF(AND(C1696&gt;=7,C1696&lt;=9),"Q2",IF(AND(C1696&gt;=4,C1696&lt;=6),"Q1")))))</f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ref="I1696:I1759" si="510">IFERROR(IF(F1696="","",IF(F1696="TBA","TBA",IF(F1696="Cancel","Cancel",IF(AND(G1696&gt;=10,G1696&lt;=12),"Q3",IF(AND(G1696&gt;=1,G1696&lt;=3),"Q4",IF(AND(G1696&gt;=7,G1696&lt;=9),"Q2",IF(AND(G1696&gt;=4,G1696&lt;=6),"Q1"))))))),"")</f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ref="P1696:P1759" si="511">IF(M1696="","",IF(AND(N1696&gt;0,L1696&lt;&gt;""),"MAIN UNIT",IF(AND(O1696&gt;0,L1696&lt;&gt;""),"SERVICE/ PARTS","C66 SERVICE/OTHERS")))</f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07"/>
        <v>1</v>
      </c>
      <c r="Z1696" s="18">
        <f t="shared" si="504"/>
        <v>9393000</v>
      </c>
      <c r="AA1696" s="13">
        <v>6.2799999999999995E-2</v>
      </c>
      <c r="AB1696" s="21">
        <f t="shared" ref="AB1696:AB1759" si="512">IF(AND(R1696&lt;&gt;"C66",R1696&lt;&gt;""),Z1696/Y1696*AA1696,"")</f>
        <v>589880.39999999991</v>
      </c>
      <c r="AC1696" s="130">
        <f t="shared" ref="AC1696:AC1759" si="513">IF(R1696&lt;&gt;"",AB1696*AD1696,"")</f>
        <v>105706.56767999998</v>
      </c>
      <c r="AD1696" s="169">
        <v>0.1792</v>
      </c>
      <c r="AE1696" s="154">
        <f t="shared" ref="AE1696:AE1759" si="514">IF(Q1696="","",IF(Q1696="Yes",1,0))</f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5"/>
        <v>44014086.982070789</v>
      </c>
      <c r="AJ1696" s="19">
        <f t="shared" si="506"/>
        <v>6419974.0221889298</v>
      </c>
      <c r="AK1696" s="20">
        <f t="shared" ref="AK1696:AK1759" si="515">IF(AJ1696&gt;0,AJ1696/AI1696,"")</f>
        <v>0.14586180158193709</v>
      </c>
      <c r="AL1696" s="17"/>
      <c r="AM1696" s="17"/>
      <c r="AN1696" s="17"/>
      <c r="AO1696" s="17"/>
      <c r="AP1696" s="28" t="str">
        <f t="shared" ref="AP1696:AP1759" si="516">IF(F1696="","",F1696&amp;G1696)</f>
        <v>20225</v>
      </c>
      <c r="AQ1696" s="28" t="str">
        <f t="shared" ref="AQ1696:AQ1759" si="517">IF(W1696="","",F1696&amp;G1696&amp;W1696)</f>
        <v>20225JPY</v>
      </c>
      <c r="AR1696" s="206" t="str">
        <f t="shared" ref="AR1696:AR1759" si="518">IFERROR(IF(AND(M1696="YAMAHA", R1696="C28"), "YAMAHA_Non_Mounter", IF(AND(M1696="YAMAHA", R1696="C49"), "YAMAHA_Mounter", M1696)),"")</f>
        <v>YAMAHA_Mounter</v>
      </c>
      <c r="AS1696" s="22">
        <f t="shared" ref="AS1696:AS1759" si="519">IFERROR(IF(OR(G1696="TBA", G1696=""), "", DATEDIF(DATE(B1696, C1696, 1), DATE(F1696, G1696, 1), "M")),"")</f>
        <v>1</v>
      </c>
      <c r="AT1696" s="24" t="str">
        <f t="shared" ref="AT1696:AT1759" si="520">IF(ISNUMBER(AS1696), IF(AS1696&gt;=0, IF(AS1696&lt;=3, "0-3 months", IF(AS1696&lt;=6, "4-6 months", "&gt; 6 months"))), "")</f>
        <v>0-3 months</v>
      </c>
    </row>
    <row r="1697" spans="1:46" s="12" customFormat="1">
      <c r="A1697" s="33" t="str">
        <f t="shared" si="508"/>
        <v>FY 22/23</v>
      </c>
      <c r="B1697" s="152">
        <v>2022</v>
      </c>
      <c r="C1697" s="152">
        <v>4</v>
      </c>
      <c r="D1697" s="33" t="str">
        <f t="shared" si="509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510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511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07"/>
        <v>1</v>
      </c>
      <c r="Z1697" s="18">
        <f t="shared" si="504"/>
        <v>9393000</v>
      </c>
      <c r="AA1697" s="13">
        <v>6.2799999999999995E-2</v>
      </c>
      <c r="AB1697" s="21">
        <f t="shared" si="512"/>
        <v>589880.39999999991</v>
      </c>
      <c r="AC1697" s="130">
        <f t="shared" si="513"/>
        <v>105706.56767999998</v>
      </c>
      <c r="AD1697" s="169">
        <v>0.1792</v>
      </c>
      <c r="AE1697" s="154">
        <f t="shared" si="514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5"/>
        <v>44014086.982070789</v>
      </c>
      <c r="AJ1697" s="19">
        <f t="shared" si="506"/>
        <v>6419974.0221889298</v>
      </c>
      <c r="AK1697" s="20">
        <f t="shared" si="515"/>
        <v>0.14586180158193709</v>
      </c>
      <c r="AL1697" s="17"/>
      <c r="AM1697" s="17"/>
      <c r="AN1697" s="17"/>
      <c r="AO1697" s="17"/>
      <c r="AP1697" s="28" t="str">
        <f t="shared" si="516"/>
        <v>20225</v>
      </c>
      <c r="AQ1697" s="28" t="str">
        <f t="shared" si="517"/>
        <v>20225JPY</v>
      </c>
      <c r="AR1697" s="206" t="str">
        <f t="shared" si="518"/>
        <v>YAMAHA_Mounter</v>
      </c>
      <c r="AS1697" s="22">
        <f t="shared" si="519"/>
        <v>1</v>
      </c>
      <c r="AT1697" s="24" t="str">
        <f t="shared" si="520"/>
        <v>0-3 months</v>
      </c>
    </row>
    <row r="1698" spans="1:46" s="12" customFormat="1">
      <c r="A1698" s="33" t="str">
        <f t="shared" si="508"/>
        <v>FY 22/23</v>
      </c>
      <c r="B1698" s="152">
        <v>2023</v>
      </c>
      <c r="C1698" s="152">
        <v>1</v>
      </c>
      <c r="D1698" s="33" t="str">
        <f t="shared" si="509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510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511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07"/>
        <v>1.13</v>
      </c>
      <c r="Z1698" s="18">
        <f t="shared" si="504"/>
        <v>550000</v>
      </c>
      <c r="AA1698" s="13">
        <v>1.1000000000000001</v>
      </c>
      <c r="AB1698" s="21">
        <f t="shared" si="512"/>
        <v>535398.23008849565</v>
      </c>
      <c r="AC1698" s="130">
        <f t="shared" si="513"/>
        <v>64247.787610619474</v>
      </c>
      <c r="AD1698" s="169">
        <v>0.12</v>
      </c>
      <c r="AE1698" s="154">
        <f t="shared" si="514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5"/>
        <v>477651199.57437885</v>
      </c>
      <c r="AJ1698" s="19">
        <f t="shared" si="506"/>
        <v>56918800.518691957</v>
      </c>
      <c r="AK1698" s="20">
        <f t="shared" si="515"/>
        <v>0.11916394341605475</v>
      </c>
      <c r="AL1698" s="17"/>
      <c r="AM1698" s="17"/>
      <c r="AN1698" s="17"/>
      <c r="AO1698" s="17"/>
      <c r="AP1698" s="28" t="str">
        <f t="shared" si="516"/>
        <v>CancelCancel</v>
      </c>
      <c r="AQ1698" s="28" t="str">
        <f t="shared" si="517"/>
        <v>CancelCancelRMB</v>
      </c>
      <c r="AR1698" s="206" t="str">
        <f t="shared" si="518"/>
        <v>YAMAHA_Mounter</v>
      </c>
      <c r="AS1698" s="22" t="str">
        <f t="shared" si="519"/>
        <v/>
      </c>
      <c r="AT1698" s="24" t="str">
        <f t="shared" si="520"/>
        <v/>
      </c>
    </row>
    <row r="1699" spans="1:46" s="12" customFormat="1">
      <c r="A1699" s="33" t="str">
        <f t="shared" si="508"/>
        <v>FY 22/23</v>
      </c>
      <c r="B1699" s="152">
        <v>2023</v>
      </c>
      <c r="C1699" s="152">
        <v>1</v>
      </c>
      <c r="D1699" s="33" t="str">
        <f t="shared" si="509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510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511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07"/>
        <v>1.13</v>
      </c>
      <c r="Z1699" s="18">
        <f t="shared" si="504"/>
        <v>1000000</v>
      </c>
      <c r="AA1699" s="13">
        <v>1.1000000000000001</v>
      </c>
      <c r="AB1699" s="21">
        <f t="shared" si="512"/>
        <v>973451.3274336285</v>
      </c>
      <c r="AC1699" s="130">
        <f t="shared" si="513"/>
        <v>116814.15929203542</v>
      </c>
      <c r="AD1699" s="169">
        <v>0.12</v>
      </c>
      <c r="AE1699" s="154">
        <f t="shared" si="514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5"/>
        <v>477651199.57437885</v>
      </c>
      <c r="AJ1699" s="19">
        <f t="shared" si="506"/>
        <v>56918800.518691957</v>
      </c>
      <c r="AK1699" s="20">
        <f t="shared" si="515"/>
        <v>0.11916394341605475</v>
      </c>
      <c r="AL1699" s="17"/>
      <c r="AM1699" s="17"/>
      <c r="AN1699" s="17"/>
      <c r="AO1699" s="17"/>
      <c r="AP1699" s="28" t="str">
        <f t="shared" si="516"/>
        <v>CancelCancel</v>
      </c>
      <c r="AQ1699" s="28" t="str">
        <f t="shared" si="517"/>
        <v>CancelCancelRMB</v>
      </c>
      <c r="AR1699" s="206" t="str">
        <f t="shared" si="518"/>
        <v>YAMAHA_Mounter</v>
      </c>
      <c r="AS1699" s="22" t="str">
        <f t="shared" si="519"/>
        <v/>
      </c>
      <c r="AT1699" s="24" t="str">
        <f t="shared" si="520"/>
        <v/>
      </c>
    </row>
    <row r="1700" spans="1:46" s="12" customFormat="1">
      <c r="A1700" s="33" t="str">
        <f t="shared" si="508"/>
        <v>FY 23/24</v>
      </c>
      <c r="B1700" s="152">
        <v>2023</v>
      </c>
      <c r="C1700" s="152">
        <v>6</v>
      </c>
      <c r="D1700" s="33" t="str">
        <f t="shared" si="509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510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511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07"/>
        <v>1.13</v>
      </c>
      <c r="Z1700" s="18">
        <f t="shared" si="504"/>
        <v>778000</v>
      </c>
      <c r="AA1700" s="13">
        <v>1.081</v>
      </c>
      <c r="AB1700" s="21">
        <f t="shared" si="512"/>
        <v>744263.7168141593</v>
      </c>
      <c r="AC1700" s="130">
        <f t="shared" si="513"/>
        <v>102112.98194690264</v>
      </c>
      <c r="AD1700" s="169">
        <v>0.13719999999999999</v>
      </c>
      <c r="AE1700" s="154">
        <f t="shared" si="514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5"/>
        <v>15951056.41591504</v>
      </c>
      <c r="AJ1700" s="19">
        <f t="shared" si="506"/>
        <v>1966354.6022462982</v>
      </c>
      <c r="AK1700" s="20">
        <f t="shared" si="515"/>
        <v>0.12327425538313459</v>
      </c>
      <c r="AL1700" s="17"/>
      <c r="AM1700" s="17"/>
      <c r="AN1700" s="17"/>
      <c r="AO1700" s="17"/>
      <c r="AP1700" s="28" t="str">
        <f t="shared" si="516"/>
        <v>20237</v>
      </c>
      <c r="AQ1700" s="28" t="str">
        <f t="shared" si="517"/>
        <v>20237RMB</v>
      </c>
      <c r="AR1700" s="206" t="str">
        <f t="shared" si="518"/>
        <v>YAMAHA_Mounter</v>
      </c>
      <c r="AS1700" s="22">
        <f t="shared" si="519"/>
        <v>1</v>
      </c>
      <c r="AT1700" s="24" t="str">
        <f t="shared" si="520"/>
        <v>0-3 months</v>
      </c>
    </row>
    <row r="1701" spans="1:46" s="12" customFormat="1">
      <c r="A1701" s="33" t="str">
        <f t="shared" si="508"/>
        <v>FY 20/21</v>
      </c>
      <c r="B1701" s="152">
        <v>2020</v>
      </c>
      <c r="C1701" s="152">
        <v>4</v>
      </c>
      <c r="D1701" s="33" t="str">
        <f t="shared" si="509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510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511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4"/>
        <v>643012</v>
      </c>
      <c r="AA1701" s="13">
        <v>1.089</v>
      </c>
      <c r="AB1701" s="21">
        <f t="shared" si="512"/>
        <v>619681.47610619478</v>
      </c>
      <c r="AC1701" s="130">
        <f t="shared" si="513"/>
        <v>89172.164411681428</v>
      </c>
      <c r="AD1701" s="169">
        <v>0.1439</v>
      </c>
      <c r="AE1701" s="154">
        <f t="shared" si="514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5"/>
        <v>29183109.05575221</v>
      </c>
      <c r="AJ1701" s="19">
        <f t="shared" si="506"/>
        <v>3741266.5648721238</v>
      </c>
      <c r="AK1701" s="20">
        <f t="shared" si="515"/>
        <v>0.12819972531798121</v>
      </c>
      <c r="AL1701" s="17"/>
      <c r="AM1701" s="17"/>
      <c r="AN1701" s="17"/>
      <c r="AO1701" s="17"/>
      <c r="AP1701" s="28" t="str">
        <f t="shared" si="516"/>
        <v>20206</v>
      </c>
      <c r="AQ1701" s="28" t="str">
        <f t="shared" si="517"/>
        <v>20206RMB</v>
      </c>
      <c r="AR1701" s="206" t="str">
        <f t="shared" si="518"/>
        <v>YAMAHA_Mounter</v>
      </c>
      <c r="AS1701" s="22">
        <f t="shared" si="519"/>
        <v>2</v>
      </c>
      <c r="AT1701" s="24" t="str">
        <f t="shared" si="520"/>
        <v>0-3 months</v>
      </c>
    </row>
    <row r="1702" spans="1:46" s="12" customFormat="1">
      <c r="A1702" s="33" t="str">
        <f t="shared" si="508"/>
        <v>FY 20/21</v>
      </c>
      <c r="B1702" s="152">
        <v>2021</v>
      </c>
      <c r="C1702" s="152">
        <v>3</v>
      </c>
      <c r="D1702" s="33" t="str">
        <f t="shared" si="509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510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511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4"/>
        <v>13193000</v>
      </c>
      <c r="AA1702" s="13">
        <v>7.2800000000000004E-2</v>
      </c>
      <c r="AB1702" s="21">
        <f t="shared" si="512"/>
        <v>960450.4</v>
      </c>
      <c r="AC1702" s="130">
        <f t="shared" si="513"/>
        <v>129660.80400000002</v>
      </c>
      <c r="AD1702" s="169">
        <v>0.13500000000000001</v>
      </c>
      <c r="AE1702" s="154">
        <f t="shared" si="514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5"/>
        <v>63006605.696460173</v>
      </c>
      <c r="AJ1702" s="19">
        <f t="shared" si="506"/>
        <v>8897485.660753984</v>
      </c>
      <c r="AK1702" s="20">
        <f t="shared" si="515"/>
        <v>0.141215124388995</v>
      </c>
      <c r="AL1702" s="17"/>
      <c r="AM1702" s="17"/>
      <c r="AN1702" s="17"/>
      <c r="AO1702" s="17"/>
      <c r="AP1702" s="28" t="str">
        <f t="shared" si="516"/>
        <v>20215</v>
      </c>
      <c r="AQ1702" s="28" t="str">
        <f t="shared" si="517"/>
        <v>20215JPY</v>
      </c>
      <c r="AR1702" s="206" t="str">
        <f t="shared" si="518"/>
        <v>YAMAHA_Mounter</v>
      </c>
      <c r="AS1702" s="22">
        <f t="shared" si="519"/>
        <v>2</v>
      </c>
      <c r="AT1702" s="24" t="str">
        <f t="shared" si="520"/>
        <v>0-3 months</v>
      </c>
    </row>
    <row r="1703" spans="1:46" s="12" customFormat="1">
      <c r="A1703" s="33" t="str">
        <f t="shared" si="508"/>
        <v>cancel</v>
      </c>
      <c r="B1703" s="152">
        <v>2023</v>
      </c>
      <c r="C1703" s="152" t="s">
        <v>186</v>
      </c>
      <c r="D1703" s="33" t="b">
        <f t="shared" si="509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510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511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4"/>
        <v>12000000</v>
      </c>
      <c r="AA1703" s="13">
        <v>5.4199999999999998E-2</v>
      </c>
      <c r="AB1703" s="21">
        <f t="shared" si="512"/>
        <v>650400</v>
      </c>
      <c r="AC1703" s="130">
        <f t="shared" si="513"/>
        <v>78048</v>
      </c>
      <c r="AD1703" s="169">
        <v>0.12</v>
      </c>
      <c r="AE1703" s="154">
        <f t="shared" si="514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5"/>
        <v>477651199.57437885</v>
      </c>
      <c r="AJ1703" s="19">
        <f t="shared" si="506"/>
        <v>56918800.518691957</v>
      </c>
      <c r="AK1703" s="20">
        <f t="shared" si="515"/>
        <v>0.11916394341605475</v>
      </c>
      <c r="AL1703" s="17"/>
      <c r="AM1703" s="17"/>
      <c r="AN1703" s="17"/>
      <c r="AO1703" s="17"/>
      <c r="AP1703" s="28" t="str">
        <f t="shared" si="516"/>
        <v>CancelCancel</v>
      </c>
      <c r="AQ1703" s="28" t="str">
        <f t="shared" si="517"/>
        <v>CancelCancelJPY</v>
      </c>
      <c r="AR1703" s="206" t="str">
        <f t="shared" si="518"/>
        <v>YAMAHA_Mounter</v>
      </c>
      <c r="AS1703" s="22" t="str">
        <f t="shared" si="519"/>
        <v/>
      </c>
      <c r="AT1703" s="24" t="str">
        <f t="shared" si="520"/>
        <v/>
      </c>
    </row>
    <row r="1704" spans="1:46" s="12" customFormat="1">
      <c r="A1704" s="33" t="str">
        <f t="shared" si="508"/>
        <v>FY 21/22</v>
      </c>
      <c r="B1704" s="152">
        <v>2021</v>
      </c>
      <c r="C1704" s="152">
        <v>4</v>
      </c>
      <c r="D1704" s="33" t="str">
        <f t="shared" si="509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510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511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4"/>
        <v>575000</v>
      </c>
      <c r="AA1704" s="13">
        <v>1.18</v>
      </c>
      <c r="AB1704" s="21">
        <f t="shared" si="512"/>
        <v>600442.47787610628</v>
      </c>
      <c r="AC1704" s="130">
        <f t="shared" si="513"/>
        <v>72053.097345132745</v>
      </c>
      <c r="AD1704" s="169">
        <v>0.12</v>
      </c>
      <c r="AE1704" s="154">
        <f t="shared" si="514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5"/>
        <v>477651199.57437885</v>
      </c>
      <c r="AJ1704" s="19">
        <f t="shared" si="506"/>
        <v>56918800.518691957</v>
      </c>
      <c r="AK1704" s="20">
        <f t="shared" si="515"/>
        <v>0.11916394341605475</v>
      </c>
      <c r="AL1704" s="17"/>
      <c r="AM1704" s="17"/>
      <c r="AN1704" s="17"/>
      <c r="AO1704" s="17"/>
      <c r="AP1704" s="28" t="str">
        <f t="shared" si="516"/>
        <v>CancelCANCEL</v>
      </c>
      <c r="AQ1704" s="28" t="str">
        <f t="shared" si="517"/>
        <v>CancelCANCELRMB</v>
      </c>
      <c r="AR1704" s="206" t="str">
        <f t="shared" si="518"/>
        <v>YAMAHA_Mounter</v>
      </c>
      <c r="AS1704" s="22" t="str">
        <f t="shared" si="519"/>
        <v/>
      </c>
      <c r="AT1704" s="24" t="str">
        <f t="shared" si="520"/>
        <v/>
      </c>
    </row>
    <row r="1705" spans="1:46" s="12" customFormat="1">
      <c r="A1705" s="33" t="str">
        <f t="shared" si="508"/>
        <v>FY 21/22</v>
      </c>
      <c r="B1705" s="152">
        <v>2021</v>
      </c>
      <c r="C1705" s="152">
        <v>4</v>
      </c>
      <c r="D1705" s="33" t="str">
        <f t="shared" si="509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510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511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4"/>
        <v>575000</v>
      </c>
      <c r="AA1705" s="13">
        <v>1.18</v>
      </c>
      <c r="AB1705" s="21">
        <f t="shared" si="512"/>
        <v>600442.47787610628</v>
      </c>
      <c r="AC1705" s="130">
        <f t="shared" si="513"/>
        <v>72053.097345132745</v>
      </c>
      <c r="AD1705" s="169">
        <v>0.12</v>
      </c>
      <c r="AE1705" s="154">
        <f t="shared" si="514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5"/>
        <v>477651199.57437885</v>
      </c>
      <c r="AJ1705" s="19">
        <f t="shared" si="506"/>
        <v>56918800.518691957</v>
      </c>
      <c r="AK1705" s="20">
        <f t="shared" si="515"/>
        <v>0.11916394341605475</v>
      </c>
      <c r="AL1705" s="17"/>
      <c r="AM1705" s="17"/>
      <c r="AN1705" s="17"/>
      <c r="AO1705" s="17"/>
      <c r="AP1705" s="28" t="str">
        <f t="shared" si="516"/>
        <v>CancelCANCEL</v>
      </c>
      <c r="AQ1705" s="28" t="str">
        <f t="shared" si="517"/>
        <v>CancelCANCELRMB</v>
      </c>
      <c r="AR1705" s="206" t="str">
        <f t="shared" si="518"/>
        <v>YAMAHA_Mounter</v>
      </c>
      <c r="AS1705" s="22" t="str">
        <f t="shared" si="519"/>
        <v/>
      </c>
      <c r="AT1705" s="24" t="str">
        <f t="shared" si="520"/>
        <v/>
      </c>
    </row>
    <row r="1706" spans="1:46" s="12" customFormat="1">
      <c r="A1706" s="33" t="str">
        <f t="shared" si="508"/>
        <v>FY 21/22</v>
      </c>
      <c r="B1706" s="152">
        <v>2021</v>
      </c>
      <c r="C1706" s="152">
        <v>4</v>
      </c>
      <c r="D1706" s="33" t="str">
        <f t="shared" si="509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510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511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4"/>
        <v>575000</v>
      </c>
      <c r="AA1706" s="13">
        <v>1.18</v>
      </c>
      <c r="AB1706" s="21">
        <f t="shared" si="512"/>
        <v>600442.47787610628</v>
      </c>
      <c r="AC1706" s="130">
        <f t="shared" si="513"/>
        <v>72053.097345132745</v>
      </c>
      <c r="AD1706" s="169">
        <v>0.12</v>
      </c>
      <c r="AE1706" s="154">
        <f t="shared" si="514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5"/>
        <v>477651199.57437885</v>
      </c>
      <c r="AJ1706" s="19">
        <f t="shared" si="506"/>
        <v>56918800.518691957</v>
      </c>
      <c r="AK1706" s="20">
        <f t="shared" si="515"/>
        <v>0.11916394341605475</v>
      </c>
      <c r="AL1706" s="17"/>
      <c r="AM1706" s="17"/>
      <c r="AN1706" s="17"/>
      <c r="AO1706" s="17"/>
      <c r="AP1706" s="28" t="str">
        <f t="shared" si="516"/>
        <v>CancelCANCEL</v>
      </c>
      <c r="AQ1706" s="28" t="str">
        <f t="shared" si="517"/>
        <v>CancelCANCELRMB</v>
      </c>
      <c r="AR1706" s="206" t="str">
        <f t="shared" si="518"/>
        <v>YAMAHA_Mounter</v>
      </c>
      <c r="AS1706" s="22" t="str">
        <f t="shared" si="519"/>
        <v/>
      </c>
      <c r="AT1706" s="24" t="str">
        <f t="shared" si="520"/>
        <v/>
      </c>
    </row>
    <row r="1707" spans="1:46" s="12" customFormat="1">
      <c r="A1707" s="33" t="str">
        <f t="shared" si="508"/>
        <v>FY 21/22</v>
      </c>
      <c r="B1707" s="152">
        <v>2021</v>
      </c>
      <c r="C1707" s="152">
        <v>4</v>
      </c>
      <c r="D1707" s="33" t="str">
        <f t="shared" si="509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510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511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4"/>
        <v>575000</v>
      </c>
      <c r="AA1707" s="13">
        <v>1.18</v>
      </c>
      <c r="AB1707" s="21">
        <f t="shared" si="512"/>
        <v>600442.47787610628</v>
      </c>
      <c r="AC1707" s="130">
        <f t="shared" si="513"/>
        <v>72053.097345132745</v>
      </c>
      <c r="AD1707" s="169">
        <v>0.12</v>
      </c>
      <c r="AE1707" s="154">
        <f t="shared" si="514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5"/>
        <v>477651199.57437885</v>
      </c>
      <c r="AJ1707" s="19">
        <f t="shared" si="506"/>
        <v>56918800.518691957</v>
      </c>
      <c r="AK1707" s="20">
        <f t="shared" si="515"/>
        <v>0.11916394341605475</v>
      </c>
      <c r="AL1707" s="17"/>
      <c r="AM1707" s="17"/>
      <c r="AN1707" s="17"/>
      <c r="AO1707" s="17"/>
      <c r="AP1707" s="28" t="str">
        <f t="shared" si="516"/>
        <v>CancelCANCEL</v>
      </c>
      <c r="AQ1707" s="28" t="str">
        <f t="shared" si="517"/>
        <v>CancelCANCELRMB</v>
      </c>
      <c r="AR1707" s="206" t="str">
        <f t="shared" si="518"/>
        <v>YAMAHA_Mounter</v>
      </c>
      <c r="AS1707" s="22" t="str">
        <f t="shared" si="519"/>
        <v/>
      </c>
      <c r="AT1707" s="24" t="str">
        <f t="shared" si="520"/>
        <v/>
      </c>
    </row>
    <row r="1708" spans="1:46" s="12" customFormat="1">
      <c r="A1708" s="33" t="str">
        <f t="shared" si="508"/>
        <v>FY 17/18</v>
      </c>
      <c r="B1708" s="152">
        <v>2018</v>
      </c>
      <c r="C1708" s="152">
        <v>1</v>
      </c>
      <c r="D1708" s="33" t="str">
        <f t="shared" si="509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510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511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4"/>
        <v>12042200</v>
      </c>
      <c r="AA1708" s="13">
        <v>7.3400000000000007E-2</v>
      </c>
      <c r="AB1708" s="21">
        <f t="shared" si="512"/>
        <v>883897.4800000001</v>
      </c>
      <c r="AC1708" s="130">
        <f t="shared" si="513"/>
        <v>104476.68213600002</v>
      </c>
      <c r="AD1708" s="169">
        <v>0.1182</v>
      </c>
      <c r="AE1708" s="154">
        <f t="shared" si="514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5"/>
        <v>34109166.105589926</v>
      </c>
      <c r="AJ1708" s="19">
        <f t="shared" si="506"/>
        <v>4642032.7199573703</v>
      </c>
      <c r="AK1708" s="20">
        <f t="shared" si="515"/>
        <v>0.13609340977692849</v>
      </c>
      <c r="AL1708" s="17"/>
      <c r="AM1708" s="17"/>
      <c r="AN1708" s="17"/>
      <c r="AO1708" s="17"/>
      <c r="AP1708" s="28" t="str">
        <f t="shared" si="516"/>
        <v>20185</v>
      </c>
      <c r="AQ1708" s="28" t="str">
        <f t="shared" si="517"/>
        <v>20185JPY</v>
      </c>
      <c r="AR1708" s="206" t="str">
        <f t="shared" si="518"/>
        <v>YAMAHA_Mounter</v>
      </c>
      <c r="AS1708" s="22">
        <f t="shared" si="519"/>
        <v>4</v>
      </c>
      <c r="AT1708" s="24" t="str">
        <f t="shared" si="520"/>
        <v>4-6 months</v>
      </c>
    </row>
    <row r="1709" spans="1:46" s="12" customFormat="1">
      <c r="A1709" s="33" t="str">
        <f t="shared" si="508"/>
        <v>FY 19/20</v>
      </c>
      <c r="B1709" s="152">
        <v>2019</v>
      </c>
      <c r="C1709" s="152">
        <v>11</v>
      </c>
      <c r="D1709" s="33" t="str">
        <f t="shared" si="509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510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511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4"/>
        <v>50000</v>
      </c>
      <c r="AA1709" s="13">
        <v>7.8</v>
      </c>
      <c r="AB1709" s="21">
        <f t="shared" si="512"/>
        <v>390000</v>
      </c>
      <c r="AC1709" s="130">
        <f t="shared" si="513"/>
        <v>92352</v>
      </c>
      <c r="AD1709" s="169">
        <v>0.23680000000000001</v>
      </c>
      <c r="AE1709" s="154">
        <f t="shared" si="514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5"/>
        <v>27318180.088495575</v>
      </c>
      <c r="AJ1709" s="19">
        <f t="shared" si="506"/>
        <v>3014099.212353982</v>
      </c>
      <c r="AK1709" s="20">
        <f t="shared" si="515"/>
        <v>0.11033308963444827</v>
      </c>
      <c r="AL1709" s="17"/>
      <c r="AM1709" s="17"/>
      <c r="AN1709" s="17"/>
      <c r="AO1709" s="17"/>
      <c r="AP1709" s="28" t="str">
        <f t="shared" si="516"/>
        <v>201912</v>
      </c>
      <c r="AQ1709" s="28" t="str">
        <f t="shared" si="517"/>
        <v>201912USD</v>
      </c>
      <c r="AR1709" s="206" t="str">
        <f t="shared" si="518"/>
        <v>HELLER</v>
      </c>
      <c r="AS1709" s="22">
        <f t="shared" si="519"/>
        <v>1</v>
      </c>
      <c r="AT1709" s="24" t="str">
        <f t="shared" si="520"/>
        <v>0-3 months</v>
      </c>
    </row>
    <row r="1710" spans="1:46" s="12" customFormat="1">
      <c r="A1710" s="33" t="str">
        <f t="shared" si="508"/>
        <v>FY 20/21</v>
      </c>
      <c r="B1710" s="152">
        <v>2020</v>
      </c>
      <c r="C1710" s="152">
        <v>7</v>
      </c>
      <c r="D1710" s="33" t="str">
        <f t="shared" si="509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510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511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4"/>
        <v>59000</v>
      </c>
      <c r="AA1710" s="13">
        <v>7.8</v>
      </c>
      <c r="AB1710" s="21">
        <f t="shared" si="512"/>
        <v>460200</v>
      </c>
      <c r="AC1710" s="130">
        <f t="shared" si="513"/>
        <v>83802.42</v>
      </c>
      <c r="AD1710" s="169">
        <v>0.18210000000000001</v>
      </c>
      <c r="AE1710" s="154">
        <f t="shared" si="514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5"/>
        <v>37969334.083628319</v>
      </c>
      <c r="AJ1710" s="19">
        <f t="shared" si="506"/>
        <v>5097226.4551657084</v>
      </c>
      <c r="AK1710" s="20">
        <f t="shared" si="515"/>
        <v>0.13424587441904964</v>
      </c>
      <c r="AL1710" s="17"/>
      <c r="AM1710" s="17"/>
      <c r="AN1710" s="17"/>
      <c r="AO1710" s="17"/>
      <c r="AP1710" s="28" t="str">
        <f t="shared" si="516"/>
        <v>20208</v>
      </c>
      <c r="AQ1710" s="28" t="str">
        <f t="shared" si="517"/>
        <v>20208USD</v>
      </c>
      <c r="AR1710" s="206" t="str">
        <f t="shared" si="518"/>
        <v>LOCAL SUPPLIER</v>
      </c>
      <c r="AS1710" s="22">
        <f t="shared" si="519"/>
        <v>1</v>
      </c>
      <c r="AT1710" s="24" t="str">
        <f t="shared" si="520"/>
        <v>0-3 months</v>
      </c>
    </row>
    <row r="1711" spans="1:46" s="12" customFormat="1">
      <c r="A1711" s="33" t="str">
        <f t="shared" si="508"/>
        <v>FY 20/21</v>
      </c>
      <c r="B1711" s="152">
        <v>2021</v>
      </c>
      <c r="C1711" s="152">
        <v>3</v>
      </c>
      <c r="D1711" s="33" t="str">
        <f t="shared" si="509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510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511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4"/>
        <v>48000</v>
      </c>
      <c r="AA1711" s="13">
        <v>7.8</v>
      </c>
      <c r="AB1711" s="21">
        <f t="shared" si="512"/>
        <v>374400</v>
      </c>
      <c r="AC1711" s="130">
        <f t="shared" si="513"/>
        <v>88283.520000000004</v>
      </c>
      <c r="AD1711" s="169">
        <v>0.23580000000000001</v>
      </c>
      <c r="AE1711" s="154">
        <f t="shared" si="514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5"/>
        <v>63006605.696460173</v>
      </c>
      <c r="AJ1711" s="19">
        <f t="shared" si="506"/>
        <v>8897485.660753984</v>
      </c>
      <c r="AK1711" s="20">
        <f t="shared" si="515"/>
        <v>0.141215124388995</v>
      </c>
      <c r="AL1711" s="17"/>
      <c r="AM1711" s="17"/>
      <c r="AN1711" s="17"/>
      <c r="AO1711" s="17"/>
      <c r="AP1711" s="28" t="str">
        <f t="shared" si="516"/>
        <v>20215</v>
      </c>
      <c r="AQ1711" s="28" t="str">
        <f t="shared" si="517"/>
        <v>20215USD</v>
      </c>
      <c r="AR1711" s="206" t="str">
        <f t="shared" si="518"/>
        <v>HELLER</v>
      </c>
      <c r="AS1711" s="22">
        <f t="shared" si="519"/>
        <v>2</v>
      </c>
      <c r="AT1711" s="24" t="str">
        <f t="shared" si="520"/>
        <v>0-3 months</v>
      </c>
    </row>
    <row r="1712" spans="1:46" s="12" customFormat="1">
      <c r="A1712" s="33" t="str">
        <f t="shared" si="508"/>
        <v>FY 22/23</v>
      </c>
      <c r="B1712" s="152">
        <v>2023</v>
      </c>
      <c r="C1712" s="152">
        <v>1</v>
      </c>
      <c r="D1712" s="33" t="str">
        <f t="shared" si="509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510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511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4"/>
        <v>50000</v>
      </c>
      <c r="AA1712" s="13">
        <v>7.8</v>
      </c>
      <c r="AB1712" s="21">
        <f t="shared" si="512"/>
        <v>390000</v>
      </c>
      <c r="AC1712" s="130">
        <f t="shared" si="513"/>
        <v>63335.999999999993</v>
      </c>
      <c r="AD1712" s="169">
        <v>0.16239999999999999</v>
      </c>
      <c r="AE1712" s="154">
        <f t="shared" si="514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5"/>
        <v>30573205.452778768</v>
      </c>
      <c r="AJ1712" s="19">
        <f t="shared" si="506"/>
        <v>3790930.1683151261</v>
      </c>
      <c r="AK1712" s="20">
        <f t="shared" si="515"/>
        <v>0.12399518179964254</v>
      </c>
      <c r="AL1712" s="17"/>
      <c r="AM1712" s="17"/>
      <c r="AN1712" s="17"/>
      <c r="AO1712" s="17"/>
      <c r="AP1712" s="28" t="str">
        <f t="shared" si="516"/>
        <v>20234</v>
      </c>
      <c r="AQ1712" s="28" t="str">
        <f t="shared" si="517"/>
        <v>20234USD</v>
      </c>
      <c r="AR1712" s="206" t="str">
        <f t="shared" si="518"/>
        <v>HELLER</v>
      </c>
      <c r="AS1712" s="22">
        <f t="shared" si="519"/>
        <v>3</v>
      </c>
      <c r="AT1712" s="24" t="str">
        <f t="shared" si="520"/>
        <v>0-3 months</v>
      </c>
    </row>
    <row r="1713" spans="1:46" s="12" customFormat="1">
      <c r="A1713" s="33" t="str">
        <f t="shared" si="508"/>
        <v>FY 22/23</v>
      </c>
      <c r="B1713" s="152">
        <v>2023</v>
      </c>
      <c r="C1713" s="152">
        <v>1</v>
      </c>
      <c r="D1713" s="33" t="str">
        <f t="shared" si="509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510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511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4"/>
        <v>50000</v>
      </c>
      <c r="AA1713" s="13">
        <v>7.8</v>
      </c>
      <c r="AB1713" s="21">
        <f t="shared" si="512"/>
        <v>390000</v>
      </c>
      <c r="AC1713" s="130">
        <f t="shared" si="513"/>
        <v>63335.999999999993</v>
      </c>
      <c r="AD1713" s="169">
        <v>0.16239999999999999</v>
      </c>
      <c r="AE1713" s="154">
        <f t="shared" si="514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5"/>
        <v>15951056.41591504</v>
      </c>
      <c r="AJ1713" s="19">
        <f t="shared" si="506"/>
        <v>1966354.6022462982</v>
      </c>
      <c r="AK1713" s="20">
        <f t="shared" si="515"/>
        <v>0.12327425538313459</v>
      </c>
      <c r="AL1713" s="17"/>
      <c r="AM1713" s="17"/>
      <c r="AN1713" s="17"/>
      <c r="AO1713" s="17"/>
      <c r="AP1713" s="28" t="str">
        <f t="shared" si="516"/>
        <v>20237</v>
      </c>
      <c r="AQ1713" s="28" t="str">
        <f t="shared" si="517"/>
        <v>20237USD</v>
      </c>
      <c r="AR1713" s="206" t="str">
        <f t="shared" si="518"/>
        <v>HELLER</v>
      </c>
      <c r="AS1713" s="22">
        <f t="shared" si="519"/>
        <v>6</v>
      </c>
      <c r="AT1713" s="24" t="str">
        <f t="shared" si="520"/>
        <v>4-6 months</v>
      </c>
    </row>
    <row r="1714" spans="1:46" s="12" customFormat="1">
      <c r="A1714" s="33" t="str">
        <f t="shared" si="508"/>
        <v>FY 22/23</v>
      </c>
      <c r="B1714" s="152">
        <v>2023</v>
      </c>
      <c r="C1714" s="152">
        <v>1</v>
      </c>
      <c r="D1714" s="33" t="str">
        <f t="shared" si="509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510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511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4"/>
        <v>50000</v>
      </c>
      <c r="AA1714" s="13">
        <v>7.8</v>
      </c>
      <c r="AB1714" s="21">
        <f t="shared" si="512"/>
        <v>390000</v>
      </c>
      <c r="AC1714" s="130">
        <f t="shared" si="513"/>
        <v>63335.999999999993</v>
      </c>
      <c r="AD1714" s="169">
        <v>0.16239999999999999</v>
      </c>
      <c r="AE1714" s="154">
        <f t="shared" si="514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5"/>
        <v>15951056.41591504</v>
      </c>
      <c r="AJ1714" s="19">
        <f t="shared" si="506"/>
        <v>1966354.6022462982</v>
      </c>
      <c r="AK1714" s="20">
        <f t="shared" si="515"/>
        <v>0.12327425538313459</v>
      </c>
      <c r="AL1714" s="17"/>
      <c r="AM1714" s="17"/>
      <c r="AN1714" s="17"/>
      <c r="AO1714" s="17"/>
      <c r="AP1714" s="28" t="str">
        <f t="shared" si="516"/>
        <v>20237</v>
      </c>
      <c r="AQ1714" s="28" t="str">
        <f t="shared" si="517"/>
        <v>20237USD</v>
      </c>
      <c r="AR1714" s="206" t="str">
        <f t="shared" si="518"/>
        <v>HELLER</v>
      </c>
      <c r="AS1714" s="22">
        <f t="shared" si="519"/>
        <v>6</v>
      </c>
      <c r="AT1714" s="24" t="str">
        <f t="shared" si="520"/>
        <v>4-6 months</v>
      </c>
    </row>
    <row r="1715" spans="1:46" s="12" customFormat="1">
      <c r="A1715" s="33" t="str">
        <f t="shared" si="508"/>
        <v>FY 18/19</v>
      </c>
      <c r="B1715" s="152">
        <v>2019</v>
      </c>
      <c r="C1715" s="152">
        <v>1</v>
      </c>
      <c r="D1715" s="33" t="str">
        <f t="shared" si="509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510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511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4"/>
        <v>9350000</v>
      </c>
      <c r="AA1715" s="13">
        <v>7.3499999999999996E-2</v>
      </c>
      <c r="AB1715" s="21">
        <f t="shared" si="512"/>
        <v>687225</v>
      </c>
      <c r="AC1715" s="130">
        <f t="shared" si="513"/>
        <v>89682.862500000003</v>
      </c>
      <c r="AD1715" s="169">
        <v>0.1305</v>
      </c>
      <c r="AE1715" s="154">
        <f t="shared" si="514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5"/>
        <v>16455710.386637932</v>
      </c>
      <c r="AJ1715" s="19">
        <f t="shared" si="506"/>
        <v>2150644.6466930606</v>
      </c>
      <c r="AK1715" s="20">
        <f t="shared" si="515"/>
        <v>0.13069290818580451</v>
      </c>
      <c r="AL1715" s="17"/>
      <c r="AM1715" s="17"/>
      <c r="AN1715" s="17"/>
      <c r="AO1715" s="17"/>
      <c r="AP1715" s="28" t="str">
        <f t="shared" si="516"/>
        <v>20192</v>
      </c>
      <c r="AQ1715" s="28" t="str">
        <f t="shared" si="517"/>
        <v>20192JPY</v>
      </c>
      <c r="AR1715" s="206" t="str">
        <f t="shared" si="518"/>
        <v>YAMAHA_Mounter</v>
      </c>
      <c r="AS1715" s="22">
        <f t="shared" si="519"/>
        <v>1</v>
      </c>
      <c r="AT1715" s="24" t="str">
        <f t="shared" si="520"/>
        <v>0-3 months</v>
      </c>
    </row>
    <row r="1716" spans="1:46" s="12" customFormat="1">
      <c r="A1716" s="33" t="str">
        <f t="shared" si="508"/>
        <v>FY 18/19</v>
      </c>
      <c r="B1716" s="152">
        <v>2019</v>
      </c>
      <c r="C1716" s="152">
        <v>1</v>
      </c>
      <c r="D1716" s="33" t="str">
        <f t="shared" si="509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510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511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4"/>
        <v>9350000</v>
      </c>
      <c r="AA1716" s="13">
        <v>7.3499999999999996E-2</v>
      </c>
      <c r="AB1716" s="21">
        <f t="shared" si="512"/>
        <v>687225</v>
      </c>
      <c r="AC1716" s="130">
        <f t="shared" si="513"/>
        <v>89682.862500000003</v>
      </c>
      <c r="AD1716" s="169">
        <v>0.1305</v>
      </c>
      <c r="AE1716" s="154">
        <f t="shared" si="514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5"/>
        <v>16455710.386637932</v>
      </c>
      <c r="AJ1716" s="19">
        <f t="shared" si="506"/>
        <v>2150644.6466930606</v>
      </c>
      <c r="AK1716" s="20">
        <f t="shared" si="515"/>
        <v>0.13069290818580451</v>
      </c>
      <c r="AL1716" s="17"/>
      <c r="AM1716" s="17"/>
      <c r="AN1716" s="17"/>
      <c r="AO1716" s="17"/>
      <c r="AP1716" s="28" t="str">
        <f t="shared" si="516"/>
        <v>20192</v>
      </c>
      <c r="AQ1716" s="28" t="str">
        <f t="shared" si="517"/>
        <v>20192JPY</v>
      </c>
      <c r="AR1716" s="206" t="str">
        <f t="shared" si="518"/>
        <v>YAMAHA_Mounter</v>
      </c>
      <c r="AS1716" s="22">
        <f t="shared" si="519"/>
        <v>1</v>
      </c>
      <c r="AT1716" s="24" t="str">
        <f t="shared" si="520"/>
        <v>0-3 months</v>
      </c>
    </row>
    <row r="1717" spans="1:46" s="12" customFormat="1">
      <c r="A1717" s="33" t="str">
        <f t="shared" si="508"/>
        <v>cancel</v>
      </c>
      <c r="B1717" s="152"/>
      <c r="C1717" s="152" t="s">
        <v>186</v>
      </c>
      <c r="D1717" s="33" t="str">
        <f t="shared" si="509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510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511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4"/>
        <v>9350000</v>
      </c>
      <c r="AA1717" s="13">
        <v>7.2300000000000003E-2</v>
      </c>
      <c r="AB1717" s="21">
        <f t="shared" si="512"/>
        <v>676005</v>
      </c>
      <c r="AC1717" s="130">
        <f t="shared" si="513"/>
        <v>81120.599999999991</v>
      </c>
      <c r="AD1717" s="169">
        <v>0.12</v>
      </c>
      <c r="AE1717" s="154">
        <f t="shared" si="514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5"/>
        <v>477651199.57437885</v>
      </c>
      <c r="AJ1717" s="19">
        <f t="shared" si="506"/>
        <v>56918800.518691957</v>
      </c>
      <c r="AK1717" s="20">
        <f t="shared" si="515"/>
        <v>0.11916394341605475</v>
      </c>
      <c r="AL1717" s="17"/>
      <c r="AM1717" s="17"/>
      <c r="AN1717" s="17"/>
      <c r="AO1717" s="17"/>
      <c r="AP1717" s="28" t="str">
        <f t="shared" si="516"/>
        <v>CancelCancel</v>
      </c>
      <c r="AQ1717" s="28" t="str">
        <f t="shared" si="517"/>
        <v>CancelCancelJPY</v>
      </c>
      <c r="AR1717" s="206" t="str">
        <f t="shared" si="518"/>
        <v>YAMAHA_Mounter</v>
      </c>
      <c r="AS1717" s="22" t="str">
        <f t="shared" si="519"/>
        <v/>
      </c>
      <c r="AT1717" s="24" t="str">
        <f t="shared" si="520"/>
        <v/>
      </c>
    </row>
    <row r="1718" spans="1:46" s="12" customFormat="1">
      <c r="A1718" s="33" t="str">
        <f t="shared" si="508"/>
        <v>cancel</v>
      </c>
      <c r="B1718" s="152"/>
      <c r="C1718" s="152" t="s">
        <v>186</v>
      </c>
      <c r="D1718" s="33" t="str">
        <f t="shared" si="509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510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511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4"/>
        <v>9350000</v>
      </c>
      <c r="AA1718" s="13">
        <v>7.2300000000000003E-2</v>
      </c>
      <c r="AB1718" s="21">
        <f t="shared" si="512"/>
        <v>676005</v>
      </c>
      <c r="AC1718" s="130">
        <f t="shared" si="513"/>
        <v>81120.599999999991</v>
      </c>
      <c r="AD1718" s="169">
        <v>0.12</v>
      </c>
      <c r="AE1718" s="154">
        <f t="shared" si="514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5"/>
        <v>477651199.57437885</v>
      </c>
      <c r="AJ1718" s="19">
        <f t="shared" si="506"/>
        <v>56918800.518691957</v>
      </c>
      <c r="AK1718" s="20">
        <f t="shared" si="515"/>
        <v>0.11916394341605475</v>
      </c>
      <c r="AL1718" s="17"/>
      <c r="AM1718" s="17"/>
      <c r="AN1718" s="17"/>
      <c r="AO1718" s="17"/>
      <c r="AP1718" s="28" t="str">
        <f t="shared" si="516"/>
        <v>CancelCancel</v>
      </c>
      <c r="AQ1718" s="28" t="str">
        <f t="shared" si="517"/>
        <v>CancelCancelJPY</v>
      </c>
      <c r="AR1718" s="206" t="str">
        <f t="shared" si="518"/>
        <v>YAMAHA_Mounter</v>
      </c>
      <c r="AS1718" s="22" t="str">
        <f t="shared" si="519"/>
        <v/>
      </c>
      <c r="AT1718" s="24" t="str">
        <f t="shared" si="520"/>
        <v/>
      </c>
    </row>
    <row r="1719" spans="1:46" s="12" customFormat="1">
      <c r="A1719" s="33" t="str">
        <f t="shared" si="508"/>
        <v>cancel</v>
      </c>
      <c r="B1719" s="152"/>
      <c r="C1719" s="152" t="s">
        <v>186</v>
      </c>
      <c r="D1719" s="33" t="str">
        <f t="shared" si="509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510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511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4"/>
        <v>9350000</v>
      </c>
      <c r="AA1719" s="13">
        <v>7.2300000000000003E-2</v>
      </c>
      <c r="AB1719" s="21">
        <f t="shared" si="512"/>
        <v>676005</v>
      </c>
      <c r="AC1719" s="130">
        <f t="shared" si="513"/>
        <v>81120.599999999991</v>
      </c>
      <c r="AD1719" s="169">
        <v>0.12</v>
      </c>
      <c r="AE1719" s="154">
        <f t="shared" si="514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5"/>
        <v>477651199.57437885</v>
      </c>
      <c r="AJ1719" s="19">
        <f t="shared" si="506"/>
        <v>56918800.518691957</v>
      </c>
      <c r="AK1719" s="20">
        <f t="shared" si="515"/>
        <v>0.11916394341605475</v>
      </c>
      <c r="AL1719" s="17"/>
      <c r="AM1719" s="17"/>
      <c r="AN1719" s="17"/>
      <c r="AO1719" s="17"/>
      <c r="AP1719" s="28" t="str">
        <f t="shared" si="516"/>
        <v>CancelCancel</v>
      </c>
      <c r="AQ1719" s="28" t="str">
        <f t="shared" si="517"/>
        <v>CancelCancelJPY</v>
      </c>
      <c r="AR1719" s="206" t="str">
        <f t="shared" si="518"/>
        <v>YAMAHA_Mounter</v>
      </c>
      <c r="AS1719" s="22" t="str">
        <f t="shared" si="519"/>
        <v/>
      </c>
      <c r="AT1719" s="24" t="str">
        <f t="shared" si="520"/>
        <v/>
      </c>
    </row>
    <row r="1720" spans="1:46" s="12" customFormat="1">
      <c r="A1720" s="33" t="str">
        <f t="shared" si="508"/>
        <v>cancel</v>
      </c>
      <c r="B1720" s="152"/>
      <c r="C1720" s="152" t="s">
        <v>186</v>
      </c>
      <c r="D1720" s="33" t="str">
        <f t="shared" si="509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510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511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4"/>
        <v>9350000</v>
      </c>
      <c r="AA1720" s="13">
        <v>7.2300000000000003E-2</v>
      </c>
      <c r="AB1720" s="21">
        <f t="shared" si="512"/>
        <v>676005</v>
      </c>
      <c r="AC1720" s="130">
        <f t="shared" si="513"/>
        <v>81120.599999999991</v>
      </c>
      <c r="AD1720" s="169">
        <v>0.12</v>
      </c>
      <c r="AE1720" s="154">
        <f t="shared" si="514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5"/>
        <v>477651199.57437885</v>
      </c>
      <c r="AJ1720" s="19">
        <f t="shared" si="506"/>
        <v>56918800.518691957</v>
      </c>
      <c r="AK1720" s="20">
        <f t="shared" si="515"/>
        <v>0.11916394341605475</v>
      </c>
      <c r="AL1720" s="17"/>
      <c r="AM1720" s="17"/>
      <c r="AN1720" s="17"/>
      <c r="AO1720" s="17"/>
      <c r="AP1720" s="28" t="str">
        <f t="shared" si="516"/>
        <v>CancelCancel</v>
      </c>
      <c r="AQ1720" s="28" t="str">
        <f t="shared" si="517"/>
        <v>CancelCancelJPY</v>
      </c>
      <c r="AR1720" s="206" t="str">
        <f t="shared" si="518"/>
        <v>YAMAHA_Mounter</v>
      </c>
      <c r="AS1720" s="22" t="str">
        <f t="shared" si="519"/>
        <v/>
      </c>
      <c r="AT1720" s="24" t="str">
        <f t="shared" si="520"/>
        <v/>
      </c>
    </row>
    <row r="1721" spans="1:46" s="12" customFormat="1">
      <c r="A1721" s="33" t="str">
        <f t="shared" si="508"/>
        <v>cancel</v>
      </c>
      <c r="B1721" s="152"/>
      <c r="C1721" s="152" t="s">
        <v>186</v>
      </c>
      <c r="D1721" s="33" t="str">
        <f t="shared" si="509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510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511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4"/>
        <v>9350000</v>
      </c>
      <c r="AA1721" s="13">
        <v>7.2300000000000003E-2</v>
      </c>
      <c r="AB1721" s="21">
        <f t="shared" si="512"/>
        <v>676005</v>
      </c>
      <c r="AC1721" s="130">
        <f t="shared" si="513"/>
        <v>81120.599999999991</v>
      </c>
      <c r="AD1721" s="169">
        <v>0.12</v>
      </c>
      <c r="AE1721" s="154">
        <f t="shared" si="514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5"/>
        <v>477651199.57437885</v>
      </c>
      <c r="AJ1721" s="19">
        <f t="shared" si="506"/>
        <v>56918800.518691957</v>
      </c>
      <c r="AK1721" s="20">
        <f t="shared" si="515"/>
        <v>0.11916394341605475</v>
      </c>
      <c r="AL1721" s="17"/>
      <c r="AM1721" s="17"/>
      <c r="AN1721" s="17"/>
      <c r="AO1721" s="17"/>
      <c r="AP1721" s="28" t="str">
        <f t="shared" si="516"/>
        <v>CancelCancel</v>
      </c>
      <c r="AQ1721" s="28" t="str">
        <f t="shared" si="517"/>
        <v>CancelCancelJPY</v>
      </c>
      <c r="AR1721" s="206" t="str">
        <f t="shared" si="518"/>
        <v>YAMAHA_Mounter</v>
      </c>
      <c r="AS1721" s="22" t="str">
        <f t="shared" si="519"/>
        <v/>
      </c>
      <c r="AT1721" s="24" t="str">
        <f t="shared" si="520"/>
        <v/>
      </c>
    </row>
    <row r="1722" spans="1:46" s="12" customFormat="1">
      <c r="A1722" s="33" t="str">
        <f t="shared" si="508"/>
        <v>cancel</v>
      </c>
      <c r="B1722" s="152"/>
      <c r="C1722" s="152" t="s">
        <v>186</v>
      </c>
      <c r="D1722" s="33" t="str">
        <f t="shared" si="509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510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511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4"/>
        <v>9350000</v>
      </c>
      <c r="AA1722" s="13">
        <v>7.2300000000000003E-2</v>
      </c>
      <c r="AB1722" s="21">
        <f t="shared" si="512"/>
        <v>676005</v>
      </c>
      <c r="AC1722" s="130">
        <f t="shared" si="513"/>
        <v>81120.599999999991</v>
      </c>
      <c r="AD1722" s="169">
        <v>0.12</v>
      </c>
      <c r="AE1722" s="154">
        <f t="shared" si="514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5"/>
        <v>477651199.57437885</v>
      </c>
      <c r="AJ1722" s="19">
        <f t="shared" si="506"/>
        <v>56918800.518691957</v>
      </c>
      <c r="AK1722" s="20">
        <f t="shared" si="515"/>
        <v>0.11916394341605475</v>
      </c>
      <c r="AL1722" s="17"/>
      <c r="AM1722" s="17"/>
      <c r="AN1722" s="17"/>
      <c r="AO1722" s="17"/>
      <c r="AP1722" s="28" t="str">
        <f t="shared" si="516"/>
        <v>CancelCancel</v>
      </c>
      <c r="AQ1722" s="28" t="str">
        <f t="shared" si="517"/>
        <v>CancelCancelJPY</v>
      </c>
      <c r="AR1722" s="206" t="str">
        <f t="shared" si="518"/>
        <v>YAMAHA_Mounter</v>
      </c>
      <c r="AS1722" s="22" t="str">
        <f t="shared" si="519"/>
        <v/>
      </c>
      <c r="AT1722" s="24" t="str">
        <f t="shared" si="520"/>
        <v/>
      </c>
    </row>
    <row r="1723" spans="1:46" s="12" customFormat="1">
      <c r="A1723" s="33" t="str">
        <f t="shared" si="508"/>
        <v>FY 18/19</v>
      </c>
      <c r="B1723" s="152">
        <v>2019</v>
      </c>
      <c r="C1723" s="152">
        <v>1</v>
      </c>
      <c r="D1723" s="33" t="str">
        <f t="shared" si="509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510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511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4"/>
        <v>260000</v>
      </c>
      <c r="AA1723" s="13">
        <v>1.1499999999999999</v>
      </c>
      <c r="AB1723" s="21">
        <f t="shared" si="512"/>
        <v>257758.62068965519</v>
      </c>
      <c r="AC1723" s="130">
        <f t="shared" si="513"/>
        <v>28456.551724137931</v>
      </c>
      <c r="AD1723" s="169">
        <v>0.1104</v>
      </c>
      <c r="AE1723" s="154">
        <f t="shared" si="514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5"/>
        <v>16455710.386637932</v>
      </c>
      <c r="AJ1723" s="19">
        <f t="shared" si="506"/>
        <v>2150644.6466930606</v>
      </c>
      <c r="AK1723" s="20">
        <f t="shared" si="515"/>
        <v>0.13069290818580451</v>
      </c>
      <c r="AL1723" s="17"/>
      <c r="AM1723" s="17"/>
      <c r="AN1723" s="17"/>
      <c r="AO1723" s="17"/>
      <c r="AP1723" s="28" t="str">
        <f t="shared" si="516"/>
        <v>20192</v>
      </c>
      <c r="AQ1723" s="28" t="str">
        <f t="shared" si="517"/>
        <v>20192RMB</v>
      </c>
      <c r="AR1723" s="206" t="str">
        <f t="shared" si="518"/>
        <v>HELLER</v>
      </c>
      <c r="AS1723" s="22">
        <f t="shared" si="519"/>
        <v>1</v>
      </c>
      <c r="AT1723" s="24" t="str">
        <f t="shared" si="520"/>
        <v>0-3 months</v>
      </c>
    </row>
    <row r="1724" spans="1:46" s="12" customFormat="1">
      <c r="A1724" s="33" t="str">
        <f t="shared" si="508"/>
        <v>FY 24/25</v>
      </c>
      <c r="B1724" s="23">
        <v>2024</v>
      </c>
      <c r="C1724" s="152">
        <v>4</v>
      </c>
      <c r="D1724" s="33" t="str">
        <f t="shared" si="509"/>
        <v>Q1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7</v>
      </c>
      <c r="H1724" s="29"/>
      <c r="I1724" s="33" t="str">
        <f t="shared" si="510"/>
        <v>Q2</v>
      </c>
      <c r="J1724" s="188" t="s">
        <v>3375</v>
      </c>
      <c r="K1724" s="29" t="s">
        <v>3376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511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8430000</v>
      </c>
      <c r="Y1724" s="31" t="str">
        <f>IF(W1724="","",IF(W1724="RMB","1.13", "1"))</f>
        <v>1</v>
      </c>
      <c r="Z1724" s="18">
        <f t="shared" ref="Z1724:Z1787" si="521">IF(X1724="","",X1724*MAX(O1724,N1724))</f>
        <v>8430000</v>
      </c>
      <c r="AA1724" s="13">
        <v>4.9500000000000002E-2</v>
      </c>
      <c r="AB1724" s="21">
        <f t="shared" si="512"/>
        <v>417285</v>
      </c>
      <c r="AC1724" s="25">
        <f t="shared" si="513"/>
        <v>65263.374000000003</v>
      </c>
      <c r="AD1724" s="169">
        <v>0.15640000000000001</v>
      </c>
      <c r="AE1724" s="26">
        <f t="shared" si="514"/>
        <v>0</v>
      </c>
      <c r="AF1724" s="26" t="str">
        <f>IF(AND(COUNTIFS($J$18:J1724,J1724)=1,AE1724=1),1,"")</f>
        <v/>
      </c>
      <c r="AG1724" s="26">
        <f>IF(C1724="","",IF(AND(COUNTIFS($J$18:J1724,J1724)=1,C1724&lt;&gt;""),1,""))</f>
        <v>1</v>
      </c>
      <c r="AH1724" s="26">
        <f>IF(G1724="","",IF(AND(COUNTIFS($J$18:J1724,J1724)=1,G1724&lt;&gt;""),1,""))</f>
        <v>1</v>
      </c>
      <c r="AI1724" s="27">
        <f t="shared" si="505"/>
        <v>25458266.694690265</v>
      </c>
      <c r="AJ1724" s="27">
        <f t="shared" si="506"/>
        <v>4116526.778578762</v>
      </c>
      <c r="AK1724" s="28">
        <f t="shared" si="515"/>
        <v>0.16169705612508689</v>
      </c>
      <c r="AL1724" s="24"/>
      <c r="AM1724" s="24"/>
      <c r="AN1724" s="24"/>
      <c r="AO1724" s="24"/>
      <c r="AP1724" s="28" t="str">
        <f t="shared" si="516"/>
        <v>20247</v>
      </c>
      <c r="AQ1724" s="28" t="str">
        <f t="shared" si="517"/>
        <v>20247JPY</v>
      </c>
      <c r="AR1724" s="206" t="str">
        <f t="shared" si="518"/>
        <v>YAMAHA_Mounter</v>
      </c>
      <c r="AS1724" s="22">
        <f t="shared" si="519"/>
        <v>3</v>
      </c>
      <c r="AT1724" s="24" t="str">
        <f t="shared" si="520"/>
        <v>0-3 months</v>
      </c>
    </row>
    <row r="1725" spans="1:46" s="12" customFormat="1">
      <c r="A1725" s="33" t="str">
        <f t="shared" si="508"/>
        <v>FY 24/25</v>
      </c>
      <c r="B1725" s="23">
        <v>2024</v>
      </c>
      <c r="C1725" s="152">
        <v>4</v>
      </c>
      <c r="D1725" s="33" t="str">
        <f t="shared" si="509"/>
        <v>Q1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7</v>
      </c>
      <c r="H1725" s="29"/>
      <c r="I1725" s="33" t="str">
        <f t="shared" si="510"/>
        <v>Q2</v>
      </c>
      <c r="J1725" s="188" t="s">
        <v>3375</v>
      </c>
      <c r="K1725" s="29" t="s">
        <v>3376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511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8430000</v>
      </c>
      <c r="Y1725" s="31" t="str">
        <f>IF(W1725="","",IF(W1725="RMB","1.13", "1"))</f>
        <v>1</v>
      </c>
      <c r="Z1725" s="18">
        <f t="shared" si="521"/>
        <v>8430000</v>
      </c>
      <c r="AA1725" s="13">
        <v>4.9500000000000002E-2</v>
      </c>
      <c r="AB1725" s="21">
        <f t="shared" si="512"/>
        <v>417285</v>
      </c>
      <c r="AC1725" s="25">
        <f t="shared" si="513"/>
        <v>65263.374000000003</v>
      </c>
      <c r="AD1725" s="169">
        <v>0.15640000000000001</v>
      </c>
      <c r="AE1725" s="26">
        <f t="shared" si="514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5"/>
        <v>25458266.694690265</v>
      </c>
      <c r="AJ1725" s="27">
        <f t="shared" si="506"/>
        <v>4116526.778578762</v>
      </c>
      <c r="AK1725" s="28">
        <f t="shared" si="515"/>
        <v>0.16169705612508689</v>
      </c>
      <c r="AL1725" s="24"/>
      <c r="AM1725" s="24"/>
      <c r="AN1725" s="24"/>
      <c r="AO1725" s="24"/>
      <c r="AP1725" s="28" t="str">
        <f t="shared" si="516"/>
        <v>20247</v>
      </c>
      <c r="AQ1725" s="28" t="str">
        <f t="shared" si="517"/>
        <v>20247JPY</v>
      </c>
      <c r="AR1725" s="206" t="str">
        <f t="shared" si="518"/>
        <v>YAMAHA_Mounter</v>
      </c>
      <c r="AS1725" s="22">
        <f t="shared" si="519"/>
        <v>3</v>
      </c>
      <c r="AT1725" s="24" t="str">
        <f t="shared" si="520"/>
        <v>0-3 months</v>
      </c>
    </row>
    <row r="1726" spans="1:46" s="12" customFormat="1">
      <c r="A1726" s="33" t="str">
        <f t="shared" si="508"/>
        <v>FY 24/25</v>
      </c>
      <c r="B1726" s="23">
        <v>2024</v>
      </c>
      <c r="C1726" s="152">
        <v>5</v>
      </c>
      <c r="D1726" s="202" t="str">
        <f t="shared" si="509"/>
        <v>Q1</v>
      </c>
      <c r="E1726" s="33" t="s">
        <v>3173</v>
      </c>
      <c r="F1726" s="152">
        <v>2024</v>
      </c>
      <c r="G1726" s="23">
        <v>7</v>
      </c>
      <c r="H1726" s="29"/>
      <c r="I1726" s="202" t="str">
        <f t="shared" si="510"/>
        <v>Q2</v>
      </c>
      <c r="J1726" s="188" t="s">
        <v>3462</v>
      </c>
      <c r="K1726" s="29" t="s">
        <v>1759</v>
      </c>
      <c r="L1726" s="17" t="s">
        <v>2621</v>
      </c>
      <c r="M1726" s="22" t="s">
        <v>61</v>
      </c>
      <c r="N1726" s="22">
        <v>1</v>
      </c>
      <c r="O1726" s="22"/>
      <c r="P1726" s="33" t="str">
        <f t="shared" si="511"/>
        <v>MAIN UNIT</v>
      </c>
      <c r="Q1726" s="22" t="s">
        <v>62</v>
      </c>
      <c r="R1726" s="22" t="s">
        <v>2056</v>
      </c>
      <c r="S1726" s="22" t="s">
        <v>51</v>
      </c>
      <c r="T1726" s="22" t="s">
        <v>102</v>
      </c>
      <c r="U1726" s="22" t="s">
        <v>71</v>
      </c>
      <c r="V1726" s="22" t="s">
        <v>103</v>
      </c>
      <c r="W1726" s="22" t="s">
        <v>65</v>
      </c>
      <c r="X1726" s="104">
        <v>330000</v>
      </c>
      <c r="Y1726" s="195" t="str">
        <f>IF(W1726="","",IF(W1726="RMB","1.13", "1"))</f>
        <v>1.13</v>
      </c>
      <c r="Z1726" s="196">
        <f t="shared" si="521"/>
        <v>330000</v>
      </c>
      <c r="AA1726" s="22">
        <v>1.075</v>
      </c>
      <c r="AB1726" s="197">
        <f t="shared" si="512"/>
        <v>313938.05309734517</v>
      </c>
      <c r="AC1726" s="198">
        <f t="shared" si="513"/>
        <v>52019.535398230088</v>
      </c>
      <c r="AD1726" s="169">
        <v>0.16569999999999999</v>
      </c>
      <c r="AE1726" s="199">
        <f t="shared" si="514"/>
        <v>0</v>
      </c>
      <c r="AF1726" s="199" t="str">
        <f>IF(AND(COUNTIFS($J$18:J1726,J1726)=1,AE1726=1),1,"")</f>
        <v/>
      </c>
      <c r="AG1726" s="199">
        <f>IF(C1726="","",IF(AND(COUNTIFS($J$18:J1726,J1726)=1,C1726&lt;&gt;""),1,""))</f>
        <v>1</v>
      </c>
      <c r="AH1726" s="199">
        <f>IF(G1726="","",IF(AND(COUNTIFS($J$18:J1726,J1726)=1,G1726&lt;&gt;""),1,""))</f>
        <v>1</v>
      </c>
      <c r="AI1726" s="200">
        <f t="shared" si="505"/>
        <v>25458266.694690265</v>
      </c>
      <c r="AJ1726" s="200">
        <f t="shared" si="506"/>
        <v>4116526.778578762</v>
      </c>
      <c r="AK1726" s="201">
        <f t="shared" si="515"/>
        <v>0.16169705612508689</v>
      </c>
      <c r="AL1726" s="24"/>
      <c r="AM1726" s="24"/>
      <c r="AN1726" s="24"/>
      <c r="AO1726" s="24"/>
      <c r="AP1726" s="105" t="str">
        <f t="shared" si="516"/>
        <v>20247</v>
      </c>
      <c r="AQ1726" s="28" t="str">
        <f t="shared" si="517"/>
        <v>20247RMB</v>
      </c>
      <c r="AR1726" s="206" t="str">
        <f t="shared" si="518"/>
        <v>YAMAHA_Non_Mounter</v>
      </c>
      <c r="AS1726" s="22">
        <f t="shared" si="519"/>
        <v>2</v>
      </c>
      <c r="AT1726" s="24" t="str">
        <f t="shared" si="520"/>
        <v>0-3 months</v>
      </c>
    </row>
    <row r="1727" spans="1:46" s="12" customFormat="1">
      <c r="A1727" s="33" t="str">
        <f t="shared" si="508"/>
        <v>FY 24/25</v>
      </c>
      <c r="B1727" s="23">
        <v>2024</v>
      </c>
      <c r="C1727" s="152">
        <v>4</v>
      </c>
      <c r="D1727" s="33" t="str">
        <f t="shared" si="509"/>
        <v>Q1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7</v>
      </c>
      <c r="H1727" s="29"/>
      <c r="I1727" s="33" t="str">
        <f t="shared" si="510"/>
        <v>Q2</v>
      </c>
      <c r="J1727" s="188" t="s">
        <v>3413</v>
      </c>
      <c r="K1727" s="29" t="s">
        <v>1831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511"/>
        <v>MAIN UNIT</v>
      </c>
      <c r="Q1727" s="13" t="s">
        <v>62</v>
      </c>
      <c r="R1727" s="22" t="s">
        <v>63</v>
      </c>
      <c r="S1727" s="22" t="s">
        <v>51</v>
      </c>
      <c r="T1727" s="22" t="s">
        <v>94</v>
      </c>
      <c r="U1727" s="22" t="s">
        <v>71</v>
      </c>
      <c r="V1727" s="22" t="s">
        <v>103</v>
      </c>
      <c r="W1727" s="22" t="s">
        <v>65</v>
      </c>
      <c r="X1727" s="30">
        <v>800000</v>
      </c>
      <c r="Y1727" s="31" t="str">
        <f>IF(W1727="","",IF(W1727="RMB","1.13", "1"))</f>
        <v>1.13</v>
      </c>
      <c r="Z1727" s="18">
        <f t="shared" si="521"/>
        <v>800000</v>
      </c>
      <c r="AA1727" s="22">
        <v>1.075</v>
      </c>
      <c r="AB1727" s="21">
        <f t="shared" si="512"/>
        <v>761061.94690265495</v>
      </c>
      <c r="AC1727" s="25">
        <f t="shared" si="513"/>
        <v>188591.1504424779</v>
      </c>
      <c r="AD1727" s="169">
        <v>0.24779999999999999</v>
      </c>
      <c r="AE1727" s="26">
        <f t="shared" si="514"/>
        <v>0</v>
      </c>
      <c r="AF1727" s="26" t="str">
        <f>IF(AND(COUNTIFS($J$18:J1727,J1727)=1,AE1727=1),1,"")</f>
        <v/>
      </c>
      <c r="AG1727" s="26">
        <f>IF(C1727="","",IF(AND(COUNTIFS($J$18:J1727,J1727)=1,C1727&lt;&gt;""),1,""))</f>
        <v>1</v>
      </c>
      <c r="AH1727" s="26">
        <f>IF(G1727="","",IF(AND(COUNTIFS($J$18:J1727,J1727)=1,G1727&lt;&gt;""),1,""))</f>
        <v>1</v>
      </c>
      <c r="AI1727" s="27">
        <f t="shared" si="505"/>
        <v>25458266.694690265</v>
      </c>
      <c r="AJ1727" s="27">
        <f t="shared" si="506"/>
        <v>4116526.778578762</v>
      </c>
      <c r="AK1727" s="28">
        <f t="shared" si="515"/>
        <v>0.16169705612508689</v>
      </c>
      <c r="AL1727" s="24"/>
      <c r="AM1727" s="24"/>
      <c r="AN1727" s="24"/>
      <c r="AO1727" s="24"/>
      <c r="AP1727" s="28" t="str">
        <f t="shared" si="516"/>
        <v>20247</v>
      </c>
      <c r="AQ1727" s="28" t="str">
        <f t="shared" si="517"/>
        <v>20247RMB</v>
      </c>
      <c r="AR1727" s="206" t="str">
        <f t="shared" si="518"/>
        <v>YAMAHA_Mounter</v>
      </c>
      <c r="AS1727" s="22">
        <f t="shared" si="519"/>
        <v>3</v>
      </c>
      <c r="AT1727" s="24" t="str">
        <f t="shared" si="520"/>
        <v>0-3 months</v>
      </c>
    </row>
    <row r="1728" spans="1:46" s="12" customFormat="1">
      <c r="A1728" s="33" t="str">
        <f t="shared" si="508"/>
        <v>FY 18/19</v>
      </c>
      <c r="B1728" s="152">
        <v>2018</v>
      </c>
      <c r="C1728" s="152">
        <v>11</v>
      </c>
      <c r="D1728" s="33" t="str">
        <f t="shared" si="509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510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511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21"/>
        <v>16151975</v>
      </c>
      <c r="AA1728" s="13">
        <v>7.3499999999999996E-2</v>
      </c>
      <c r="AB1728" s="21">
        <f t="shared" si="512"/>
        <v>1187170.1624999999</v>
      </c>
      <c r="AC1728" s="130">
        <f t="shared" si="513"/>
        <v>238265.05161374997</v>
      </c>
      <c r="AD1728" s="169">
        <v>0.20069999999999999</v>
      </c>
      <c r="AE1728" s="154">
        <f t="shared" si="514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5"/>
        <v>16455710.386637932</v>
      </c>
      <c r="AJ1728" s="19">
        <f t="shared" si="506"/>
        <v>2150644.6466930606</v>
      </c>
      <c r="AK1728" s="20">
        <f t="shared" si="515"/>
        <v>0.13069290818580451</v>
      </c>
      <c r="AL1728" s="17"/>
      <c r="AM1728" s="17"/>
      <c r="AN1728" s="17"/>
      <c r="AO1728" s="17"/>
      <c r="AP1728" s="28" t="str">
        <f t="shared" si="516"/>
        <v>20192</v>
      </c>
      <c r="AQ1728" s="28" t="str">
        <f t="shared" si="517"/>
        <v>20192JPY</v>
      </c>
      <c r="AR1728" s="206" t="str">
        <f t="shared" si="518"/>
        <v>YAMAHA_Mounter</v>
      </c>
      <c r="AS1728" s="22">
        <f t="shared" si="519"/>
        <v>3</v>
      </c>
      <c r="AT1728" s="24" t="str">
        <f t="shared" si="520"/>
        <v>0-3 months</v>
      </c>
    </row>
    <row r="1729" spans="1:46" s="12" customFormat="1">
      <c r="A1729" s="33" t="str">
        <f t="shared" si="508"/>
        <v>FY 19/20</v>
      </c>
      <c r="B1729" s="152">
        <v>2019</v>
      </c>
      <c r="C1729" s="152">
        <v>6</v>
      </c>
      <c r="D1729" s="33" t="str">
        <f t="shared" si="509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510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511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21"/>
        <v>580000</v>
      </c>
      <c r="AA1729" s="13">
        <v>1.135</v>
      </c>
      <c r="AB1729" s="21">
        <f t="shared" si="512"/>
        <v>582566.37168141594</v>
      </c>
      <c r="AC1729" s="130">
        <f t="shared" si="513"/>
        <v>54003.902654867263</v>
      </c>
      <c r="AD1729" s="169">
        <v>9.2700000000000005E-2</v>
      </c>
      <c r="AE1729" s="154">
        <f t="shared" si="514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5"/>
        <v>31296887.037898075</v>
      </c>
      <c r="AJ1729" s="19">
        <f t="shared" si="506"/>
        <v>3588873.9502021763</v>
      </c>
      <c r="AK1729" s="20">
        <f t="shared" si="515"/>
        <v>0.11467191436184473</v>
      </c>
      <c r="AL1729" s="17"/>
      <c r="AM1729" s="17"/>
      <c r="AN1729" s="17"/>
      <c r="AO1729" s="17"/>
      <c r="AP1729" s="28" t="str">
        <f t="shared" si="516"/>
        <v>20196</v>
      </c>
      <c r="AQ1729" s="28" t="str">
        <f t="shared" si="517"/>
        <v>20196RMB</v>
      </c>
      <c r="AR1729" s="206" t="str">
        <f t="shared" si="518"/>
        <v>YAMAHA_Mounter</v>
      </c>
      <c r="AS1729" s="22">
        <f t="shared" si="519"/>
        <v>0</v>
      </c>
      <c r="AT1729" s="24" t="str">
        <f t="shared" si="520"/>
        <v>0-3 months</v>
      </c>
    </row>
    <row r="1730" spans="1:46" s="12" customFormat="1">
      <c r="A1730" s="33" t="str">
        <f t="shared" si="508"/>
        <v>FY 19/20</v>
      </c>
      <c r="B1730" s="152">
        <v>2020</v>
      </c>
      <c r="C1730" s="152">
        <v>3</v>
      </c>
      <c r="D1730" s="33" t="str">
        <f t="shared" si="509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510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511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21"/>
        <v>880000</v>
      </c>
      <c r="AA1730" s="13">
        <v>1.095</v>
      </c>
      <c r="AB1730" s="21">
        <f t="shared" si="512"/>
        <v>852743.36283185857</v>
      </c>
      <c r="AC1730" s="130">
        <f t="shared" si="513"/>
        <v>94398.690265486744</v>
      </c>
      <c r="AD1730" s="169">
        <v>0.11070000000000001</v>
      </c>
      <c r="AE1730" s="154">
        <f t="shared" si="514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22">IF(P1730="C66 SERVICE","",SUMIFS(AB:AB,F:F,F1730,G:G,G1730,E:E,E1730))</f>
        <v>33477255.428389374</v>
      </c>
      <c r="AJ1730" s="19">
        <f t="shared" ref="AJ1730:AJ1793" si="523">IF(P1730="C66 SERVICE","",SUMIFS(AC:AC,F:F,F1730,G:G,G1730,E:E,E1730))</f>
        <v>4578663.362915583</v>
      </c>
      <c r="AK1730" s="20">
        <f t="shared" si="515"/>
        <v>0.13676937682988152</v>
      </c>
      <c r="AL1730" s="17"/>
      <c r="AM1730" s="17"/>
      <c r="AN1730" s="17"/>
      <c r="AO1730" s="17"/>
      <c r="AP1730" s="28" t="str">
        <f t="shared" si="516"/>
        <v>20204</v>
      </c>
      <c r="AQ1730" s="28" t="str">
        <f t="shared" si="517"/>
        <v>20204RMB</v>
      </c>
      <c r="AR1730" s="206" t="str">
        <f t="shared" si="518"/>
        <v>YAMAHA_Mounter</v>
      </c>
      <c r="AS1730" s="22">
        <f t="shared" si="519"/>
        <v>1</v>
      </c>
      <c r="AT1730" s="24" t="str">
        <f t="shared" si="520"/>
        <v>0-3 months</v>
      </c>
    </row>
    <row r="1731" spans="1:46" s="12" customFormat="1">
      <c r="A1731" s="33" t="str">
        <f t="shared" si="508"/>
        <v>FY 19/20</v>
      </c>
      <c r="B1731" s="152">
        <v>2020</v>
      </c>
      <c r="C1731" s="152">
        <v>1</v>
      </c>
      <c r="D1731" s="33" t="str">
        <f t="shared" si="509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510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511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21"/>
        <v>15000000</v>
      </c>
      <c r="AA1731" s="13">
        <v>7.2999999999999995E-2</v>
      </c>
      <c r="AB1731" s="21">
        <f t="shared" si="512"/>
        <v>1095000</v>
      </c>
      <c r="AC1731" s="130">
        <f t="shared" si="513"/>
        <v>204765</v>
      </c>
      <c r="AD1731" s="169">
        <v>0.187</v>
      </c>
      <c r="AE1731" s="154">
        <f t="shared" si="514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22"/>
        <v>11620538.477876106</v>
      </c>
      <c r="AJ1731" s="19">
        <f t="shared" si="523"/>
        <v>1598596.3145221241</v>
      </c>
      <c r="AK1731" s="20">
        <f t="shared" si="515"/>
        <v>0.13756645766163331</v>
      </c>
      <c r="AL1731" s="17"/>
      <c r="AM1731" s="17"/>
      <c r="AN1731" s="17"/>
      <c r="AO1731" s="17"/>
      <c r="AP1731" s="28" t="str">
        <f t="shared" si="516"/>
        <v>20201</v>
      </c>
      <c r="AQ1731" s="28" t="str">
        <f t="shared" si="517"/>
        <v>20201JPY</v>
      </c>
      <c r="AR1731" s="206" t="str">
        <f t="shared" si="518"/>
        <v>YAMAHA_Mounter</v>
      </c>
      <c r="AS1731" s="22">
        <f t="shared" si="519"/>
        <v>0</v>
      </c>
      <c r="AT1731" s="24" t="str">
        <f t="shared" si="520"/>
        <v>0-3 months</v>
      </c>
    </row>
    <row r="1732" spans="1:46" s="12" customFormat="1">
      <c r="A1732" s="33" t="str">
        <f t="shared" si="508"/>
        <v>FY 19/20</v>
      </c>
      <c r="B1732" s="152">
        <v>2020</v>
      </c>
      <c r="C1732" s="152">
        <v>1</v>
      </c>
      <c r="D1732" s="33" t="str">
        <f t="shared" si="509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510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511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21"/>
        <v>9442000</v>
      </c>
      <c r="AA1732" s="13">
        <v>7.2999999999999995E-2</v>
      </c>
      <c r="AB1732" s="21">
        <f t="shared" si="512"/>
        <v>689266</v>
      </c>
      <c r="AC1732" s="130">
        <f t="shared" si="513"/>
        <v>128892.742</v>
      </c>
      <c r="AD1732" s="169">
        <v>0.187</v>
      </c>
      <c r="AE1732" s="154">
        <f t="shared" si="514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22"/>
        <v>11620538.477876106</v>
      </c>
      <c r="AJ1732" s="19">
        <f t="shared" si="523"/>
        <v>1598596.3145221241</v>
      </c>
      <c r="AK1732" s="20">
        <f t="shared" si="515"/>
        <v>0.13756645766163331</v>
      </c>
      <c r="AL1732" s="17"/>
      <c r="AM1732" s="17"/>
      <c r="AN1732" s="17"/>
      <c r="AO1732" s="17"/>
      <c r="AP1732" s="28" t="str">
        <f t="shared" si="516"/>
        <v>20201</v>
      </c>
      <c r="AQ1732" s="28" t="str">
        <f t="shared" si="517"/>
        <v>20201JPY</v>
      </c>
      <c r="AR1732" s="206" t="str">
        <f t="shared" si="518"/>
        <v>YAMAHA_Mounter</v>
      </c>
      <c r="AS1732" s="22">
        <f t="shared" si="519"/>
        <v>0</v>
      </c>
      <c r="AT1732" s="24" t="str">
        <f t="shared" si="520"/>
        <v>0-3 months</v>
      </c>
    </row>
    <row r="1733" spans="1:46" s="12" customFormat="1">
      <c r="A1733" s="33" t="str">
        <f t="shared" si="508"/>
        <v>FY 22/23</v>
      </c>
      <c r="B1733" s="152">
        <v>2022</v>
      </c>
      <c r="C1733" s="152">
        <v>6</v>
      </c>
      <c r="D1733" s="33" t="str">
        <f t="shared" si="509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510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511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21"/>
        <v>570000</v>
      </c>
      <c r="AA1733" s="13">
        <v>1.17</v>
      </c>
      <c r="AB1733" s="21">
        <f t="shared" si="512"/>
        <v>590176.99115044251</v>
      </c>
      <c r="AC1733" s="130">
        <f t="shared" si="513"/>
        <v>111425.41592920355</v>
      </c>
      <c r="AD1733" s="169">
        <v>0.1888</v>
      </c>
      <c r="AE1733" s="154">
        <f t="shared" si="514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22"/>
        <v>36480247.665929198</v>
      </c>
      <c r="AJ1733" s="19">
        <f t="shared" si="523"/>
        <v>5330996.6372757526</v>
      </c>
      <c r="AK1733" s="20">
        <f t="shared" si="515"/>
        <v>0.14613378412599562</v>
      </c>
      <c r="AL1733" s="17"/>
      <c r="AM1733" s="17"/>
      <c r="AN1733" s="17"/>
      <c r="AO1733" s="17"/>
      <c r="AP1733" s="28" t="str">
        <f t="shared" si="516"/>
        <v>20227</v>
      </c>
      <c r="AQ1733" s="28" t="str">
        <f t="shared" si="517"/>
        <v>20227RMB</v>
      </c>
      <c r="AR1733" s="206" t="str">
        <f t="shared" si="518"/>
        <v>YAMAHA_Mounter</v>
      </c>
      <c r="AS1733" s="22">
        <f t="shared" si="519"/>
        <v>1</v>
      </c>
      <c r="AT1733" s="24" t="str">
        <f t="shared" si="520"/>
        <v>0-3 months</v>
      </c>
    </row>
    <row r="1734" spans="1:46" s="12" customFormat="1">
      <c r="A1734" s="33" t="str">
        <f t="shared" si="508"/>
        <v>FY 23/24</v>
      </c>
      <c r="B1734" s="23">
        <v>2023</v>
      </c>
      <c r="C1734" s="152">
        <v>12</v>
      </c>
      <c r="D1734" s="33" t="str">
        <f t="shared" si="509"/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si="510"/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si="511"/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21"/>
        <v>8730000</v>
      </c>
      <c r="AA1734" s="22">
        <v>5.6300000000000003E-2</v>
      </c>
      <c r="AB1734" s="21">
        <f t="shared" si="512"/>
        <v>491499</v>
      </c>
      <c r="AC1734" s="25">
        <f t="shared" si="513"/>
        <v>50378.647499999999</v>
      </c>
      <c r="AD1734" s="169">
        <v>0.10249999999999999</v>
      </c>
      <c r="AE1734" s="26">
        <f t="shared" si="514"/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22"/>
        <v>21575119.674336284</v>
      </c>
      <c r="AJ1734" s="27">
        <f t="shared" si="523"/>
        <v>2556656.3801490259</v>
      </c>
      <c r="AK1734" s="28">
        <f t="shared" si="515"/>
        <v>0.1185002177851269</v>
      </c>
      <c r="AL1734" s="24"/>
      <c r="AM1734" s="24"/>
      <c r="AN1734" s="24"/>
      <c r="AO1734" s="24"/>
      <c r="AP1734" s="28" t="str">
        <f t="shared" si="516"/>
        <v>20241</v>
      </c>
      <c r="AQ1734" s="28" t="str">
        <f t="shared" si="517"/>
        <v>20241JPY</v>
      </c>
      <c r="AR1734" s="206" t="str">
        <f t="shared" si="518"/>
        <v>YAMAHA_Mounter</v>
      </c>
      <c r="AS1734" s="22">
        <f t="shared" si="519"/>
        <v>1</v>
      </c>
      <c r="AT1734" s="24" t="str">
        <f t="shared" si="520"/>
        <v>0-3 months</v>
      </c>
    </row>
    <row r="1735" spans="1:46" s="12" customFormat="1">
      <c r="A1735" s="33" t="str">
        <f t="shared" si="508"/>
        <v>FY 19/20</v>
      </c>
      <c r="B1735" s="152">
        <v>2020</v>
      </c>
      <c r="C1735" s="152">
        <v>3</v>
      </c>
      <c r="D1735" s="33" t="str">
        <f t="shared" si="509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0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1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21"/>
        <v>680000</v>
      </c>
      <c r="AA1735" s="13">
        <v>1.1100000000000001</v>
      </c>
      <c r="AB1735" s="21">
        <f t="shared" si="512"/>
        <v>667964.60176991171</v>
      </c>
      <c r="AC1735" s="130">
        <f t="shared" si="513"/>
        <v>184825.80530973457</v>
      </c>
      <c r="AD1735" s="169">
        <v>0.2767</v>
      </c>
      <c r="AE1735" s="154">
        <f t="shared" si="514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22"/>
        <v>23168285.927433632</v>
      </c>
      <c r="AJ1735" s="19">
        <f t="shared" si="523"/>
        <v>2764878.916878053</v>
      </c>
      <c r="AK1735" s="20">
        <f t="shared" si="515"/>
        <v>0.11933895004309111</v>
      </c>
      <c r="AL1735" s="17"/>
      <c r="AM1735" s="17"/>
      <c r="AN1735" s="17"/>
      <c r="AO1735" s="17"/>
      <c r="AP1735" s="28" t="str">
        <f t="shared" si="516"/>
        <v>20203</v>
      </c>
      <c r="AQ1735" s="28" t="str">
        <f t="shared" si="517"/>
        <v>20203RMB</v>
      </c>
      <c r="AR1735" s="206" t="str">
        <f t="shared" si="518"/>
        <v>YAMAHA_Mounter</v>
      </c>
      <c r="AS1735" s="22">
        <f t="shared" si="519"/>
        <v>0</v>
      </c>
      <c r="AT1735" s="24" t="str">
        <f t="shared" si="520"/>
        <v>0-3 months</v>
      </c>
    </row>
    <row r="1736" spans="1:46" s="12" customFormat="1" ht="28">
      <c r="A1736" s="33" t="str">
        <f t="shared" si="508"/>
        <v>FY 23/24</v>
      </c>
      <c r="B1736" s="152">
        <v>2023</v>
      </c>
      <c r="C1736" s="152">
        <v>6</v>
      </c>
      <c r="D1736" s="33" t="str">
        <f t="shared" si="509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0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1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4">IF(W1736="RMB","1.13", "1")</f>
        <v>1</v>
      </c>
      <c r="Z1736" s="18">
        <f t="shared" si="521"/>
        <v>18000000</v>
      </c>
      <c r="AA1736" s="13">
        <v>5.5199999999999999E-2</v>
      </c>
      <c r="AB1736" s="21">
        <f t="shared" si="512"/>
        <v>993600</v>
      </c>
      <c r="AC1736" s="130">
        <f t="shared" si="513"/>
        <v>29808</v>
      </c>
      <c r="AD1736" s="169">
        <v>0.03</v>
      </c>
      <c r="AE1736" s="154">
        <f t="shared" si="514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22"/>
        <v>15951056.41591504</v>
      </c>
      <c r="AJ1736" s="19">
        <f t="shared" si="523"/>
        <v>1966354.6022462982</v>
      </c>
      <c r="AK1736" s="20">
        <f t="shared" si="515"/>
        <v>0.12327425538313459</v>
      </c>
      <c r="AL1736" s="17"/>
      <c r="AM1736" s="17"/>
      <c r="AN1736" s="17"/>
      <c r="AO1736" s="17"/>
      <c r="AP1736" s="28" t="str">
        <f t="shared" si="516"/>
        <v>20237</v>
      </c>
      <c r="AQ1736" s="28" t="str">
        <f t="shared" si="517"/>
        <v>20237JPY</v>
      </c>
      <c r="AR1736" s="206" t="str">
        <f t="shared" si="518"/>
        <v>YAMAHA_Mounter</v>
      </c>
      <c r="AS1736" s="22">
        <f t="shared" si="519"/>
        <v>1</v>
      </c>
      <c r="AT1736" s="24" t="str">
        <f t="shared" si="520"/>
        <v>0-3 months</v>
      </c>
    </row>
    <row r="1737" spans="1:46" s="12" customFormat="1">
      <c r="A1737" s="33" t="str">
        <f t="shared" si="508"/>
        <v>FY 23/24</v>
      </c>
      <c r="B1737" s="152">
        <v>2023</v>
      </c>
      <c r="C1737" s="152">
        <v>4</v>
      </c>
      <c r="D1737" s="33" t="str">
        <f t="shared" si="509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0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1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4"/>
        <v>1</v>
      </c>
      <c r="Z1737" s="18">
        <f t="shared" si="521"/>
        <v>11538686</v>
      </c>
      <c r="AA1737" s="13">
        <v>5.5199999999999999E-2</v>
      </c>
      <c r="AB1737" s="21">
        <f t="shared" si="512"/>
        <v>636935.46719999996</v>
      </c>
      <c r="AC1737" s="130">
        <f t="shared" si="513"/>
        <v>67005.611149439996</v>
      </c>
      <c r="AD1737" s="169">
        <v>0.1052</v>
      </c>
      <c r="AE1737" s="154">
        <f t="shared" si="514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22"/>
        <v>15951056.41591504</v>
      </c>
      <c r="AJ1737" s="19">
        <f t="shared" si="523"/>
        <v>1966354.6022462982</v>
      </c>
      <c r="AK1737" s="20">
        <f t="shared" si="515"/>
        <v>0.12327425538313459</v>
      </c>
      <c r="AL1737" s="17"/>
      <c r="AM1737" s="17"/>
      <c r="AN1737" s="17"/>
      <c r="AO1737" s="17"/>
      <c r="AP1737" s="28" t="str">
        <f t="shared" si="516"/>
        <v>20237</v>
      </c>
      <c r="AQ1737" s="28" t="str">
        <f t="shared" si="517"/>
        <v>20237JPY</v>
      </c>
      <c r="AR1737" s="206" t="str">
        <f t="shared" si="518"/>
        <v>YAMAHA_Mounter</v>
      </c>
      <c r="AS1737" s="22">
        <f t="shared" si="519"/>
        <v>3</v>
      </c>
      <c r="AT1737" s="24" t="str">
        <f t="shared" si="520"/>
        <v>0-3 months</v>
      </c>
    </row>
    <row r="1738" spans="1:46" s="12" customFormat="1">
      <c r="A1738" s="33" t="str">
        <f t="shared" si="508"/>
        <v>FY 23/24</v>
      </c>
      <c r="B1738" s="152">
        <v>2023</v>
      </c>
      <c r="C1738" s="152">
        <v>4</v>
      </c>
      <c r="D1738" s="33" t="str">
        <f t="shared" si="509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0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1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4"/>
        <v>1</v>
      </c>
      <c r="Z1738" s="18">
        <f t="shared" si="521"/>
        <v>11538686</v>
      </c>
      <c r="AA1738" s="13">
        <v>5.5199999999999999E-2</v>
      </c>
      <c r="AB1738" s="21">
        <f t="shared" si="512"/>
        <v>636935.46719999996</v>
      </c>
      <c r="AC1738" s="130">
        <f t="shared" si="513"/>
        <v>67005.611149439996</v>
      </c>
      <c r="AD1738" s="169">
        <v>0.1052</v>
      </c>
      <c r="AE1738" s="154">
        <f t="shared" si="514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22"/>
        <v>15951056.41591504</v>
      </c>
      <c r="AJ1738" s="19">
        <f t="shared" si="523"/>
        <v>1966354.6022462982</v>
      </c>
      <c r="AK1738" s="20">
        <f t="shared" si="515"/>
        <v>0.12327425538313459</v>
      </c>
      <c r="AL1738" s="17"/>
      <c r="AM1738" s="17"/>
      <c r="AN1738" s="17"/>
      <c r="AO1738" s="17"/>
      <c r="AP1738" s="28" t="str">
        <f t="shared" si="516"/>
        <v>20237</v>
      </c>
      <c r="AQ1738" s="28" t="str">
        <f t="shared" si="517"/>
        <v>20237JPY</v>
      </c>
      <c r="AR1738" s="206" t="str">
        <f t="shared" si="518"/>
        <v>YAMAHA_Mounter</v>
      </c>
      <c r="AS1738" s="22">
        <f t="shared" si="519"/>
        <v>3</v>
      </c>
      <c r="AT1738" s="24" t="str">
        <f t="shared" si="520"/>
        <v>0-3 months</v>
      </c>
    </row>
    <row r="1739" spans="1:46" s="12" customFormat="1">
      <c r="A1739" s="33" t="str">
        <f t="shared" si="508"/>
        <v>FY 23/24</v>
      </c>
      <c r="B1739" s="152">
        <v>2023</v>
      </c>
      <c r="C1739" s="152">
        <v>4</v>
      </c>
      <c r="D1739" s="33" t="str">
        <f t="shared" si="509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0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1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4"/>
        <v>1</v>
      </c>
      <c r="Z1739" s="18">
        <f t="shared" si="521"/>
        <v>11538686</v>
      </c>
      <c r="AA1739" s="13">
        <v>5.5199999999999999E-2</v>
      </c>
      <c r="AB1739" s="21">
        <f t="shared" si="512"/>
        <v>636935.46719999996</v>
      </c>
      <c r="AC1739" s="130">
        <f t="shared" si="513"/>
        <v>67005.611149439996</v>
      </c>
      <c r="AD1739" s="169">
        <v>0.1052</v>
      </c>
      <c r="AE1739" s="154">
        <f t="shared" si="514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22"/>
        <v>15951056.41591504</v>
      </c>
      <c r="AJ1739" s="19">
        <f t="shared" si="523"/>
        <v>1966354.6022462982</v>
      </c>
      <c r="AK1739" s="20">
        <f t="shared" si="515"/>
        <v>0.12327425538313459</v>
      </c>
      <c r="AL1739" s="17"/>
      <c r="AM1739" s="17"/>
      <c r="AN1739" s="17"/>
      <c r="AO1739" s="17"/>
      <c r="AP1739" s="28" t="str">
        <f t="shared" si="516"/>
        <v>20237</v>
      </c>
      <c r="AQ1739" s="28" t="str">
        <f t="shared" si="517"/>
        <v>20237JPY</v>
      </c>
      <c r="AR1739" s="206" t="str">
        <f t="shared" si="518"/>
        <v>YAMAHA_Mounter</v>
      </c>
      <c r="AS1739" s="22">
        <f t="shared" si="519"/>
        <v>3</v>
      </c>
      <c r="AT1739" s="24" t="str">
        <f t="shared" si="520"/>
        <v>0-3 months</v>
      </c>
    </row>
    <row r="1740" spans="1:46" s="12" customFormat="1">
      <c r="A1740" s="33" t="str">
        <f t="shared" si="508"/>
        <v>FY 23/24</v>
      </c>
      <c r="B1740" s="152">
        <v>2023</v>
      </c>
      <c r="C1740" s="152">
        <v>4</v>
      </c>
      <c r="D1740" s="33" t="str">
        <f t="shared" si="509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0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1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4"/>
        <v>1</v>
      </c>
      <c r="Z1740" s="18">
        <f t="shared" si="521"/>
        <v>11538686</v>
      </c>
      <c r="AA1740" s="13">
        <v>5.5199999999999999E-2</v>
      </c>
      <c r="AB1740" s="21">
        <f t="shared" si="512"/>
        <v>636935.46719999996</v>
      </c>
      <c r="AC1740" s="130">
        <f t="shared" si="513"/>
        <v>67005.611149439996</v>
      </c>
      <c r="AD1740" s="169">
        <v>0.1052</v>
      </c>
      <c r="AE1740" s="154">
        <f t="shared" si="514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22"/>
        <v>15951056.41591504</v>
      </c>
      <c r="AJ1740" s="19">
        <f t="shared" si="523"/>
        <v>1966354.6022462982</v>
      </c>
      <c r="AK1740" s="20">
        <f t="shared" si="515"/>
        <v>0.12327425538313459</v>
      </c>
      <c r="AL1740" s="17"/>
      <c r="AM1740" s="17"/>
      <c r="AN1740" s="17"/>
      <c r="AO1740" s="17"/>
      <c r="AP1740" s="28" t="str">
        <f t="shared" si="516"/>
        <v>20237</v>
      </c>
      <c r="AQ1740" s="28" t="str">
        <f t="shared" si="517"/>
        <v>20237JPY</v>
      </c>
      <c r="AR1740" s="206" t="str">
        <f t="shared" si="518"/>
        <v>YAMAHA_Mounter</v>
      </c>
      <c r="AS1740" s="22">
        <f t="shared" si="519"/>
        <v>3</v>
      </c>
      <c r="AT1740" s="24" t="str">
        <f t="shared" si="520"/>
        <v>0-3 months</v>
      </c>
    </row>
    <row r="1741" spans="1:46" s="12" customFormat="1">
      <c r="A1741" s="33" t="str">
        <f t="shared" si="508"/>
        <v>FY 23/24</v>
      </c>
      <c r="B1741" s="152">
        <v>2023</v>
      </c>
      <c r="C1741" s="152">
        <v>4</v>
      </c>
      <c r="D1741" s="33" t="str">
        <f t="shared" si="509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0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1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4"/>
        <v>1</v>
      </c>
      <c r="Z1741" s="18">
        <f t="shared" si="521"/>
        <v>11538686</v>
      </c>
      <c r="AA1741" s="13">
        <v>5.5199999999999999E-2</v>
      </c>
      <c r="AB1741" s="21">
        <f t="shared" si="512"/>
        <v>636935.46719999996</v>
      </c>
      <c r="AC1741" s="130">
        <f t="shared" si="513"/>
        <v>67005.611149439996</v>
      </c>
      <c r="AD1741" s="169">
        <v>0.1052</v>
      </c>
      <c r="AE1741" s="154">
        <f t="shared" si="514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22"/>
        <v>15951056.41591504</v>
      </c>
      <c r="AJ1741" s="19">
        <f t="shared" si="523"/>
        <v>1966354.6022462982</v>
      </c>
      <c r="AK1741" s="20">
        <f t="shared" si="515"/>
        <v>0.12327425538313459</v>
      </c>
      <c r="AL1741" s="17"/>
      <c r="AM1741" s="17"/>
      <c r="AN1741" s="17"/>
      <c r="AO1741" s="17"/>
      <c r="AP1741" s="28" t="str">
        <f t="shared" si="516"/>
        <v>20237</v>
      </c>
      <c r="AQ1741" s="28" t="str">
        <f t="shared" si="517"/>
        <v>20237JPY</v>
      </c>
      <c r="AR1741" s="206" t="str">
        <f t="shared" si="518"/>
        <v>YAMAHA_Mounter</v>
      </c>
      <c r="AS1741" s="22">
        <f t="shared" si="519"/>
        <v>3</v>
      </c>
      <c r="AT1741" s="24" t="str">
        <f t="shared" si="520"/>
        <v>0-3 months</v>
      </c>
    </row>
    <row r="1742" spans="1:46" s="12" customFormat="1">
      <c r="A1742" s="33" t="str">
        <f t="shared" si="508"/>
        <v>FY 23/24</v>
      </c>
      <c r="B1742" s="152">
        <v>2023</v>
      </c>
      <c r="C1742" s="152">
        <v>4</v>
      </c>
      <c r="D1742" s="33" t="str">
        <f t="shared" si="509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0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1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4"/>
        <v>1</v>
      </c>
      <c r="Z1742" s="18">
        <f t="shared" si="521"/>
        <v>11538686</v>
      </c>
      <c r="AA1742" s="13">
        <v>5.5199999999999999E-2</v>
      </c>
      <c r="AB1742" s="21">
        <f t="shared" si="512"/>
        <v>636935.46719999996</v>
      </c>
      <c r="AC1742" s="130">
        <f t="shared" si="513"/>
        <v>67005.611149439996</v>
      </c>
      <c r="AD1742" s="169">
        <v>0.1052</v>
      </c>
      <c r="AE1742" s="154">
        <f t="shared" si="514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22"/>
        <v>15951056.41591504</v>
      </c>
      <c r="AJ1742" s="19">
        <f t="shared" si="523"/>
        <v>1966354.6022462982</v>
      </c>
      <c r="AK1742" s="20">
        <f t="shared" si="515"/>
        <v>0.12327425538313459</v>
      </c>
      <c r="AL1742" s="17"/>
      <c r="AM1742" s="17"/>
      <c r="AN1742" s="17"/>
      <c r="AO1742" s="17"/>
      <c r="AP1742" s="28" t="str">
        <f t="shared" si="516"/>
        <v>20237</v>
      </c>
      <c r="AQ1742" s="28" t="str">
        <f t="shared" si="517"/>
        <v>20237JPY</v>
      </c>
      <c r="AR1742" s="206" t="str">
        <f t="shared" si="518"/>
        <v>YAMAHA_Mounter</v>
      </c>
      <c r="AS1742" s="22">
        <f t="shared" si="519"/>
        <v>3</v>
      </c>
      <c r="AT1742" s="24" t="str">
        <f t="shared" si="520"/>
        <v>0-3 months</v>
      </c>
    </row>
    <row r="1743" spans="1:46" s="12" customFormat="1">
      <c r="A1743" s="33" t="str">
        <f t="shared" si="508"/>
        <v>FY 23/24</v>
      </c>
      <c r="B1743" s="152">
        <v>2023</v>
      </c>
      <c r="C1743" s="152">
        <v>4</v>
      </c>
      <c r="D1743" s="33" t="str">
        <f t="shared" si="509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0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1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4"/>
        <v>1</v>
      </c>
      <c r="Z1743" s="18">
        <f t="shared" si="521"/>
        <v>7963342</v>
      </c>
      <c r="AA1743" s="13">
        <v>5.5199999999999999E-2</v>
      </c>
      <c r="AB1743" s="21">
        <f t="shared" si="512"/>
        <v>439576.47839999996</v>
      </c>
      <c r="AC1743" s="130">
        <f t="shared" si="513"/>
        <v>46243.44552768</v>
      </c>
      <c r="AD1743" s="169">
        <v>0.1052</v>
      </c>
      <c r="AE1743" s="154">
        <f t="shared" si="514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22"/>
        <v>15951056.41591504</v>
      </c>
      <c r="AJ1743" s="19">
        <f t="shared" si="523"/>
        <v>1966354.6022462982</v>
      </c>
      <c r="AK1743" s="20">
        <f t="shared" si="515"/>
        <v>0.12327425538313459</v>
      </c>
      <c r="AL1743" s="17"/>
      <c r="AM1743" s="17"/>
      <c r="AN1743" s="17"/>
      <c r="AO1743" s="17"/>
      <c r="AP1743" s="28" t="str">
        <f t="shared" si="516"/>
        <v>20237</v>
      </c>
      <c r="AQ1743" s="28" t="str">
        <f t="shared" si="517"/>
        <v>20237JPY</v>
      </c>
      <c r="AR1743" s="206" t="str">
        <f t="shared" si="518"/>
        <v>YAMAHA_Mounter</v>
      </c>
      <c r="AS1743" s="22">
        <f t="shared" si="519"/>
        <v>3</v>
      </c>
      <c r="AT1743" s="24" t="str">
        <f t="shared" si="520"/>
        <v>0-3 months</v>
      </c>
    </row>
    <row r="1744" spans="1:46" s="12" customFormat="1">
      <c r="A1744" s="33" t="str">
        <f t="shared" si="508"/>
        <v>FY 23/24</v>
      </c>
      <c r="B1744" s="152">
        <v>2023</v>
      </c>
      <c r="C1744" s="152">
        <v>4</v>
      </c>
      <c r="D1744" s="33" t="str">
        <f t="shared" si="509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0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1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4"/>
        <v>1</v>
      </c>
      <c r="Z1744" s="18">
        <f t="shared" si="521"/>
        <v>7963342</v>
      </c>
      <c r="AA1744" s="13">
        <v>5.5199999999999999E-2</v>
      </c>
      <c r="AB1744" s="21">
        <f t="shared" si="512"/>
        <v>439576.47839999996</v>
      </c>
      <c r="AC1744" s="130">
        <f t="shared" si="513"/>
        <v>46243.44552768</v>
      </c>
      <c r="AD1744" s="169">
        <v>0.1052</v>
      </c>
      <c r="AE1744" s="154">
        <f t="shared" si="514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22"/>
        <v>15951056.41591504</v>
      </c>
      <c r="AJ1744" s="19">
        <f t="shared" si="523"/>
        <v>1966354.6022462982</v>
      </c>
      <c r="AK1744" s="20">
        <f t="shared" si="515"/>
        <v>0.12327425538313459</v>
      </c>
      <c r="AL1744" s="17"/>
      <c r="AM1744" s="17"/>
      <c r="AN1744" s="17"/>
      <c r="AO1744" s="17"/>
      <c r="AP1744" s="28" t="str">
        <f t="shared" si="516"/>
        <v>20237</v>
      </c>
      <c r="AQ1744" s="28" t="str">
        <f t="shared" si="517"/>
        <v>20237JPY</v>
      </c>
      <c r="AR1744" s="206" t="str">
        <f t="shared" si="518"/>
        <v>YAMAHA_Mounter</v>
      </c>
      <c r="AS1744" s="22">
        <f t="shared" si="519"/>
        <v>3</v>
      </c>
      <c r="AT1744" s="24" t="str">
        <f t="shared" si="520"/>
        <v>0-3 months</v>
      </c>
    </row>
    <row r="1745" spans="1:46" s="12" customFormat="1">
      <c r="A1745" s="33" t="str">
        <f t="shared" si="508"/>
        <v>FY 23/24</v>
      </c>
      <c r="B1745" s="152">
        <v>2023</v>
      </c>
      <c r="C1745" s="152">
        <v>4</v>
      </c>
      <c r="D1745" s="33" t="str">
        <f t="shared" si="509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0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1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4"/>
        <v>1</v>
      </c>
      <c r="Z1745" s="18">
        <f t="shared" si="521"/>
        <v>7963342</v>
      </c>
      <c r="AA1745" s="13">
        <v>5.5199999999999999E-2</v>
      </c>
      <c r="AB1745" s="21">
        <f t="shared" si="512"/>
        <v>439576.47839999996</v>
      </c>
      <c r="AC1745" s="130">
        <f t="shared" si="513"/>
        <v>46243.44552768</v>
      </c>
      <c r="AD1745" s="169">
        <v>0.1052</v>
      </c>
      <c r="AE1745" s="154">
        <f t="shared" si="514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22"/>
        <v>15951056.41591504</v>
      </c>
      <c r="AJ1745" s="19">
        <f t="shared" si="523"/>
        <v>1966354.6022462982</v>
      </c>
      <c r="AK1745" s="20">
        <f t="shared" si="515"/>
        <v>0.12327425538313459</v>
      </c>
      <c r="AL1745" s="17"/>
      <c r="AM1745" s="17"/>
      <c r="AN1745" s="17"/>
      <c r="AO1745" s="17"/>
      <c r="AP1745" s="28" t="str">
        <f t="shared" si="516"/>
        <v>20237</v>
      </c>
      <c r="AQ1745" s="28" t="str">
        <f t="shared" si="517"/>
        <v>20237JPY</v>
      </c>
      <c r="AR1745" s="206" t="str">
        <f t="shared" si="518"/>
        <v>YAMAHA_Mounter</v>
      </c>
      <c r="AS1745" s="22">
        <f t="shared" si="519"/>
        <v>3</v>
      </c>
      <c r="AT1745" s="24" t="str">
        <f t="shared" si="520"/>
        <v>0-3 months</v>
      </c>
    </row>
    <row r="1746" spans="1:46" s="12" customFormat="1">
      <c r="A1746" s="33" t="str">
        <f t="shared" si="508"/>
        <v>FY 23/24</v>
      </c>
      <c r="B1746" s="152">
        <v>2023</v>
      </c>
      <c r="C1746" s="152">
        <v>4</v>
      </c>
      <c r="D1746" s="33" t="str">
        <f t="shared" si="509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0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1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4"/>
        <v>1</v>
      </c>
      <c r="Z1746" s="18">
        <f t="shared" si="521"/>
        <v>7963342</v>
      </c>
      <c r="AA1746" s="13">
        <v>5.5199999999999999E-2</v>
      </c>
      <c r="AB1746" s="21">
        <f t="shared" si="512"/>
        <v>439576.47839999996</v>
      </c>
      <c r="AC1746" s="130">
        <f t="shared" si="513"/>
        <v>46243.44552768</v>
      </c>
      <c r="AD1746" s="169">
        <v>0.1052</v>
      </c>
      <c r="AE1746" s="154">
        <f t="shared" si="514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22"/>
        <v>15951056.41591504</v>
      </c>
      <c r="AJ1746" s="19">
        <f t="shared" si="523"/>
        <v>1966354.6022462982</v>
      </c>
      <c r="AK1746" s="20">
        <f t="shared" si="515"/>
        <v>0.12327425538313459</v>
      </c>
      <c r="AL1746" s="17"/>
      <c r="AM1746" s="17"/>
      <c r="AN1746" s="17"/>
      <c r="AO1746" s="17"/>
      <c r="AP1746" s="28" t="str">
        <f t="shared" si="516"/>
        <v>20237</v>
      </c>
      <c r="AQ1746" s="28" t="str">
        <f t="shared" si="517"/>
        <v>20237JPY</v>
      </c>
      <c r="AR1746" s="206" t="str">
        <f t="shared" si="518"/>
        <v>YAMAHA_Mounter</v>
      </c>
      <c r="AS1746" s="22">
        <f t="shared" si="519"/>
        <v>3</v>
      </c>
      <c r="AT1746" s="24" t="str">
        <f t="shared" si="520"/>
        <v>0-3 months</v>
      </c>
    </row>
    <row r="1747" spans="1:46" s="12" customFormat="1">
      <c r="A1747" s="33" t="str">
        <f t="shared" si="508"/>
        <v>FY 20/21</v>
      </c>
      <c r="B1747" s="152">
        <v>2021</v>
      </c>
      <c r="C1747" s="152">
        <v>3</v>
      </c>
      <c r="D1747" s="33" t="str">
        <f t="shared" si="509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0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1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4"/>
        <v>1.13</v>
      </c>
      <c r="Z1747" s="18">
        <f t="shared" si="521"/>
        <v>568086</v>
      </c>
      <c r="AA1747" s="13">
        <v>1.2150000000000001</v>
      </c>
      <c r="AB1747" s="21">
        <f t="shared" si="512"/>
        <v>610818.13274336292</v>
      </c>
      <c r="AC1747" s="130">
        <f t="shared" si="513"/>
        <v>87591.320235398249</v>
      </c>
      <c r="AD1747" s="169">
        <v>0.1434</v>
      </c>
      <c r="AE1747" s="154">
        <f t="shared" si="514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22"/>
        <v>54700260.692079648</v>
      </c>
      <c r="AJ1747" s="19">
        <f t="shared" si="523"/>
        <v>7482899.5749188727</v>
      </c>
      <c r="AK1747" s="20">
        <f t="shared" si="515"/>
        <v>0.13679824337660537</v>
      </c>
      <c r="AL1747" s="17"/>
      <c r="AM1747" s="17"/>
      <c r="AN1747" s="17"/>
      <c r="AO1747" s="17"/>
      <c r="AP1747" s="28" t="str">
        <f t="shared" si="516"/>
        <v>20216</v>
      </c>
      <c r="AQ1747" s="28" t="str">
        <f t="shared" si="517"/>
        <v>20216RMB</v>
      </c>
      <c r="AR1747" s="206" t="str">
        <f t="shared" si="518"/>
        <v>YAMAHA_Mounter</v>
      </c>
      <c r="AS1747" s="22">
        <f t="shared" si="519"/>
        <v>3</v>
      </c>
      <c r="AT1747" s="24" t="str">
        <f t="shared" si="520"/>
        <v>0-3 months</v>
      </c>
    </row>
    <row r="1748" spans="1:46" s="12" customFormat="1">
      <c r="A1748" s="33" t="str">
        <f t="shared" si="508"/>
        <v>FY 20/21</v>
      </c>
      <c r="B1748" s="152">
        <v>2021</v>
      </c>
      <c r="C1748" s="152">
        <v>3</v>
      </c>
      <c r="D1748" s="33" t="str">
        <f t="shared" si="509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0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1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4"/>
        <v>1.13</v>
      </c>
      <c r="Z1748" s="18">
        <f t="shared" si="521"/>
        <v>498000</v>
      </c>
      <c r="AA1748" s="13">
        <v>1.2</v>
      </c>
      <c r="AB1748" s="21">
        <f t="shared" si="512"/>
        <v>528849.55752212391</v>
      </c>
      <c r="AC1748" s="130">
        <f t="shared" si="513"/>
        <v>75837.026548672569</v>
      </c>
      <c r="AD1748" s="169">
        <v>0.1434</v>
      </c>
      <c r="AE1748" s="154">
        <f t="shared" si="514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22"/>
        <v>41443303.53761062</v>
      </c>
      <c r="AJ1748" s="19">
        <f t="shared" si="523"/>
        <v>6194988.76643031</v>
      </c>
      <c r="AK1748" s="20">
        <f t="shared" si="515"/>
        <v>0.1494810557466355</v>
      </c>
      <c r="AL1748" s="17"/>
      <c r="AM1748" s="17"/>
      <c r="AN1748" s="17"/>
      <c r="AO1748" s="17"/>
      <c r="AP1748" s="28" t="str">
        <f t="shared" si="516"/>
        <v>20217</v>
      </c>
      <c r="AQ1748" s="28" t="str">
        <f t="shared" si="517"/>
        <v>20217RMB</v>
      </c>
      <c r="AR1748" s="206" t="str">
        <f t="shared" si="518"/>
        <v>YAMAHA_Mounter</v>
      </c>
      <c r="AS1748" s="22">
        <f t="shared" si="519"/>
        <v>4</v>
      </c>
      <c r="AT1748" s="24" t="str">
        <f t="shared" si="520"/>
        <v>4-6 months</v>
      </c>
    </row>
    <row r="1749" spans="1:46" s="12" customFormat="1" ht="28">
      <c r="A1749" s="33" t="str">
        <f t="shared" si="508"/>
        <v>FY 20/21</v>
      </c>
      <c r="B1749" s="152">
        <v>2020</v>
      </c>
      <c r="C1749" s="152">
        <v>6</v>
      </c>
      <c r="D1749" s="33" t="str">
        <f t="shared" si="509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0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1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1"/>
        <v>295000</v>
      </c>
      <c r="AA1749" s="13">
        <v>1.095</v>
      </c>
      <c r="AB1749" s="21">
        <f t="shared" si="512"/>
        <v>285862.83185840712</v>
      </c>
      <c r="AC1749" s="130">
        <f t="shared" si="513"/>
        <v>28271.834070796463</v>
      </c>
      <c r="AD1749" s="169">
        <v>9.8900000000000002E-2</v>
      </c>
      <c r="AE1749" s="154">
        <f t="shared" si="514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22"/>
        <v>35384300.169380538</v>
      </c>
      <c r="AJ1749" s="19">
        <f t="shared" si="523"/>
        <v>5044538.8896988509</v>
      </c>
      <c r="AK1749" s="20">
        <f t="shared" si="515"/>
        <v>0.14256432557804533</v>
      </c>
      <c r="AL1749" s="17"/>
      <c r="AM1749" s="17"/>
      <c r="AN1749" s="17"/>
      <c r="AO1749" s="17"/>
      <c r="AP1749" s="28" t="str">
        <f t="shared" si="516"/>
        <v>20207</v>
      </c>
      <c r="AQ1749" s="28" t="str">
        <f t="shared" si="517"/>
        <v>20207RMB</v>
      </c>
      <c r="AR1749" s="206" t="str">
        <f t="shared" si="518"/>
        <v>YAMAHA_Mounter</v>
      </c>
      <c r="AS1749" s="22">
        <f t="shared" si="519"/>
        <v>1</v>
      </c>
      <c r="AT1749" s="24" t="str">
        <f t="shared" si="520"/>
        <v>0-3 months</v>
      </c>
    </row>
    <row r="1750" spans="1:46" s="12" customFormat="1">
      <c r="A1750" s="33" t="str">
        <f t="shared" si="508"/>
        <v>FY 19/20</v>
      </c>
      <c r="B1750" s="152">
        <v>2019</v>
      </c>
      <c r="C1750" s="152">
        <v>5</v>
      </c>
      <c r="D1750" s="33" t="str">
        <f t="shared" si="509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0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1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1"/>
        <v>843000</v>
      </c>
      <c r="AA1750" s="13">
        <v>1.135</v>
      </c>
      <c r="AB1750" s="21">
        <f t="shared" si="512"/>
        <v>846730.08849557536</v>
      </c>
      <c r="AC1750" s="130">
        <f t="shared" si="513"/>
        <v>107958.08628318585</v>
      </c>
      <c r="AD1750" s="169">
        <v>0.1275</v>
      </c>
      <c r="AE1750" s="154">
        <f t="shared" si="514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22"/>
        <v>31296887.037898075</v>
      </c>
      <c r="AJ1750" s="19">
        <f t="shared" si="523"/>
        <v>3588873.9502021763</v>
      </c>
      <c r="AK1750" s="20">
        <f t="shared" si="515"/>
        <v>0.11467191436184473</v>
      </c>
      <c r="AL1750" s="17"/>
      <c r="AM1750" s="17"/>
      <c r="AN1750" s="17"/>
      <c r="AO1750" s="17"/>
      <c r="AP1750" s="28" t="str">
        <f t="shared" si="516"/>
        <v>20196</v>
      </c>
      <c r="AQ1750" s="28" t="str">
        <f t="shared" si="517"/>
        <v>20196RMB</v>
      </c>
      <c r="AR1750" s="206" t="str">
        <f t="shared" si="518"/>
        <v>YAMAHA_Mounter</v>
      </c>
      <c r="AS1750" s="22">
        <f t="shared" si="519"/>
        <v>1</v>
      </c>
      <c r="AT1750" s="24" t="str">
        <f t="shared" si="520"/>
        <v>0-3 months</v>
      </c>
    </row>
    <row r="1751" spans="1:46" s="12" customFormat="1">
      <c r="A1751" s="33" t="str">
        <f t="shared" si="508"/>
        <v>FY 21/22</v>
      </c>
      <c r="B1751" s="152">
        <v>2021</v>
      </c>
      <c r="C1751" s="152">
        <v>9</v>
      </c>
      <c r="D1751" s="33" t="str">
        <f t="shared" si="509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0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1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1"/>
        <v>1310000</v>
      </c>
      <c r="AA1751" s="13">
        <v>1.22</v>
      </c>
      <c r="AB1751" s="21">
        <f t="shared" si="512"/>
        <v>1414336.2831858408</v>
      </c>
      <c r="AC1751" s="130">
        <f t="shared" si="513"/>
        <v>285271.62831858406</v>
      </c>
      <c r="AD1751" s="169">
        <v>0.20169999999999999</v>
      </c>
      <c r="AE1751" s="154">
        <f t="shared" si="514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22"/>
        <v>31750699.113741599</v>
      </c>
      <c r="AJ1751" s="19">
        <f t="shared" si="523"/>
        <v>4396077.3195289988</v>
      </c>
      <c r="AK1751" s="20">
        <f t="shared" si="515"/>
        <v>0.13845607946397598</v>
      </c>
      <c r="AL1751" s="17"/>
      <c r="AM1751" s="17"/>
      <c r="AN1751" s="17"/>
      <c r="AO1751" s="17"/>
      <c r="AP1751" s="28" t="str">
        <f t="shared" si="516"/>
        <v>20222</v>
      </c>
      <c r="AQ1751" s="28" t="str">
        <f t="shared" si="517"/>
        <v>20222RMB</v>
      </c>
      <c r="AR1751" s="206" t="str">
        <f t="shared" si="518"/>
        <v>YAMAHA_Mounter</v>
      </c>
      <c r="AS1751" s="22">
        <f t="shared" si="519"/>
        <v>5</v>
      </c>
      <c r="AT1751" s="24" t="str">
        <f t="shared" si="520"/>
        <v>4-6 months</v>
      </c>
    </row>
    <row r="1752" spans="1:46" s="12" customFormat="1">
      <c r="A1752" s="33" t="str">
        <f t="shared" si="508"/>
        <v>FY 20/21</v>
      </c>
      <c r="B1752" s="152">
        <v>2020</v>
      </c>
      <c r="C1752" s="152">
        <v>10</v>
      </c>
      <c r="D1752" s="33" t="str">
        <f t="shared" si="509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0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1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1"/>
        <v>15450000</v>
      </c>
      <c r="AA1752" s="13">
        <v>7.6799999999999993E-2</v>
      </c>
      <c r="AB1752" s="21">
        <f t="shared" si="512"/>
        <v>1186560</v>
      </c>
      <c r="AC1752" s="130">
        <f t="shared" si="513"/>
        <v>133250.68799999999</v>
      </c>
      <c r="AD1752" s="169">
        <v>0.1123</v>
      </c>
      <c r="AE1752" s="154">
        <f t="shared" si="514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22"/>
        <v>45803245.025628321</v>
      </c>
      <c r="AJ1752" s="19">
        <f t="shared" si="523"/>
        <v>5664636.2584379362</v>
      </c>
      <c r="AK1752" s="20">
        <f t="shared" si="515"/>
        <v>0.12367325186825515</v>
      </c>
      <c r="AL1752" s="17"/>
      <c r="AM1752" s="17"/>
      <c r="AN1752" s="17"/>
      <c r="AO1752" s="17"/>
      <c r="AP1752" s="28" t="str">
        <f t="shared" si="516"/>
        <v>20211</v>
      </c>
      <c r="AQ1752" s="28" t="str">
        <f t="shared" si="517"/>
        <v>20211JPY</v>
      </c>
      <c r="AR1752" s="206" t="str">
        <f t="shared" si="518"/>
        <v>YAMAHA_Mounter</v>
      </c>
      <c r="AS1752" s="22">
        <f t="shared" si="519"/>
        <v>3</v>
      </c>
      <c r="AT1752" s="24" t="str">
        <f t="shared" si="520"/>
        <v>0-3 months</v>
      </c>
    </row>
    <row r="1753" spans="1:46" s="12" customFormat="1">
      <c r="A1753" s="33" t="str">
        <f t="shared" si="508"/>
        <v>FY 20/21</v>
      </c>
      <c r="B1753" s="152">
        <v>2020</v>
      </c>
      <c r="C1753" s="152">
        <v>10</v>
      </c>
      <c r="D1753" s="33" t="str">
        <f t="shared" si="509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0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1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1"/>
        <v>15450000</v>
      </c>
      <c r="AA1753" s="13">
        <v>7.6799999999999993E-2</v>
      </c>
      <c r="AB1753" s="21">
        <f t="shared" si="512"/>
        <v>1186560</v>
      </c>
      <c r="AC1753" s="130">
        <f t="shared" si="513"/>
        <v>133250.68799999999</v>
      </c>
      <c r="AD1753" s="169">
        <v>0.1123</v>
      </c>
      <c r="AE1753" s="154">
        <f t="shared" si="514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22"/>
        <v>45803245.025628321</v>
      </c>
      <c r="AJ1753" s="19">
        <f t="shared" si="523"/>
        <v>5664636.2584379362</v>
      </c>
      <c r="AK1753" s="20">
        <f t="shared" si="515"/>
        <v>0.12367325186825515</v>
      </c>
      <c r="AL1753" s="17"/>
      <c r="AM1753" s="17"/>
      <c r="AN1753" s="17"/>
      <c r="AO1753" s="17"/>
      <c r="AP1753" s="28" t="str">
        <f t="shared" si="516"/>
        <v>20211</v>
      </c>
      <c r="AQ1753" s="28" t="str">
        <f t="shared" si="517"/>
        <v>20211JPY</v>
      </c>
      <c r="AR1753" s="206" t="str">
        <f t="shared" si="518"/>
        <v>YAMAHA_Mounter</v>
      </c>
      <c r="AS1753" s="22">
        <f t="shared" si="519"/>
        <v>3</v>
      </c>
      <c r="AT1753" s="24" t="str">
        <f t="shared" si="520"/>
        <v>0-3 months</v>
      </c>
    </row>
    <row r="1754" spans="1:46" s="12" customFormat="1">
      <c r="A1754" s="33" t="str">
        <f t="shared" si="508"/>
        <v>FY 21/22</v>
      </c>
      <c r="B1754" s="152">
        <v>2021</v>
      </c>
      <c r="C1754" s="152">
        <v>6</v>
      </c>
      <c r="D1754" s="33" t="str">
        <f t="shared" si="509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0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1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1"/>
        <v>15300000</v>
      </c>
      <c r="AA1754" s="13">
        <v>7.0000000000000007E-2</v>
      </c>
      <c r="AB1754" s="21">
        <f t="shared" si="512"/>
        <v>1071000</v>
      </c>
      <c r="AC1754" s="130">
        <f t="shared" si="513"/>
        <v>115239.6</v>
      </c>
      <c r="AD1754" s="169">
        <v>0.1076</v>
      </c>
      <c r="AE1754" s="154">
        <f t="shared" si="514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22"/>
        <v>29500529.005044252</v>
      </c>
      <c r="AJ1754" s="19">
        <f t="shared" si="523"/>
        <v>3253064.846231177</v>
      </c>
      <c r="AK1754" s="20">
        <f t="shared" si="515"/>
        <v>0.11027140718984871</v>
      </c>
      <c r="AL1754" s="17"/>
      <c r="AM1754" s="17"/>
      <c r="AN1754" s="17"/>
      <c r="AO1754" s="17"/>
      <c r="AP1754" s="28" t="str">
        <f t="shared" si="516"/>
        <v>202111</v>
      </c>
      <c r="AQ1754" s="28" t="str">
        <f t="shared" si="517"/>
        <v>202111JPY</v>
      </c>
      <c r="AR1754" s="206" t="str">
        <f t="shared" si="518"/>
        <v>YAMAHA_Mounter</v>
      </c>
      <c r="AS1754" s="22">
        <f t="shared" si="519"/>
        <v>5</v>
      </c>
      <c r="AT1754" s="24" t="str">
        <f t="shared" si="520"/>
        <v>4-6 months</v>
      </c>
    </row>
    <row r="1755" spans="1:46" s="12" customFormat="1">
      <c r="A1755" s="33" t="str">
        <f t="shared" si="508"/>
        <v>FY 21/22</v>
      </c>
      <c r="B1755" s="152">
        <v>2021</v>
      </c>
      <c r="C1755" s="152">
        <v>6</v>
      </c>
      <c r="D1755" s="33" t="str">
        <f t="shared" si="509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0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1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1"/>
        <v>11000000</v>
      </c>
      <c r="AA1755" s="13">
        <v>7.0000000000000007E-2</v>
      </c>
      <c r="AB1755" s="21">
        <f t="shared" si="512"/>
        <v>770000.00000000012</v>
      </c>
      <c r="AC1755" s="130">
        <f t="shared" si="513"/>
        <v>82852.000000000015</v>
      </c>
      <c r="AD1755" s="169">
        <v>0.1076</v>
      </c>
      <c r="AE1755" s="154">
        <f t="shared" si="514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22"/>
        <v>29500529.005044252</v>
      </c>
      <c r="AJ1755" s="19">
        <f t="shared" si="523"/>
        <v>3253064.846231177</v>
      </c>
      <c r="AK1755" s="20">
        <f t="shared" si="515"/>
        <v>0.11027140718984871</v>
      </c>
      <c r="AL1755" s="17"/>
      <c r="AM1755" s="17"/>
      <c r="AN1755" s="17"/>
      <c r="AO1755" s="17"/>
      <c r="AP1755" s="28" t="str">
        <f t="shared" si="516"/>
        <v>202111</v>
      </c>
      <c r="AQ1755" s="28" t="str">
        <f t="shared" si="517"/>
        <v>202111JPY</v>
      </c>
      <c r="AR1755" s="206" t="str">
        <f t="shared" si="518"/>
        <v>YAMAHA_Mounter</v>
      </c>
      <c r="AS1755" s="22">
        <f t="shared" si="519"/>
        <v>5</v>
      </c>
      <c r="AT1755" s="24" t="str">
        <f t="shared" si="520"/>
        <v>4-6 months</v>
      </c>
    </row>
    <row r="1756" spans="1:46" s="12" customFormat="1">
      <c r="A1756" s="33" t="str">
        <f t="shared" si="508"/>
        <v>FY 23/24</v>
      </c>
      <c r="B1756" s="23">
        <v>2023</v>
      </c>
      <c r="C1756" s="152">
        <v>12</v>
      </c>
      <c r="D1756" s="33" t="str">
        <f t="shared" si="509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0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1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1"/>
        <v>15200000</v>
      </c>
      <c r="AA1756" s="22">
        <v>5.4199999999999998E-2</v>
      </c>
      <c r="AB1756" s="21">
        <f t="shared" si="512"/>
        <v>823840</v>
      </c>
      <c r="AC1756" s="25">
        <f t="shared" si="513"/>
        <v>112618.92799999999</v>
      </c>
      <c r="AD1756" s="169">
        <v>0.13669999999999999</v>
      </c>
      <c r="AE1756" s="26">
        <f t="shared" si="514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22"/>
        <v>10271727.486725664</v>
      </c>
      <c r="AJ1756" s="27">
        <f t="shared" si="523"/>
        <v>1227228.7260761063</v>
      </c>
      <c r="AK1756" s="28">
        <f t="shared" si="515"/>
        <v>0.11947637120066472</v>
      </c>
      <c r="AL1756" s="24"/>
      <c r="AM1756" s="24"/>
      <c r="AN1756" s="24"/>
      <c r="AO1756" s="24"/>
      <c r="AP1756" s="28" t="str">
        <f t="shared" si="516"/>
        <v>202312</v>
      </c>
      <c r="AQ1756" s="28" t="str">
        <f t="shared" si="517"/>
        <v>202312JPY</v>
      </c>
      <c r="AR1756" s="206" t="str">
        <f t="shared" si="518"/>
        <v>YAMAHA_Mounter</v>
      </c>
      <c r="AS1756" s="22">
        <f t="shared" si="519"/>
        <v>0</v>
      </c>
      <c r="AT1756" s="24" t="str">
        <f t="shared" si="520"/>
        <v>0-3 months</v>
      </c>
    </row>
    <row r="1757" spans="1:46" s="12" customFormat="1">
      <c r="A1757" s="33" t="str">
        <f t="shared" si="508"/>
        <v>FY 20/21</v>
      </c>
      <c r="B1757" s="152">
        <v>2020</v>
      </c>
      <c r="C1757" s="152">
        <v>9</v>
      </c>
      <c r="D1757" s="33" t="str">
        <f t="shared" si="509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0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1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1"/>
        <v>1400000</v>
      </c>
      <c r="AA1757" s="13">
        <v>1.155</v>
      </c>
      <c r="AB1757" s="21">
        <f t="shared" si="512"/>
        <v>1430973.4513274338</v>
      </c>
      <c r="AC1757" s="130">
        <f t="shared" si="513"/>
        <v>128930.70796460178</v>
      </c>
      <c r="AD1757" s="169">
        <v>9.01E-2</v>
      </c>
      <c r="AE1757" s="154">
        <f t="shared" si="514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22"/>
        <v>44078731.611185849</v>
      </c>
      <c r="AJ1757" s="19">
        <f t="shared" si="523"/>
        <v>5508173.2163771465</v>
      </c>
      <c r="AK1757" s="20">
        <f t="shared" si="515"/>
        <v>0.12496215328889679</v>
      </c>
      <c r="AL1757" s="17"/>
      <c r="AM1757" s="17"/>
      <c r="AN1757" s="17"/>
      <c r="AO1757" s="17"/>
      <c r="AP1757" s="28" t="str">
        <f t="shared" si="516"/>
        <v>202011</v>
      </c>
      <c r="AQ1757" s="28" t="str">
        <f t="shared" si="517"/>
        <v>202011RMB</v>
      </c>
      <c r="AR1757" s="206" t="str">
        <f t="shared" si="518"/>
        <v>YAMAHA_Mounter</v>
      </c>
      <c r="AS1757" s="22">
        <f t="shared" si="519"/>
        <v>2</v>
      </c>
      <c r="AT1757" s="24" t="str">
        <f t="shared" si="520"/>
        <v>0-3 months</v>
      </c>
    </row>
    <row r="1758" spans="1:46" s="12" customFormat="1">
      <c r="A1758" s="33" t="str">
        <f t="shared" si="508"/>
        <v>FY 20/21</v>
      </c>
      <c r="B1758" s="152">
        <v>2020</v>
      </c>
      <c r="C1758" s="152">
        <v>9</v>
      </c>
      <c r="D1758" s="33" t="str">
        <f t="shared" si="509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0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1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1"/>
        <v>1400000</v>
      </c>
      <c r="AA1758" s="13">
        <v>1.155</v>
      </c>
      <c r="AB1758" s="21">
        <f t="shared" si="512"/>
        <v>1430973.4513274338</v>
      </c>
      <c r="AC1758" s="130">
        <f t="shared" si="513"/>
        <v>128930.70796460178</v>
      </c>
      <c r="AD1758" s="169">
        <v>9.01E-2</v>
      </c>
      <c r="AE1758" s="154">
        <f t="shared" si="514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22"/>
        <v>44078731.611185849</v>
      </c>
      <c r="AJ1758" s="19">
        <f t="shared" si="523"/>
        <v>5508173.2163771465</v>
      </c>
      <c r="AK1758" s="20">
        <f t="shared" si="515"/>
        <v>0.12496215328889679</v>
      </c>
      <c r="AL1758" s="17"/>
      <c r="AM1758" s="17"/>
      <c r="AN1758" s="17"/>
      <c r="AO1758" s="17"/>
      <c r="AP1758" s="28" t="str">
        <f t="shared" si="516"/>
        <v>202011</v>
      </c>
      <c r="AQ1758" s="28" t="str">
        <f t="shared" si="517"/>
        <v>202011RMB</v>
      </c>
      <c r="AR1758" s="206" t="str">
        <f t="shared" si="518"/>
        <v>YAMAHA_Mounter</v>
      </c>
      <c r="AS1758" s="22">
        <f t="shared" si="519"/>
        <v>2</v>
      </c>
      <c r="AT1758" s="24" t="str">
        <f t="shared" si="520"/>
        <v>0-3 months</v>
      </c>
    </row>
    <row r="1759" spans="1:46" s="12" customFormat="1">
      <c r="A1759" s="33" t="str">
        <f t="shared" si="508"/>
        <v>cancel</v>
      </c>
      <c r="B1759" s="152"/>
      <c r="C1759" s="152" t="s">
        <v>186</v>
      </c>
      <c r="D1759" s="33" t="str">
        <f t="shared" si="509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0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1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1"/>
        <v>1416800</v>
      </c>
      <c r="AA1759" s="13">
        <v>1.095</v>
      </c>
      <c r="AB1759" s="21">
        <f t="shared" si="512"/>
        <v>1372916.814159292</v>
      </c>
      <c r="AC1759" s="130">
        <f t="shared" si="513"/>
        <v>164750.01769911504</v>
      </c>
      <c r="AD1759" s="169">
        <v>0.12</v>
      </c>
      <c r="AE1759" s="154">
        <f t="shared" si="514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22"/>
        <v>477651199.57437885</v>
      </c>
      <c r="AJ1759" s="19">
        <f t="shared" si="523"/>
        <v>56918800.518691957</v>
      </c>
      <c r="AK1759" s="20">
        <f t="shared" si="515"/>
        <v>0.11916394341605475</v>
      </c>
      <c r="AL1759" s="17"/>
      <c r="AM1759" s="17"/>
      <c r="AN1759" s="17"/>
      <c r="AO1759" s="17"/>
      <c r="AP1759" s="28" t="str">
        <f t="shared" si="516"/>
        <v>CancelCancel</v>
      </c>
      <c r="AQ1759" s="28" t="str">
        <f t="shared" si="517"/>
        <v>CancelCancelRMB</v>
      </c>
      <c r="AR1759" s="206" t="str">
        <f t="shared" si="518"/>
        <v>YAMAHA_Mounter</v>
      </c>
      <c r="AS1759" s="22" t="str">
        <f t="shared" si="519"/>
        <v/>
      </c>
      <c r="AT1759" s="24" t="str">
        <f t="shared" si="520"/>
        <v/>
      </c>
    </row>
    <row r="1760" spans="1:46" s="12" customFormat="1">
      <c r="A1760" s="33" t="str">
        <f t="shared" ref="A1760:A1823" si="525">IF(C1760="cancel","cancel",IFERROR(IF(D1760="Q4","FY "&amp;RIGHT(B1760,2)-1&amp;"/"&amp;RIGHT(B1760,2),"FY "&amp;RIGHT(B1760,2)&amp;"/"&amp;RIGHT(B1760,2)+1),""))</f>
        <v>cancel</v>
      </c>
      <c r="B1760" s="152"/>
      <c r="C1760" s="152" t="s">
        <v>186</v>
      </c>
      <c r="D1760" s="33" t="str">
        <f t="shared" ref="D1760:D1823" si="526">IF(B1760="","",IF(AND(C1760&gt;=10,C1760&lt;=12),"Q3",IF(AND(C1760&gt;=1,C1760&lt;=3),"Q4",IF(AND(C1760&gt;=7,C1760&lt;=9),"Q2",IF(AND(C1760&gt;=4,C1760&lt;=6),"Q1")))))</f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ref="I1760:I1823" si="527">IFERROR(IF(F1760="","",IF(F1760="TBA","TBA",IF(F1760="Cancel","Cancel",IF(AND(G1760&gt;=10,G1760&lt;=12),"Q3",IF(AND(G1760&gt;=1,G1760&lt;=3),"Q4",IF(AND(G1760&gt;=7,G1760&lt;=9),"Q2",IF(AND(G1760&gt;=4,G1760&lt;=6),"Q1"))))))),"")</f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ref="P1760:P1823" si="528">IF(M1760="","",IF(AND(N1760&gt;0,L1760&lt;&gt;""),"MAIN UNIT",IF(AND(O1760&gt;0,L1760&lt;&gt;""),"SERVICE/ PARTS","C66 SERVICE/OTHERS")))</f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1"/>
        <v>1416800</v>
      </c>
      <c r="AA1760" s="13">
        <v>1.095</v>
      </c>
      <c r="AB1760" s="21">
        <f t="shared" ref="AB1760:AB1823" si="529">IF(AND(R1760&lt;&gt;"C66",R1760&lt;&gt;""),Z1760/Y1760*AA1760,"")</f>
        <v>1372916.814159292</v>
      </c>
      <c r="AC1760" s="130">
        <f t="shared" ref="AC1760:AC1823" si="530">IF(R1760&lt;&gt;"",AB1760*AD1760,"")</f>
        <v>164750.01769911504</v>
      </c>
      <c r="AD1760" s="169">
        <v>0.12</v>
      </c>
      <c r="AE1760" s="154">
        <f t="shared" ref="AE1760:AE1823" si="531">IF(Q1760="","",IF(Q1760="Yes",1,0))</f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22"/>
        <v>477651199.57437885</v>
      </c>
      <c r="AJ1760" s="19">
        <f t="shared" si="523"/>
        <v>56918800.518691957</v>
      </c>
      <c r="AK1760" s="20">
        <f t="shared" ref="AK1760:AK1823" si="532">IF(AJ1760&gt;0,AJ1760/AI1760,"")</f>
        <v>0.11916394341605475</v>
      </c>
      <c r="AL1760" s="17"/>
      <c r="AM1760" s="17"/>
      <c r="AN1760" s="17"/>
      <c r="AO1760" s="17"/>
      <c r="AP1760" s="28" t="str">
        <f t="shared" ref="AP1760:AP1823" si="533">IF(F1760="","",F1760&amp;G1760)</f>
        <v>CancelCancel</v>
      </c>
      <c r="AQ1760" s="28" t="str">
        <f t="shared" ref="AQ1760:AQ1823" si="534">IF(W1760="","",F1760&amp;G1760&amp;W1760)</f>
        <v>CancelCancelRMB</v>
      </c>
      <c r="AR1760" s="206" t="str">
        <f t="shared" ref="AR1760:AR1823" si="535">IFERROR(IF(AND(M1760="YAMAHA", R1760="C28"), "YAMAHA_Non_Mounter", IF(AND(M1760="YAMAHA", R1760="C49"), "YAMAHA_Mounter", M1760)),"")</f>
        <v>YAMAHA_Mounter</v>
      </c>
      <c r="AS1760" s="22" t="str">
        <f t="shared" ref="AS1760:AS1823" si="536">IFERROR(IF(OR(G1760="TBA", G1760=""), "", DATEDIF(DATE(B1760, C1760, 1), DATE(F1760, G1760, 1), "M")),"")</f>
        <v/>
      </c>
      <c r="AT1760" s="24" t="str">
        <f t="shared" ref="AT1760:AT1823" si="537">IF(ISNUMBER(AS1760), IF(AS1760&gt;=0, IF(AS1760&lt;=3, "0-3 months", IF(AS1760&lt;=6, "4-6 months", "&gt; 6 months"))), "")</f>
        <v/>
      </c>
    </row>
    <row r="1761" spans="1:46" s="12" customFormat="1">
      <c r="A1761" s="33" t="str">
        <f t="shared" si="525"/>
        <v>cancel</v>
      </c>
      <c r="B1761" s="152"/>
      <c r="C1761" s="152" t="s">
        <v>186</v>
      </c>
      <c r="D1761" s="33" t="str">
        <f t="shared" si="526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27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28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1"/>
        <v>1416800</v>
      </c>
      <c r="AA1761" s="13">
        <v>1.095</v>
      </c>
      <c r="AB1761" s="21">
        <f t="shared" si="529"/>
        <v>1372916.814159292</v>
      </c>
      <c r="AC1761" s="130">
        <f t="shared" si="530"/>
        <v>164750.01769911504</v>
      </c>
      <c r="AD1761" s="169">
        <v>0.12</v>
      </c>
      <c r="AE1761" s="154">
        <f t="shared" si="531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22"/>
        <v>477651199.57437885</v>
      </c>
      <c r="AJ1761" s="19">
        <f t="shared" si="523"/>
        <v>56918800.518691957</v>
      </c>
      <c r="AK1761" s="20">
        <f t="shared" si="532"/>
        <v>0.11916394341605475</v>
      </c>
      <c r="AL1761" s="17"/>
      <c r="AM1761" s="17"/>
      <c r="AN1761" s="17"/>
      <c r="AO1761" s="17"/>
      <c r="AP1761" s="28" t="str">
        <f t="shared" si="533"/>
        <v>CancelCancel</v>
      </c>
      <c r="AQ1761" s="28" t="str">
        <f t="shared" si="534"/>
        <v>CancelCancelRMB</v>
      </c>
      <c r="AR1761" s="206" t="str">
        <f t="shared" si="535"/>
        <v>YAMAHA_Mounter</v>
      </c>
      <c r="AS1761" s="22" t="str">
        <f t="shared" si="536"/>
        <v/>
      </c>
      <c r="AT1761" s="24" t="str">
        <f t="shared" si="537"/>
        <v/>
      </c>
    </row>
    <row r="1762" spans="1:46" s="12" customFormat="1">
      <c r="A1762" s="33" t="str">
        <f t="shared" si="525"/>
        <v>cancel</v>
      </c>
      <c r="B1762" s="152"/>
      <c r="C1762" s="152" t="s">
        <v>186</v>
      </c>
      <c r="D1762" s="33" t="str">
        <f t="shared" si="526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27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28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1"/>
        <v>1416800</v>
      </c>
      <c r="AA1762" s="13">
        <v>1.095</v>
      </c>
      <c r="AB1762" s="21">
        <f t="shared" si="529"/>
        <v>1372916.814159292</v>
      </c>
      <c r="AC1762" s="130">
        <f t="shared" si="530"/>
        <v>164750.01769911504</v>
      </c>
      <c r="AD1762" s="169">
        <v>0.12</v>
      </c>
      <c r="AE1762" s="154">
        <f t="shared" si="531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22"/>
        <v>477651199.57437885</v>
      </c>
      <c r="AJ1762" s="19">
        <f t="shared" si="523"/>
        <v>56918800.518691957</v>
      </c>
      <c r="AK1762" s="20">
        <f t="shared" si="532"/>
        <v>0.11916394341605475</v>
      </c>
      <c r="AL1762" s="17"/>
      <c r="AM1762" s="17"/>
      <c r="AN1762" s="17"/>
      <c r="AO1762" s="17"/>
      <c r="AP1762" s="28" t="str">
        <f t="shared" si="533"/>
        <v>CancelCancel</v>
      </c>
      <c r="AQ1762" s="28" t="str">
        <f t="shared" si="534"/>
        <v>CancelCancelRMB</v>
      </c>
      <c r="AR1762" s="206" t="str">
        <f t="shared" si="535"/>
        <v>YAMAHA_Mounter</v>
      </c>
      <c r="AS1762" s="22" t="str">
        <f t="shared" si="536"/>
        <v/>
      </c>
      <c r="AT1762" s="24" t="str">
        <f t="shared" si="537"/>
        <v/>
      </c>
    </row>
    <row r="1763" spans="1:46" s="12" customFormat="1">
      <c r="A1763" s="33" t="str">
        <f t="shared" si="525"/>
        <v>cancel</v>
      </c>
      <c r="B1763" s="152"/>
      <c r="C1763" s="152" t="s">
        <v>186</v>
      </c>
      <c r="D1763" s="33" t="str">
        <f t="shared" si="526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27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28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1"/>
        <v>1416800</v>
      </c>
      <c r="AA1763" s="13">
        <v>1.095</v>
      </c>
      <c r="AB1763" s="21">
        <f t="shared" si="529"/>
        <v>1372916.814159292</v>
      </c>
      <c r="AC1763" s="130">
        <f t="shared" si="530"/>
        <v>164750.01769911504</v>
      </c>
      <c r="AD1763" s="169">
        <v>0.12</v>
      </c>
      <c r="AE1763" s="154">
        <f t="shared" si="531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22"/>
        <v>477651199.57437885</v>
      </c>
      <c r="AJ1763" s="19">
        <f t="shared" si="523"/>
        <v>56918800.518691957</v>
      </c>
      <c r="AK1763" s="20">
        <f t="shared" si="532"/>
        <v>0.11916394341605475</v>
      </c>
      <c r="AL1763" s="17"/>
      <c r="AM1763" s="17"/>
      <c r="AN1763" s="17"/>
      <c r="AO1763" s="17"/>
      <c r="AP1763" s="28" t="str">
        <f t="shared" si="533"/>
        <v>CancelCancel</v>
      </c>
      <c r="AQ1763" s="28" t="str">
        <f t="shared" si="534"/>
        <v>CancelCancelRMB</v>
      </c>
      <c r="AR1763" s="206" t="str">
        <f t="shared" si="535"/>
        <v>YAMAHA_Mounter</v>
      </c>
      <c r="AS1763" s="22" t="str">
        <f t="shared" si="536"/>
        <v/>
      </c>
      <c r="AT1763" s="24" t="str">
        <f t="shared" si="537"/>
        <v/>
      </c>
    </row>
    <row r="1764" spans="1:46" s="12" customFormat="1">
      <c r="A1764" s="33" t="str">
        <f t="shared" si="525"/>
        <v>cancel</v>
      </c>
      <c r="B1764" s="152"/>
      <c r="C1764" s="152" t="s">
        <v>186</v>
      </c>
      <c r="D1764" s="33" t="str">
        <f t="shared" si="526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27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28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1"/>
        <v>1416800</v>
      </c>
      <c r="AA1764" s="13">
        <v>1.095</v>
      </c>
      <c r="AB1764" s="21">
        <f t="shared" si="529"/>
        <v>1372916.814159292</v>
      </c>
      <c r="AC1764" s="130">
        <f t="shared" si="530"/>
        <v>164750.01769911504</v>
      </c>
      <c r="AD1764" s="169">
        <v>0.12</v>
      </c>
      <c r="AE1764" s="154">
        <f t="shared" si="531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22"/>
        <v>477651199.57437885</v>
      </c>
      <c r="AJ1764" s="19">
        <f t="shared" si="523"/>
        <v>56918800.518691957</v>
      </c>
      <c r="AK1764" s="20">
        <f t="shared" si="532"/>
        <v>0.11916394341605475</v>
      </c>
      <c r="AL1764" s="17"/>
      <c r="AM1764" s="17"/>
      <c r="AN1764" s="17"/>
      <c r="AO1764" s="17"/>
      <c r="AP1764" s="28" t="str">
        <f t="shared" si="533"/>
        <v>CancelCancel</v>
      </c>
      <c r="AQ1764" s="28" t="str">
        <f t="shared" si="534"/>
        <v>CancelCancelRMB</v>
      </c>
      <c r="AR1764" s="206" t="str">
        <f t="shared" si="535"/>
        <v>YAMAHA_Mounter</v>
      </c>
      <c r="AS1764" s="22" t="str">
        <f t="shared" si="536"/>
        <v/>
      </c>
      <c r="AT1764" s="24" t="str">
        <f t="shared" si="537"/>
        <v/>
      </c>
    </row>
    <row r="1765" spans="1:46" s="12" customFormat="1">
      <c r="A1765" s="33" t="str">
        <f t="shared" si="525"/>
        <v>cancel</v>
      </c>
      <c r="B1765" s="152"/>
      <c r="C1765" s="152" t="s">
        <v>186</v>
      </c>
      <c r="D1765" s="33" t="str">
        <f t="shared" si="526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27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28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1"/>
        <v>18880000</v>
      </c>
      <c r="AA1765" s="13">
        <v>7.4099999999999999E-2</v>
      </c>
      <c r="AB1765" s="21">
        <f t="shared" si="529"/>
        <v>1399008</v>
      </c>
      <c r="AC1765" s="130">
        <f t="shared" si="530"/>
        <v>167880.95999999999</v>
      </c>
      <c r="AD1765" s="169">
        <v>0.12</v>
      </c>
      <c r="AE1765" s="154">
        <f t="shared" si="531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22"/>
        <v>477651199.57437885</v>
      </c>
      <c r="AJ1765" s="19">
        <f t="shared" si="523"/>
        <v>56918800.518691957</v>
      </c>
      <c r="AK1765" s="20">
        <f t="shared" si="532"/>
        <v>0.11916394341605475</v>
      </c>
      <c r="AL1765" s="17"/>
      <c r="AM1765" s="17"/>
      <c r="AN1765" s="17"/>
      <c r="AO1765" s="17"/>
      <c r="AP1765" s="28" t="str">
        <f t="shared" si="533"/>
        <v>CancelCancel</v>
      </c>
      <c r="AQ1765" s="28" t="str">
        <f t="shared" si="534"/>
        <v>CancelCancelJPY</v>
      </c>
      <c r="AR1765" s="206" t="str">
        <f t="shared" si="535"/>
        <v>YAMAHA_Mounter</v>
      </c>
      <c r="AS1765" s="22" t="str">
        <f t="shared" si="536"/>
        <v/>
      </c>
      <c r="AT1765" s="24" t="str">
        <f t="shared" si="537"/>
        <v/>
      </c>
    </row>
    <row r="1766" spans="1:46" s="12" customFormat="1">
      <c r="A1766" s="33" t="str">
        <f t="shared" si="525"/>
        <v>cancel</v>
      </c>
      <c r="B1766" s="152"/>
      <c r="C1766" s="152" t="s">
        <v>186</v>
      </c>
      <c r="D1766" s="33" t="str">
        <f t="shared" si="526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27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28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1"/>
        <v>18880000</v>
      </c>
      <c r="AA1766" s="13">
        <v>7.4099999999999999E-2</v>
      </c>
      <c r="AB1766" s="21">
        <f t="shared" si="529"/>
        <v>1399008</v>
      </c>
      <c r="AC1766" s="130">
        <f t="shared" si="530"/>
        <v>167880.95999999999</v>
      </c>
      <c r="AD1766" s="169">
        <v>0.12</v>
      </c>
      <c r="AE1766" s="154">
        <f t="shared" si="531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22"/>
        <v>477651199.57437885</v>
      </c>
      <c r="AJ1766" s="19">
        <f t="shared" si="523"/>
        <v>56918800.518691957</v>
      </c>
      <c r="AK1766" s="20">
        <f t="shared" si="532"/>
        <v>0.11916394341605475</v>
      </c>
      <c r="AL1766" s="17"/>
      <c r="AM1766" s="17"/>
      <c r="AN1766" s="17"/>
      <c r="AO1766" s="17"/>
      <c r="AP1766" s="28" t="str">
        <f t="shared" si="533"/>
        <v>CancelCancel</v>
      </c>
      <c r="AQ1766" s="28" t="str">
        <f t="shared" si="534"/>
        <v>CancelCancelJPY</v>
      </c>
      <c r="AR1766" s="206" t="str">
        <f t="shared" si="535"/>
        <v>YAMAHA_Mounter</v>
      </c>
      <c r="AS1766" s="22" t="str">
        <f t="shared" si="536"/>
        <v/>
      </c>
      <c r="AT1766" s="24" t="str">
        <f t="shared" si="537"/>
        <v/>
      </c>
    </row>
    <row r="1767" spans="1:46" s="12" customFormat="1">
      <c r="A1767" s="33" t="str">
        <f t="shared" si="525"/>
        <v>cancel</v>
      </c>
      <c r="B1767" s="152"/>
      <c r="C1767" s="152" t="s">
        <v>186</v>
      </c>
      <c r="D1767" s="33" t="str">
        <f t="shared" si="526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27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28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1"/>
        <v>18880000</v>
      </c>
      <c r="AA1767" s="13">
        <v>7.4099999999999999E-2</v>
      </c>
      <c r="AB1767" s="21">
        <f t="shared" si="529"/>
        <v>1399008</v>
      </c>
      <c r="AC1767" s="130">
        <f t="shared" si="530"/>
        <v>167880.95999999999</v>
      </c>
      <c r="AD1767" s="169">
        <v>0.12</v>
      </c>
      <c r="AE1767" s="154">
        <f t="shared" si="531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22"/>
        <v>477651199.57437885</v>
      </c>
      <c r="AJ1767" s="19">
        <f t="shared" si="523"/>
        <v>56918800.518691957</v>
      </c>
      <c r="AK1767" s="20">
        <f t="shared" si="532"/>
        <v>0.11916394341605475</v>
      </c>
      <c r="AL1767" s="17"/>
      <c r="AM1767" s="17"/>
      <c r="AN1767" s="17"/>
      <c r="AO1767" s="17"/>
      <c r="AP1767" s="28" t="str">
        <f t="shared" si="533"/>
        <v>CancelCancel</v>
      </c>
      <c r="AQ1767" s="28" t="str">
        <f t="shared" si="534"/>
        <v>CancelCancelJPY</v>
      </c>
      <c r="AR1767" s="206" t="str">
        <f t="shared" si="535"/>
        <v>YAMAHA_Mounter</v>
      </c>
      <c r="AS1767" s="22" t="str">
        <f t="shared" si="536"/>
        <v/>
      </c>
      <c r="AT1767" s="24" t="str">
        <f t="shared" si="537"/>
        <v/>
      </c>
    </row>
    <row r="1768" spans="1:46" s="12" customFormat="1">
      <c r="A1768" s="33" t="str">
        <f t="shared" si="525"/>
        <v>cancel</v>
      </c>
      <c r="B1768" s="152"/>
      <c r="C1768" s="152" t="s">
        <v>186</v>
      </c>
      <c r="D1768" s="33" t="str">
        <f t="shared" si="526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27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28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1"/>
        <v>18880000</v>
      </c>
      <c r="AA1768" s="13">
        <v>7.4099999999999999E-2</v>
      </c>
      <c r="AB1768" s="21">
        <f t="shared" si="529"/>
        <v>1399008</v>
      </c>
      <c r="AC1768" s="130">
        <f t="shared" si="530"/>
        <v>167880.95999999999</v>
      </c>
      <c r="AD1768" s="169">
        <v>0.12</v>
      </c>
      <c r="AE1768" s="154">
        <f t="shared" si="531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22"/>
        <v>477651199.57437885</v>
      </c>
      <c r="AJ1768" s="19">
        <f t="shared" si="523"/>
        <v>56918800.518691957</v>
      </c>
      <c r="AK1768" s="20">
        <f t="shared" si="532"/>
        <v>0.11916394341605475</v>
      </c>
      <c r="AL1768" s="17"/>
      <c r="AM1768" s="17"/>
      <c r="AN1768" s="17"/>
      <c r="AO1768" s="17"/>
      <c r="AP1768" s="28" t="str">
        <f t="shared" si="533"/>
        <v>CancelCancel</v>
      </c>
      <c r="AQ1768" s="28" t="str">
        <f t="shared" si="534"/>
        <v>CancelCancelJPY</v>
      </c>
      <c r="AR1768" s="206" t="str">
        <f t="shared" si="535"/>
        <v>YAMAHA_Mounter</v>
      </c>
      <c r="AS1768" s="22" t="str">
        <f t="shared" si="536"/>
        <v/>
      </c>
      <c r="AT1768" s="24" t="str">
        <f t="shared" si="537"/>
        <v/>
      </c>
    </row>
    <row r="1769" spans="1:46" s="12" customFormat="1">
      <c r="A1769" s="33" t="str">
        <f t="shared" si="525"/>
        <v>cancel</v>
      </c>
      <c r="B1769" s="152"/>
      <c r="C1769" s="152" t="s">
        <v>186</v>
      </c>
      <c r="D1769" s="33" t="str">
        <f t="shared" si="526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27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28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1"/>
        <v>18880000</v>
      </c>
      <c r="AA1769" s="13">
        <v>7.4099999999999999E-2</v>
      </c>
      <c r="AB1769" s="21">
        <f t="shared" si="529"/>
        <v>1399008</v>
      </c>
      <c r="AC1769" s="130">
        <f t="shared" si="530"/>
        <v>167880.95999999999</v>
      </c>
      <c r="AD1769" s="169">
        <v>0.12</v>
      </c>
      <c r="AE1769" s="154">
        <f t="shared" si="531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22"/>
        <v>477651199.57437885</v>
      </c>
      <c r="AJ1769" s="19">
        <f t="shared" si="523"/>
        <v>56918800.518691957</v>
      </c>
      <c r="AK1769" s="20">
        <f t="shared" si="532"/>
        <v>0.11916394341605475</v>
      </c>
      <c r="AL1769" s="17"/>
      <c r="AM1769" s="17"/>
      <c r="AN1769" s="17"/>
      <c r="AO1769" s="17"/>
      <c r="AP1769" s="28" t="str">
        <f t="shared" si="533"/>
        <v>CancelCancel</v>
      </c>
      <c r="AQ1769" s="28" t="str">
        <f t="shared" si="534"/>
        <v>CancelCancelJPY</v>
      </c>
      <c r="AR1769" s="206" t="str">
        <f t="shared" si="535"/>
        <v>YAMAHA_Mounter</v>
      </c>
      <c r="AS1769" s="22" t="str">
        <f t="shared" si="536"/>
        <v/>
      </c>
      <c r="AT1769" s="24" t="str">
        <f t="shared" si="537"/>
        <v/>
      </c>
    </row>
    <row r="1770" spans="1:46" s="12" customFormat="1">
      <c r="A1770" s="33" t="str">
        <f t="shared" si="525"/>
        <v>cancel</v>
      </c>
      <c r="B1770" s="152"/>
      <c r="C1770" s="152" t="s">
        <v>186</v>
      </c>
      <c r="D1770" s="33" t="str">
        <f t="shared" si="526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27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28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1"/>
        <v>18880000</v>
      </c>
      <c r="AA1770" s="13">
        <v>7.4099999999999999E-2</v>
      </c>
      <c r="AB1770" s="21">
        <f t="shared" si="529"/>
        <v>1399008</v>
      </c>
      <c r="AC1770" s="130">
        <f t="shared" si="530"/>
        <v>167880.95999999999</v>
      </c>
      <c r="AD1770" s="169">
        <v>0.12</v>
      </c>
      <c r="AE1770" s="154">
        <f t="shared" si="531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22"/>
        <v>477651199.57437885</v>
      </c>
      <c r="AJ1770" s="19">
        <f t="shared" si="523"/>
        <v>56918800.518691957</v>
      </c>
      <c r="AK1770" s="20">
        <f t="shared" si="532"/>
        <v>0.11916394341605475</v>
      </c>
      <c r="AL1770" s="17"/>
      <c r="AM1770" s="17"/>
      <c r="AN1770" s="17"/>
      <c r="AO1770" s="17"/>
      <c r="AP1770" s="28" t="str">
        <f t="shared" si="533"/>
        <v>CancelCancel</v>
      </c>
      <c r="AQ1770" s="28" t="str">
        <f t="shared" si="534"/>
        <v>CancelCancelJPY</v>
      </c>
      <c r="AR1770" s="206" t="str">
        <f t="shared" si="535"/>
        <v>YAMAHA_Mounter</v>
      </c>
      <c r="AS1770" s="22" t="str">
        <f t="shared" si="536"/>
        <v/>
      </c>
      <c r="AT1770" s="24" t="str">
        <f t="shared" si="537"/>
        <v/>
      </c>
    </row>
    <row r="1771" spans="1:46" s="12" customFormat="1">
      <c r="A1771" s="33" t="str">
        <f t="shared" si="525"/>
        <v>cancel</v>
      </c>
      <c r="B1771" s="152"/>
      <c r="C1771" s="152" t="s">
        <v>186</v>
      </c>
      <c r="D1771" s="33" t="str">
        <f t="shared" si="526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27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28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1"/>
        <v>9500000</v>
      </c>
      <c r="AA1771" s="13">
        <v>7.4899999999999994E-2</v>
      </c>
      <c r="AB1771" s="21">
        <f t="shared" si="529"/>
        <v>711550</v>
      </c>
      <c r="AC1771" s="130">
        <f t="shared" si="530"/>
        <v>85386</v>
      </c>
      <c r="AD1771" s="169">
        <v>0.12</v>
      </c>
      <c r="AE1771" s="154">
        <f t="shared" si="531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22"/>
        <v>477651199.57437885</v>
      </c>
      <c r="AJ1771" s="19">
        <f t="shared" si="523"/>
        <v>56918800.518691957</v>
      </c>
      <c r="AK1771" s="20">
        <f t="shared" si="532"/>
        <v>0.11916394341605475</v>
      </c>
      <c r="AL1771" s="17"/>
      <c r="AM1771" s="17"/>
      <c r="AN1771" s="17"/>
      <c r="AO1771" s="17"/>
      <c r="AP1771" s="28" t="str">
        <f t="shared" si="533"/>
        <v>CancelCancel</v>
      </c>
      <c r="AQ1771" s="28" t="str">
        <f t="shared" si="534"/>
        <v>CancelCancelJPY</v>
      </c>
      <c r="AR1771" s="206" t="str">
        <f t="shared" si="535"/>
        <v>YAMAHA_Mounter</v>
      </c>
      <c r="AS1771" s="22" t="str">
        <f t="shared" si="536"/>
        <v/>
      </c>
      <c r="AT1771" s="24" t="str">
        <f t="shared" si="537"/>
        <v/>
      </c>
    </row>
    <row r="1772" spans="1:46" s="12" customFormat="1">
      <c r="A1772" s="33" t="str">
        <f t="shared" si="525"/>
        <v>FY 20/21</v>
      </c>
      <c r="B1772" s="152">
        <v>2020</v>
      </c>
      <c r="C1772" s="152">
        <v>11</v>
      </c>
      <c r="D1772" s="33" t="str">
        <f t="shared" si="526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27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28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38">IF(W1772="RMB","1.13", "1")</f>
        <v>1</v>
      </c>
      <c r="Z1772" s="18">
        <f t="shared" si="521"/>
        <v>7940000</v>
      </c>
      <c r="AA1772" s="13">
        <v>7.6799999999999993E-2</v>
      </c>
      <c r="AB1772" s="21">
        <f t="shared" si="529"/>
        <v>609792</v>
      </c>
      <c r="AC1772" s="130">
        <f t="shared" si="530"/>
        <v>77809.459199999998</v>
      </c>
      <c r="AD1772" s="169">
        <v>0.12759999999999999</v>
      </c>
      <c r="AE1772" s="154">
        <f t="shared" si="531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22"/>
        <v>45803245.025628321</v>
      </c>
      <c r="AJ1772" s="19">
        <f t="shared" si="523"/>
        <v>5664636.2584379362</v>
      </c>
      <c r="AK1772" s="20">
        <f t="shared" si="532"/>
        <v>0.12367325186825515</v>
      </c>
      <c r="AL1772" s="17"/>
      <c r="AM1772" s="17"/>
      <c r="AN1772" s="17"/>
      <c r="AO1772" s="17"/>
      <c r="AP1772" s="28" t="str">
        <f t="shared" si="533"/>
        <v>20211</v>
      </c>
      <c r="AQ1772" s="28" t="str">
        <f t="shared" si="534"/>
        <v>20211JPY</v>
      </c>
      <c r="AR1772" s="206" t="str">
        <f t="shared" si="535"/>
        <v>YAMAHA_Mounter</v>
      </c>
      <c r="AS1772" s="22">
        <f t="shared" si="536"/>
        <v>2</v>
      </c>
      <c r="AT1772" s="24" t="str">
        <f t="shared" si="537"/>
        <v>0-3 months</v>
      </c>
    </row>
    <row r="1773" spans="1:46" s="12" customFormat="1">
      <c r="A1773" s="33" t="str">
        <f t="shared" si="525"/>
        <v>FY 20/21</v>
      </c>
      <c r="B1773" s="152">
        <v>2020</v>
      </c>
      <c r="C1773" s="152">
        <v>11</v>
      </c>
      <c r="D1773" s="33" t="str">
        <f t="shared" si="526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27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28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38"/>
        <v>1</v>
      </c>
      <c r="Z1773" s="18">
        <f t="shared" si="521"/>
        <v>7940000</v>
      </c>
      <c r="AA1773" s="13">
        <v>7.6799999999999993E-2</v>
      </c>
      <c r="AB1773" s="21">
        <f t="shared" si="529"/>
        <v>609792</v>
      </c>
      <c r="AC1773" s="130">
        <f t="shared" si="530"/>
        <v>77809.459199999998</v>
      </c>
      <c r="AD1773" s="169">
        <v>0.12759999999999999</v>
      </c>
      <c r="AE1773" s="154">
        <f t="shared" si="531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22"/>
        <v>45803245.025628321</v>
      </c>
      <c r="AJ1773" s="19">
        <f t="shared" si="523"/>
        <v>5664636.2584379362</v>
      </c>
      <c r="AK1773" s="20">
        <f t="shared" si="532"/>
        <v>0.12367325186825515</v>
      </c>
      <c r="AL1773" s="17"/>
      <c r="AM1773" s="17"/>
      <c r="AN1773" s="17"/>
      <c r="AO1773" s="17"/>
      <c r="AP1773" s="28" t="str">
        <f t="shared" si="533"/>
        <v>20211</v>
      </c>
      <c r="AQ1773" s="28" t="str">
        <f t="shared" si="534"/>
        <v>20211JPY</v>
      </c>
      <c r="AR1773" s="206" t="str">
        <f t="shared" si="535"/>
        <v>YAMAHA_Mounter</v>
      </c>
      <c r="AS1773" s="22">
        <f t="shared" si="536"/>
        <v>2</v>
      </c>
      <c r="AT1773" s="24" t="str">
        <f t="shared" si="537"/>
        <v>0-3 months</v>
      </c>
    </row>
    <row r="1774" spans="1:46" s="12" customFormat="1">
      <c r="A1774" s="33" t="str">
        <f t="shared" si="525"/>
        <v>FY 20/21</v>
      </c>
      <c r="B1774" s="152">
        <v>2020</v>
      </c>
      <c r="C1774" s="152">
        <v>11</v>
      </c>
      <c r="D1774" s="33" t="str">
        <f t="shared" si="526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27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28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38"/>
        <v>1</v>
      </c>
      <c r="Z1774" s="18">
        <f t="shared" si="521"/>
        <v>7940000</v>
      </c>
      <c r="AA1774" s="13">
        <v>7.5700000000000003E-2</v>
      </c>
      <c r="AB1774" s="21">
        <f t="shared" si="529"/>
        <v>601058</v>
      </c>
      <c r="AC1774" s="130">
        <f t="shared" si="530"/>
        <v>76695.000799999994</v>
      </c>
      <c r="AD1774" s="169">
        <v>0.12759999999999999</v>
      </c>
      <c r="AE1774" s="154">
        <f t="shared" si="531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22"/>
        <v>31097187.02948761</v>
      </c>
      <c r="AJ1774" s="19">
        <f t="shared" si="523"/>
        <v>3892353.6644401965</v>
      </c>
      <c r="AK1774" s="20">
        <f t="shared" si="532"/>
        <v>0.12516738767237401</v>
      </c>
      <c r="AL1774" s="17"/>
      <c r="AM1774" s="17"/>
      <c r="AN1774" s="17"/>
      <c r="AO1774" s="17"/>
      <c r="AP1774" s="28" t="str">
        <f t="shared" si="533"/>
        <v>20212</v>
      </c>
      <c r="AQ1774" s="28" t="str">
        <f t="shared" si="534"/>
        <v>20212JPY</v>
      </c>
      <c r="AR1774" s="206" t="str">
        <f t="shared" si="535"/>
        <v>YAMAHA_Mounter</v>
      </c>
      <c r="AS1774" s="22">
        <f t="shared" si="536"/>
        <v>3</v>
      </c>
      <c r="AT1774" s="24" t="str">
        <f t="shared" si="537"/>
        <v>0-3 months</v>
      </c>
    </row>
    <row r="1775" spans="1:46" s="12" customFormat="1">
      <c r="A1775" s="33" t="str">
        <f t="shared" si="525"/>
        <v>FY 20/21</v>
      </c>
      <c r="B1775" s="152">
        <v>2020</v>
      </c>
      <c r="C1775" s="152">
        <v>11</v>
      </c>
      <c r="D1775" s="33" t="str">
        <f t="shared" si="526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27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28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38"/>
        <v>1</v>
      </c>
      <c r="Z1775" s="18">
        <f t="shared" si="521"/>
        <v>7590000</v>
      </c>
      <c r="AA1775" s="13">
        <v>7.5700000000000003E-2</v>
      </c>
      <c r="AB1775" s="21">
        <f t="shared" si="529"/>
        <v>574563</v>
      </c>
      <c r="AC1775" s="130">
        <f t="shared" si="530"/>
        <v>70269.054900000003</v>
      </c>
      <c r="AD1775" s="169">
        <v>0.12230000000000001</v>
      </c>
      <c r="AE1775" s="154">
        <f t="shared" si="531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22"/>
        <v>31097187.02948761</v>
      </c>
      <c r="AJ1775" s="19">
        <f t="shared" si="523"/>
        <v>3892353.6644401965</v>
      </c>
      <c r="AK1775" s="20">
        <f t="shared" si="532"/>
        <v>0.12516738767237401</v>
      </c>
      <c r="AL1775" s="17"/>
      <c r="AM1775" s="17"/>
      <c r="AN1775" s="17"/>
      <c r="AO1775" s="17"/>
      <c r="AP1775" s="28" t="str">
        <f t="shared" si="533"/>
        <v>20212</v>
      </c>
      <c r="AQ1775" s="28" t="str">
        <f t="shared" si="534"/>
        <v>20212JPY</v>
      </c>
      <c r="AR1775" s="206" t="str">
        <f t="shared" si="535"/>
        <v>YAMAHA_Mounter</v>
      </c>
      <c r="AS1775" s="22">
        <f t="shared" si="536"/>
        <v>3</v>
      </c>
      <c r="AT1775" s="24" t="str">
        <f t="shared" si="537"/>
        <v>0-3 months</v>
      </c>
    </row>
    <row r="1776" spans="1:46" s="12" customFormat="1">
      <c r="A1776" s="33" t="str">
        <f t="shared" si="525"/>
        <v>FY 20/21</v>
      </c>
      <c r="B1776" s="152">
        <v>2020</v>
      </c>
      <c r="C1776" s="152">
        <v>11</v>
      </c>
      <c r="D1776" s="33" t="str">
        <f t="shared" si="526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27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28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38"/>
        <v>1</v>
      </c>
      <c r="Z1776" s="18">
        <f t="shared" si="521"/>
        <v>6500000</v>
      </c>
      <c r="AA1776" s="13">
        <v>7.2400000000000006E-2</v>
      </c>
      <c r="AB1776" s="21">
        <f t="shared" si="529"/>
        <v>470600.00000000006</v>
      </c>
      <c r="AC1776" s="130">
        <f t="shared" si="530"/>
        <v>56472.000000000007</v>
      </c>
      <c r="AD1776" s="169">
        <v>0.12</v>
      </c>
      <c r="AE1776" s="154">
        <f t="shared" si="531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22"/>
        <v>477651199.57437885</v>
      </c>
      <c r="AJ1776" s="19">
        <f t="shared" si="523"/>
        <v>56918800.518691957</v>
      </c>
      <c r="AK1776" s="20">
        <f t="shared" si="532"/>
        <v>0.11916394341605475</v>
      </c>
      <c r="AL1776" s="17"/>
      <c r="AM1776" s="17"/>
      <c r="AN1776" s="17"/>
      <c r="AO1776" s="17"/>
      <c r="AP1776" s="28" t="str">
        <f t="shared" si="533"/>
        <v>CancelCancel</v>
      </c>
      <c r="AQ1776" s="28" t="str">
        <f t="shared" si="534"/>
        <v>CancelCancelJPY</v>
      </c>
      <c r="AR1776" s="206" t="str">
        <f t="shared" si="535"/>
        <v>YAMAHA_Mounter</v>
      </c>
      <c r="AS1776" s="22" t="str">
        <f t="shared" si="536"/>
        <v/>
      </c>
      <c r="AT1776" s="24" t="str">
        <f t="shared" si="537"/>
        <v/>
      </c>
    </row>
    <row r="1777" spans="1:46" s="12" customFormat="1">
      <c r="A1777" s="33" t="str">
        <f t="shared" si="525"/>
        <v>FY 20/21</v>
      </c>
      <c r="B1777" s="152">
        <v>2020</v>
      </c>
      <c r="C1777" s="152">
        <v>11</v>
      </c>
      <c r="D1777" s="33" t="str">
        <f t="shared" si="526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27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28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38"/>
        <v>1</v>
      </c>
      <c r="Z1777" s="18">
        <f t="shared" si="521"/>
        <v>6500000</v>
      </c>
      <c r="AA1777" s="13">
        <v>7.2400000000000006E-2</v>
      </c>
      <c r="AB1777" s="21">
        <f t="shared" si="529"/>
        <v>470600.00000000006</v>
      </c>
      <c r="AC1777" s="130">
        <f t="shared" si="530"/>
        <v>56472.000000000007</v>
      </c>
      <c r="AD1777" s="169">
        <v>0.12</v>
      </c>
      <c r="AE1777" s="154">
        <f t="shared" si="531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22"/>
        <v>477651199.57437885</v>
      </c>
      <c r="AJ1777" s="19">
        <f t="shared" si="523"/>
        <v>56918800.518691957</v>
      </c>
      <c r="AK1777" s="20">
        <f t="shared" si="532"/>
        <v>0.11916394341605475</v>
      </c>
      <c r="AL1777" s="17"/>
      <c r="AM1777" s="17"/>
      <c r="AN1777" s="17"/>
      <c r="AO1777" s="17"/>
      <c r="AP1777" s="28" t="str">
        <f t="shared" si="533"/>
        <v>CancelCancel</v>
      </c>
      <c r="AQ1777" s="28" t="str">
        <f t="shared" si="534"/>
        <v>CancelCancelJPY</v>
      </c>
      <c r="AR1777" s="206" t="str">
        <f t="shared" si="535"/>
        <v>YAMAHA_Mounter</v>
      </c>
      <c r="AS1777" s="22" t="str">
        <f t="shared" si="536"/>
        <v/>
      </c>
      <c r="AT1777" s="24" t="str">
        <f t="shared" si="537"/>
        <v/>
      </c>
    </row>
    <row r="1778" spans="1:46" s="12" customFormat="1">
      <c r="A1778" s="33" t="str">
        <f t="shared" si="525"/>
        <v>FY 21/22</v>
      </c>
      <c r="B1778" s="152">
        <v>2021</v>
      </c>
      <c r="C1778" s="152">
        <v>8</v>
      </c>
      <c r="D1778" s="33" t="str">
        <f t="shared" si="526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27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28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38"/>
        <v>1</v>
      </c>
      <c r="Z1778" s="18">
        <f t="shared" si="521"/>
        <v>8300000</v>
      </c>
      <c r="AA1778" s="13">
        <v>6.54E-2</v>
      </c>
      <c r="AB1778" s="21">
        <f t="shared" si="529"/>
        <v>542820</v>
      </c>
      <c r="AC1778" s="130">
        <f t="shared" si="530"/>
        <v>66224.039999999994</v>
      </c>
      <c r="AD1778" s="169">
        <v>0.122</v>
      </c>
      <c r="AE1778" s="154">
        <f t="shared" si="531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22"/>
        <v>46600814.041769907</v>
      </c>
      <c r="AJ1778" s="19">
        <f t="shared" si="523"/>
        <v>5956366.3435927071</v>
      </c>
      <c r="AK1778" s="20">
        <f t="shared" si="532"/>
        <v>0.1278167874546958</v>
      </c>
      <c r="AL1778" s="17"/>
      <c r="AM1778" s="17"/>
      <c r="AN1778" s="17"/>
      <c r="AO1778" s="17"/>
      <c r="AP1778" s="28" t="str">
        <f t="shared" si="533"/>
        <v>20224</v>
      </c>
      <c r="AQ1778" s="28" t="str">
        <f t="shared" si="534"/>
        <v>20224JPY</v>
      </c>
      <c r="AR1778" s="206" t="str">
        <f t="shared" si="535"/>
        <v>YAMAHA_Mounter</v>
      </c>
      <c r="AS1778" s="22">
        <f t="shared" si="536"/>
        <v>8</v>
      </c>
      <c r="AT1778" s="24" t="str">
        <f t="shared" si="537"/>
        <v>&gt; 6 months</v>
      </c>
    </row>
    <row r="1779" spans="1:46" s="12" customFormat="1">
      <c r="A1779" s="33" t="str">
        <f t="shared" si="525"/>
        <v>FY 21/22</v>
      </c>
      <c r="B1779" s="152">
        <v>2021</v>
      </c>
      <c r="C1779" s="152">
        <v>8</v>
      </c>
      <c r="D1779" s="33" t="str">
        <f t="shared" si="526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27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28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38"/>
        <v>1</v>
      </c>
      <c r="Z1779" s="18">
        <f t="shared" si="521"/>
        <v>12700000</v>
      </c>
      <c r="AA1779" s="13">
        <v>6.54E-2</v>
      </c>
      <c r="AB1779" s="21">
        <f t="shared" si="529"/>
        <v>830580</v>
      </c>
      <c r="AC1779" s="130">
        <f t="shared" si="530"/>
        <v>101330.76</v>
      </c>
      <c r="AD1779" s="169">
        <v>0.122</v>
      </c>
      <c r="AE1779" s="154">
        <f t="shared" si="531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22"/>
        <v>46600814.041769907</v>
      </c>
      <c r="AJ1779" s="19">
        <f t="shared" si="523"/>
        <v>5956366.3435927071</v>
      </c>
      <c r="AK1779" s="20">
        <f t="shared" si="532"/>
        <v>0.1278167874546958</v>
      </c>
      <c r="AL1779" s="17"/>
      <c r="AM1779" s="17"/>
      <c r="AN1779" s="17"/>
      <c r="AO1779" s="17"/>
      <c r="AP1779" s="28" t="str">
        <f t="shared" si="533"/>
        <v>20224</v>
      </c>
      <c r="AQ1779" s="28" t="str">
        <f t="shared" si="534"/>
        <v>20224JPY</v>
      </c>
      <c r="AR1779" s="206" t="str">
        <f t="shared" si="535"/>
        <v>YAMAHA_Mounter</v>
      </c>
      <c r="AS1779" s="22">
        <f t="shared" si="536"/>
        <v>8</v>
      </c>
      <c r="AT1779" s="24" t="str">
        <f t="shared" si="537"/>
        <v>&gt; 6 months</v>
      </c>
    </row>
    <row r="1780" spans="1:46" s="12" customFormat="1">
      <c r="A1780" s="33" t="str">
        <f t="shared" si="525"/>
        <v>FY 21/22</v>
      </c>
      <c r="B1780" s="152">
        <v>2022</v>
      </c>
      <c r="C1780" s="152">
        <v>3</v>
      </c>
      <c r="D1780" s="33" t="str">
        <f t="shared" si="526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27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28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38"/>
        <v>1.13</v>
      </c>
      <c r="Z1780" s="18">
        <f t="shared" si="521"/>
        <v>490000</v>
      </c>
      <c r="AA1780" s="13">
        <v>1.22</v>
      </c>
      <c r="AB1780" s="21">
        <f t="shared" si="529"/>
        <v>529026.54867256642</v>
      </c>
      <c r="AC1780" s="130">
        <f t="shared" si="530"/>
        <v>63483.185840707971</v>
      </c>
      <c r="AD1780" s="169">
        <v>0.12</v>
      </c>
      <c r="AE1780" s="154">
        <f t="shared" si="531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22"/>
        <v>477651199.57437885</v>
      </c>
      <c r="AJ1780" s="19">
        <f t="shared" si="523"/>
        <v>56918800.518691957</v>
      </c>
      <c r="AK1780" s="20">
        <f t="shared" si="532"/>
        <v>0.11916394341605475</v>
      </c>
      <c r="AL1780" s="17"/>
      <c r="AM1780" s="17"/>
      <c r="AN1780" s="17"/>
      <c r="AO1780" s="17"/>
      <c r="AP1780" s="28" t="str">
        <f t="shared" si="533"/>
        <v>CancelCancel</v>
      </c>
      <c r="AQ1780" s="28" t="str">
        <f t="shared" si="534"/>
        <v>CancelCancelRMB</v>
      </c>
      <c r="AR1780" s="206" t="str">
        <f t="shared" si="535"/>
        <v>YAMAHA_Mounter</v>
      </c>
      <c r="AS1780" s="22" t="str">
        <f t="shared" si="536"/>
        <v/>
      </c>
      <c r="AT1780" s="24" t="str">
        <f t="shared" si="537"/>
        <v/>
      </c>
    </row>
    <row r="1781" spans="1:46" s="12" customFormat="1">
      <c r="A1781" s="33" t="str">
        <f t="shared" si="525"/>
        <v>FY 21/22</v>
      </c>
      <c r="B1781" s="152">
        <v>2022</v>
      </c>
      <c r="C1781" s="152">
        <v>3</v>
      </c>
      <c r="D1781" s="33" t="str">
        <f t="shared" si="526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27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28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38"/>
        <v>1.13</v>
      </c>
      <c r="Z1781" s="18">
        <f t="shared" si="521"/>
        <v>803285</v>
      </c>
      <c r="AA1781" s="13">
        <v>1.22</v>
      </c>
      <c r="AB1781" s="21">
        <f t="shared" si="529"/>
        <v>867263.45132743369</v>
      </c>
      <c r="AC1781" s="130">
        <f t="shared" si="530"/>
        <v>104071.61415929203</v>
      </c>
      <c r="AD1781" s="169">
        <v>0.12</v>
      </c>
      <c r="AE1781" s="154">
        <f t="shared" si="531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22"/>
        <v>477651199.57437885</v>
      </c>
      <c r="AJ1781" s="19">
        <f t="shared" si="523"/>
        <v>56918800.518691957</v>
      </c>
      <c r="AK1781" s="20">
        <f t="shared" si="532"/>
        <v>0.11916394341605475</v>
      </c>
      <c r="AL1781" s="17"/>
      <c r="AM1781" s="17"/>
      <c r="AN1781" s="17"/>
      <c r="AO1781" s="17"/>
      <c r="AP1781" s="28" t="str">
        <f t="shared" si="533"/>
        <v>CancelCancel</v>
      </c>
      <c r="AQ1781" s="28" t="str">
        <f t="shared" si="534"/>
        <v>CancelCancelRMB</v>
      </c>
      <c r="AR1781" s="206" t="str">
        <f t="shared" si="535"/>
        <v>YAMAHA_Mounter</v>
      </c>
      <c r="AS1781" s="22" t="str">
        <f t="shared" si="536"/>
        <v/>
      </c>
      <c r="AT1781" s="24" t="str">
        <f t="shared" si="537"/>
        <v/>
      </c>
    </row>
    <row r="1782" spans="1:46" s="12" customFormat="1">
      <c r="A1782" s="33" t="str">
        <f t="shared" si="525"/>
        <v>FY 23/24</v>
      </c>
      <c r="B1782" s="23">
        <v>2023</v>
      </c>
      <c r="C1782" s="152">
        <v>12</v>
      </c>
      <c r="D1782" s="33" t="str">
        <f t="shared" si="526"/>
        <v>Q3</v>
      </c>
      <c r="E1782" s="33" t="str">
        <f t="shared" ref="E1782:E1787" si="53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27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28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40">IF(W1782="","",IF(W1782="RMB","1.13", "1"))</f>
        <v>1</v>
      </c>
      <c r="Z1782" s="18">
        <f t="shared" si="521"/>
        <v>6600000</v>
      </c>
      <c r="AA1782" s="22">
        <v>5.6300000000000003E-2</v>
      </c>
      <c r="AB1782" s="21">
        <f t="shared" si="529"/>
        <v>371580</v>
      </c>
      <c r="AC1782" s="25">
        <f t="shared" si="530"/>
        <v>27757.026000000002</v>
      </c>
      <c r="AD1782" s="169">
        <v>7.4700000000000003E-2</v>
      </c>
      <c r="AE1782" s="26">
        <f t="shared" si="531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22"/>
        <v>21575119.674336284</v>
      </c>
      <c r="AJ1782" s="27">
        <f t="shared" si="523"/>
        <v>2556656.3801490259</v>
      </c>
      <c r="AK1782" s="28">
        <f t="shared" si="532"/>
        <v>0.1185002177851269</v>
      </c>
      <c r="AL1782" s="24"/>
      <c r="AM1782" s="24"/>
      <c r="AN1782" s="24"/>
      <c r="AO1782" s="24"/>
      <c r="AP1782" s="28" t="str">
        <f t="shared" si="533"/>
        <v>20241</v>
      </c>
      <c r="AQ1782" s="28" t="str">
        <f t="shared" si="534"/>
        <v>20241JPY</v>
      </c>
      <c r="AR1782" s="206" t="str">
        <f t="shared" si="535"/>
        <v>YAMAHA_Mounter</v>
      </c>
      <c r="AS1782" s="22">
        <f t="shared" si="536"/>
        <v>1</v>
      </c>
      <c r="AT1782" s="24" t="str">
        <f t="shared" si="537"/>
        <v>0-3 months</v>
      </c>
    </row>
    <row r="1783" spans="1:46" s="12" customFormat="1">
      <c r="A1783" s="33" t="str">
        <f t="shared" si="525"/>
        <v>FY 23/24</v>
      </c>
      <c r="B1783" s="23">
        <v>2023</v>
      </c>
      <c r="C1783" s="152">
        <v>12</v>
      </c>
      <c r="D1783" s="33" t="str">
        <f t="shared" si="526"/>
        <v>Q3</v>
      </c>
      <c r="E1783" s="33" t="str">
        <f t="shared" si="539"/>
        <v>FY 23/24</v>
      </c>
      <c r="F1783" s="152">
        <v>2024</v>
      </c>
      <c r="G1783" s="152">
        <v>1</v>
      </c>
      <c r="H1783" s="29"/>
      <c r="I1783" s="33" t="str">
        <f t="shared" si="527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28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40"/>
        <v>1</v>
      </c>
      <c r="Z1783" s="18">
        <f t="shared" si="521"/>
        <v>6600000</v>
      </c>
      <c r="AA1783" s="22">
        <v>5.6300000000000003E-2</v>
      </c>
      <c r="AB1783" s="21">
        <f t="shared" si="529"/>
        <v>371580</v>
      </c>
      <c r="AC1783" s="25">
        <f t="shared" si="530"/>
        <v>27757.026000000002</v>
      </c>
      <c r="AD1783" s="169">
        <v>7.4700000000000003E-2</v>
      </c>
      <c r="AE1783" s="26">
        <f t="shared" si="531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22"/>
        <v>21575119.674336284</v>
      </c>
      <c r="AJ1783" s="27">
        <f t="shared" si="523"/>
        <v>2556656.3801490259</v>
      </c>
      <c r="AK1783" s="28">
        <f t="shared" si="532"/>
        <v>0.1185002177851269</v>
      </c>
      <c r="AL1783" s="24"/>
      <c r="AM1783" s="24"/>
      <c r="AN1783" s="24"/>
      <c r="AO1783" s="24"/>
      <c r="AP1783" s="28" t="str">
        <f t="shared" si="533"/>
        <v>20241</v>
      </c>
      <c r="AQ1783" s="28" t="str">
        <f t="shared" si="534"/>
        <v>20241JPY</v>
      </c>
      <c r="AR1783" s="206" t="str">
        <f t="shared" si="535"/>
        <v>YAMAHA_Mounter</v>
      </c>
      <c r="AS1783" s="22">
        <f t="shared" si="536"/>
        <v>1</v>
      </c>
      <c r="AT1783" s="24" t="str">
        <f t="shared" si="537"/>
        <v>0-3 months</v>
      </c>
    </row>
    <row r="1784" spans="1:46" s="12" customFormat="1">
      <c r="A1784" s="33" t="str">
        <f t="shared" si="525"/>
        <v>FY 23/24</v>
      </c>
      <c r="B1784" s="23">
        <v>2023</v>
      </c>
      <c r="C1784" s="152">
        <v>12</v>
      </c>
      <c r="D1784" s="33" t="str">
        <f t="shared" si="526"/>
        <v>Q3</v>
      </c>
      <c r="E1784" s="33" t="str">
        <f t="shared" si="539"/>
        <v>FY 23/24</v>
      </c>
      <c r="F1784" s="152">
        <v>2024</v>
      </c>
      <c r="G1784" s="152">
        <v>1</v>
      </c>
      <c r="H1784" s="29"/>
      <c r="I1784" s="33" t="str">
        <f t="shared" si="527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28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40"/>
        <v>1</v>
      </c>
      <c r="Z1784" s="18">
        <f t="shared" si="521"/>
        <v>6600000</v>
      </c>
      <c r="AA1784" s="22">
        <v>5.6300000000000003E-2</v>
      </c>
      <c r="AB1784" s="21">
        <f t="shared" si="529"/>
        <v>371580</v>
      </c>
      <c r="AC1784" s="25">
        <f t="shared" si="530"/>
        <v>27757.026000000002</v>
      </c>
      <c r="AD1784" s="169">
        <v>7.4700000000000003E-2</v>
      </c>
      <c r="AE1784" s="26">
        <f t="shared" si="531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22"/>
        <v>21575119.674336284</v>
      </c>
      <c r="AJ1784" s="27">
        <f t="shared" si="523"/>
        <v>2556656.3801490259</v>
      </c>
      <c r="AK1784" s="28">
        <f t="shared" si="532"/>
        <v>0.1185002177851269</v>
      </c>
      <c r="AL1784" s="24"/>
      <c r="AM1784" s="24"/>
      <c r="AN1784" s="24"/>
      <c r="AO1784" s="24"/>
      <c r="AP1784" s="28" t="str">
        <f t="shared" si="533"/>
        <v>20241</v>
      </c>
      <c r="AQ1784" s="28" t="str">
        <f t="shared" si="534"/>
        <v>20241JPY</v>
      </c>
      <c r="AR1784" s="206" t="str">
        <f t="shared" si="535"/>
        <v>YAMAHA_Mounter</v>
      </c>
      <c r="AS1784" s="22">
        <f t="shared" si="536"/>
        <v>1</v>
      </c>
      <c r="AT1784" s="24" t="str">
        <f t="shared" si="537"/>
        <v>0-3 months</v>
      </c>
    </row>
    <row r="1785" spans="1:46" s="12" customFormat="1">
      <c r="A1785" s="33" t="str">
        <f t="shared" si="525"/>
        <v>FY 23/24</v>
      </c>
      <c r="B1785" s="23">
        <v>2023</v>
      </c>
      <c r="C1785" s="152">
        <v>12</v>
      </c>
      <c r="D1785" s="33" t="str">
        <f t="shared" si="526"/>
        <v>Q3</v>
      </c>
      <c r="E1785" s="33" t="str">
        <f t="shared" si="539"/>
        <v>FY 23/24</v>
      </c>
      <c r="F1785" s="152">
        <v>2024</v>
      </c>
      <c r="G1785" s="152">
        <v>1</v>
      </c>
      <c r="H1785" s="29"/>
      <c r="I1785" s="33" t="str">
        <f t="shared" si="527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28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40"/>
        <v>1</v>
      </c>
      <c r="Z1785" s="18">
        <f t="shared" si="521"/>
        <v>6600000</v>
      </c>
      <c r="AA1785" s="22">
        <v>5.6300000000000003E-2</v>
      </c>
      <c r="AB1785" s="21">
        <f t="shared" si="529"/>
        <v>371580</v>
      </c>
      <c r="AC1785" s="25">
        <f t="shared" si="530"/>
        <v>27757.026000000002</v>
      </c>
      <c r="AD1785" s="169">
        <v>7.4700000000000003E-2</v>
      </c>
      <c r="AE1785" s="26">
        <f t="shared" si="531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22"/>
        <v>21575119.674336284</v>
      </c>
      <c r="AJ1785" s="27">
        <f t="shared" si="523"/>
        <v>2556656.3801490259</v>
      </c>
      <c r="AK1785" s="28">
        <f t="shared" si="532"/>
        <v>0.1185002177851269</v>
      </c>
      <c r="AL1785" s="24"/>
      <c r="AM1785" s="24"/>
      <c r="AN1785" s="24"/>
      <c r="AO1785" s="24"/>
      <c r="AP1785" s="28" t="str">
        <f t="shared" si="533"/>
        <v>20241</v>
      </c>
      <c r="AQ1785" s="28" t="str">
        <f t="shared" si="534"/>
        <v>20241JPY</v>
      </c>
      <c r="AR1785" s="206" t="str">
        <f t="shared" si="535"/>
        <v>YAMAHA_Mounter</v>
      </c>
      <c r="AS1785" s="22">
        <f t="shared" si="536"/>
        <v>1</v>
      </c>
      <c r="AT1785" s="24" t="str">
        <f t="shared" si="537"/>
        <v>0-3 months</v>
      </c>
    </row>
    <row r="1786" spans="1:46" s="12" customFormat="1">
      <c r="A1786" s="33" t="str">
        <f t="shared" si="525"/>
        <v>FY 23/24</v>
      </c>
      <c r="B1786" s="23">
        <v>2023</v>
      </c>
      <c r="C1786" s="152">
        <v>12</v>
      </c>
      <c r="D1786" s="33" t="str">
        <f t="shared" si="526"/>
        <v>Q3</v>
      </c>
      <c r="E1786" s="33" t="str">
        <f t="shared" si="539"/>
        <v>FY 23/24</v>
      </c>
      <c r="F1786" s="152">
        <v>2024</v>
      </c>
      <c r="G1786" s="152">
        <v>1</v>
      </c>
      <c r="H1786" s="29"/>
      <c r="I1786" s="33" t="str">
        <f t="shared" si="527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28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40"/>
        <v>1</v>
      </c>
      <c r="Z1786" s="18">
        <f t="shared" si="521"/>
        <v>12044000</v>
      </c>
      <c r="AA1786" s="22">
        <v>5.6300000000000003E-2</v>
      </c>
      <c r="AB1786" s="21">
        <f t="shared" si="529"/>
        <v>678077.20000000007</v>
      </c>
      <c r="AC1786" s="25">
        <f t="shared" si="530"/>
        <v>50652.36684000001</v>
      </c>
      <c r="AD1786" s="169">
        <v>7.4700000000000003E-2</v>
      </c>
      <c r="AE1786" s="26">
        <f t="shared" si="531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22"/>
        <v>21575119.674336284</v>
      </c>
      <c r="AJ1786" s="27">
        <f t="shared" si="523"/>
        <v>2556656.3801490259</v>
      </c>
      <c r="AK1786" s="28">
        <f t="shared" si="532"/>
        <v>0.1185002177851269</v>
      </c>
      <c r="AL1786" s="24"/>
      <c r="AM1786" s="24"/>
      <c r="AN1786" s="24"/>
      <c r="AO1786" s="24"/>
      <c r="AP1786" s="28" t="str">
        <f t="shared" si="533"/>
        <v>20241</v>
      </c>
      <c r="AQ1786" s="28" t="str">
        <f t="shared" si="534"/>
        <v>20241JPY</v>
      </c>
      <c r="AR1786" s="206" t="str">
        <f t="shared" si="535"/>
        <v>YAMAHA_Mounter</v>
      </c>
      <c r="AS1786" s="22">
        <f t="shared" si="536"/>
        <v>1</v>
      </c>
      <c r="AT1786" s="24" t="str">
        <f t="shared" si="537"/>
        <v>0-3 months</v>
      </c>
    </row>
    <row r="1787" spans="1:46" s="12" customFormat="1">
      <c r="A1787" s="33" t="str">
        <f t="shared" si="525"/>
        <v>FY 23/24</v>
      </c>
      <c r="B1787" s="23">
        <v>2023</v>
      </c>
      <c r="C1787" s="152">
        <v>12</v>
      </c>
      <c r="D1787" s="33" t="str">
        <f t="shared" si="526"/>
        <v>Q3</v>
      </c>
      <c r="E1787" s="33" t="str">
        <f t="shared" si="539"/>
        <v>FY 23/24</v>
      </c>
      <c r="F1787" s="152">
        <v>2024</v>
      </c>
      <c r="G1787" s="152">
        <v>1</v>
      </c>
      <c r="H1787" s="29"/>
      <c r="I1787" s="33" t="str">
        <f t="shared" si="527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28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40"/>
        <v>1</v>
      </c>
      <c r="Z1787" s="18">
        <f t="shared" si="521"/>
        <v>12044000</v>
      </c>
      <c r="AA1787" s="22">
        <v>5.6300000000000003E-2</v>
      </c>
      <c r="AB1787" s="21">
        <f t="shared" si="529"/>
        <v>678077.20000000007</v>
      </c>
      <c r="AC1787" s="25">
        <f t="shared" si="530"/>
        <v>50652.36684000001</v>
      </c>
      <c r="AD1787" s="169">
        <v>7.4700000000000003E-2</v>
      </c>
      <c r="AE1787" s="26">
        <f t="shared" si="531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22"/>
        <v>21575119.674336284</v>
      </c>
      <c r="AJ1787" s="27">
        <f t="shared" si="523"/>
        <v>2556656.3801490259</v>
      </c>
      <c r="AK1787" s="28">
        <f t="shared" si="532"/>
        <v>0.1185002177851269</v>
      </c>
      <c r="AL1787" s="24"/>
      <c r="AM1787" s="24"/>
      <c r="AN1787" s="24"/>
      <c r="AO1787" s="24"/>
      <c r="AP1787" s="28" t="str">
        <f t="shared" si="533"/>
        <v>20241</v>
      </c>
      <c r="AQ1787" s="28" t="str">
        <f t="shared" si="534"/>
        <v>20241JPY</v>
      </c>
      <c r="AR1787" s="206" t="str">
        <f t="shared" si="535"/>
        <v>YAMAHA_Mounter</v>
      </c>
      <c r="AS1787" s="22">
        <f t="shared" si="536"/>
        <v>1</v>
      </c>
      <c r="AT1787" s="24" t="str">
        <f t="shared" si="537"/>
        <v>0-3 months</v>
      </c>
    </row>
    <row r="1788" spans="1:46" s="12" customFormat="1">
      <c r="A1788" s="33" t="str">
        <f t="shared" si="525"/>
        <v>FY 19/20</v>
      </c>
      <c r="B1788" s="152">
        <v>2019</v>
      </c>
      <c r="C1788" s="152">
        <v>7</v>
      </c>
      <c r="D1788" s="33" t="str">
        <f t="shared" si="526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27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28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ref="Z1788:Z1851" si="541">IF(X1788="","",X1788*MAX(O1788,N1788))</f>
        <v>520000</v>
      </c>
      <c r="AA1788" s="13">
        <v>1.095</v>
      </c>
      <c r="AB1788" s="21">
        <f t="shared" si="529"/>
        <v>503893.80530973454</v>
      </c>
      <c r="AC1788" s="130">
        <f t="shared" si="530"/>
        <v>147086.6017699115</v>
      </c>
      <c r="AD1788" s="169">
        <v>0.29189999999999999</v>
      </c>
      <c r="AE1788" s="154">
        <f t="shared" si="531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22"/>
        <v>37599388.802345134</v>
      </c>
      <c r="AJ1788" s="19">
        <f t="shared" si="523"/>
        <v>4866784.3630338367</v>
      </c>
      <c r="AK1788" s="20">
        <f t="shared" si="532"/>
        <v>0.12943785838163113</v>
      </c>
      <c r="AL1788" s="17"/>
      <c r="AM1788" s="17"/>
      <c r="AN1788" s="17"/>
      <c r="AO1788" s="17"/>
      <c r="AP1788" s="28" t="str">
        <f t="shared" si="533"/>
        <v>20199</v>
      </c>
      <c r="AQ1788" s="28" t="str">
        <f t="shared" si="534"/>
        <v>20199RMB</v>
      </c>
      <c r="AR1788" s="206" t="str">
        <f t="shared" si="535"/>
        <v>YAMAHA_Non_Mounter</v>
      </c>
      <c r="AS1788" s="22">
        <f t="shared" si="536"/>
        <v>2</v>
      </c>
      <c r="AT1788" s="24" t="str">
        <f t="shared" si="537"/>
        <v>0-3 months</v>
      </c>
    </row>
    <row r="1789" spans="1:46" s="12" customFormat="1">
      <c r="A1789" s="33" t="str">
        <f t="shared" si="525"/>
        <v>FY 20/21</v>
      </c>
      <c r="B1789" s="152">
        <v>2020</v>
      </c>
      <c r="C1789" s="152">
        <v>6</v>
      </c>
      <c r="D1789" s="33" t="str">
        <f t="shared" si="526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27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28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41"/>
        <v>570000</v>
      </c>
      <c r="AA1789" s="13">
        <v>1.089</v>
      </c>
      <c r="AB1789" s="21">
        <f t="shared" si="529"/>
        <v>549318.5840707965</v>
      </c>
      <c r="AC1789" s="130">
        <f t="shared" si="530"/>
        <v>66357.684955752222</v>
      </c>
      <c r="AD1789" s="169">
        <v>0.1208</v>
      </c>
      <c r="AE1789" s="154">
        <f t="shared" si="531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22"/>
        <v>29183109.05575221</v>
      </c>
      <c r="AJ1789" s="19">
        <f t="shared" si="523"/>
        <v>3741266.5648721238</v>
      </c>
      <c r="AK1789" s="20">
        <f t="shared" si="532"/>
        <v>0.12819972531798121</v>
      </c>
      <c r="AL1789" s="17"/>
      <c r="AM1789" s="17"/>
      <c r="AN1789" s="17"/>
      <c r="AO1789" s="17"/>
      <c r="AP1789" s="28" t="str">
        <f t="shared" si="533"/>
        <v>20206</v>
      </c>
      <c r="AQ1789" s="28" t="str">
        <f t="shared" si="534"/>
        <v>20206RMB</v>
      </c>
      <c r="AR1789" s="206" t="str">
        <f t="shared" si="535"/>
        <v>YAMAHA_Mounter</v>
      </c>
      <c r="AS1789" s="22">
        <f t="shared" si="536"/>
        <v>0</v>
      </c>
      <c r="AT1789" s="24" t="str">
        <f t="shared" si="537"/>
        <v>0-3 months</v>
      </c>
    </row>
    <row r="1790" spans="1:46" s="12" customFormat="1">
      <c r="A1790" s="33" t="str">
        <f t="shared" si="525"/>
        <v>FY 21/22</v>
      </c>
      <c r="B1790" s="152">
        <v>2021</v>
      </c>
      <c r="C1790" s="152">
        <v>6</v>
      </c>
      <c r="D1790" s="33" t="str">
        <f t="shared" si="526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27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28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41"/>
        <v>670000</v>
      </c>
      <c r="AA1790" s="13">
        <v>1.21</v>
      </c>
      <c r="AB1790" s="21">
        <f t="shared" si="529"/>
        <v>717433.62831858417</v>
      </c>
      <c r="AC1790" s="130">
        <f t="shared" si="530"/>
        <v>144491.13274336286</v>
      </c>
      <c r="AD1790" s="169">
        <v>0.2014</v>
      </c>
      <c r="AE1790" s="154">
        <f t="shared" si="531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22"/>
        <v>29500529.005044252</v>
      </c>
      <c r="AJ1790" s="19">
        <f t="shared" si="523"/>
        <v>3253064.846231177</v>
      </c>
      <c r="AK1790" s="20">
        <f t="shared" si="532"/>
        <v>0.11027140718984871</v>
      </c>
      <c r="AL1790" s="17"/>
      <c r="AM1790" s="17"/>
      <c r="AN1790" s="17"/>
      <c r="AO1790" s="17"/>
      <c r="AP1790" s="28" t="str">
        <f t="shared" si="533"/>
        <v>202111</v>
      </c>
      <c r="AQ1790" s="28" t="str">
        <f t="shared" si="534"/>
        <v>202111RMB</v>
      </c>
      <c r="AR1790" s="206" t="str">
        <f t="shared" si="535"/>
        <v>YAMAHA_Mounter</v>
      </c>
      <c r="AS1790" s="22">
        <f t="shared" si="536"/>
        <v>5</v>
      </c>
      <c r="AT1790" s="24" t="str">
        <f t="shared" si="537"/>
        <v>4-6 months</v>
      </c>
    </row>
    <row r="1791" spans="1:46" s="12" customFormat="1">
      <c r="A1791" s="33" t="str">
        <f t="shared" si="525"/>
        <v>FY 18/19</v>
      </c>
      <c r="B1791" s="152">
        <v>2018</v>
      </c>
      <c r="C1791" s="152">
        <v>6</v>
      </c>
      <c r="D1791" s="33" t="str">
        <f t="shared" si="526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27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28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41"/>
        <v>18500000</v>
      </c>
      <c r="AA1791" s="13">
        <v>7.22E-2</v>
      </c>
      <c r="AB1791" s="21">
        <f t="shared" si="529"/>
        <v>1335700</v>
      </c>
      <c r="AC1791" s="130">
        <f t="shared" si="530"/>
        <v>215047.7</v>
      </c>
      <c r="AD1791" s="169">
        <v>0.161</v>
      </c>
      <c r="AE1791" s="154">
        <f t="shared" si="531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22"/>
        <v>29946107.503386207</v>
      </c>
      <c r="AJ1791" s="19">
        <f t="shared" si="523"/>
        <v>3987206.4954923098</v>
      </c>
      <c r="AK1791" s="20">
        <f t="shared" si="532"/>
        <v>0.13314606898547499</v>
      </c>
      <c r="AL1791" s="17"/>
      <c r="AM1791" s="17"/>
      <c r="AN1791" s="17"/>
      <c r="AO1791" s="17"/>
      <c r="AP1791" s="28" t="str">
        <f t="shared" si="533"/>
        <v>20187</v>
      </c>
      <c r="AQ1791" s="28" t="str">
        <f t="shared" si="534"/>
        <v>20187JPY</v>
      </c>
      <c r="AR1791" s="206" t="str">
        <f t="shared" si="535"/>
        <v>YAMAHA_Mounter</v>
      </c>
      <c r="AS1791" s="22">
        <f t="shared" si="536"/>
        <v>1</v>
      </c>
      <c r="AT1791" s="24" t="str">
        <f t="shared" si="537"/>
        <v>0-3 months</v>
      </c>
    </row>
    <row r="1792" spans="1:46" s="12" customFormat="1">
      <c r="A1792" s="33" t="str">
        <f t="shared" si="525"/>
        <v>FY 19/20</v>
      </c>
      <c r="B1792" s="152">
        <v>2019</v>
      </c>
      <c r="C1792" s="152">
        <v>6</v>
      </c>
      <c r="D1792" s="33" t="str">
        <f t="shared" si="526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27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28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41"/>
        <v>0</v>
      </c>
      <c r="AA1792" s="13">
        <v>1.22</v>
      </c>
      <c r="AB1792" s="21">
        <f t="shared" si="529"/>
        <v>0</v>
      </c>
      <c r="AC1792" s="130">
        <f t="shared" si="530"/>
        <v>0</v>
      </c>
      <c r="AD1792" s="169">
        <v>0</v>
      </c>
      <c r="AE1792" s="154">
        <f t="shared" si="531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22"/>
        <v>28726768.133805312</v>
      </c>
      <c r="AJ1792" s="19">
        <f t="shared" si="523"/>
        <v>3853638.1988864429</v>
      </c>
      <c r="AK1792" s="20">
        <f t="shared" si="532"/>
        <v>0.1341479898099476</v>
      </c>
      <c r="AL1792" s="17"/>
      <c r="AM1792" s="17"/>
      <c r="AN1792" s="17"/>
      <c r="AO1792" s="17"/>
      <c r="AP1792" s="28" t="str">
        <f t="shared" si="533"/>
        <v>20223</v>
      </c>
      <c r="AQ1792" s="28" t="str">
        <f t="shared" si="534"/>
        <v>20223RMB</v>
      </c>
      <c r="AR1792" s="206">
        <f t="shared" si="535"/>
        <v>0</v>
      </c>
      <c r="AS1792" s="22">
        <f t="shared" si="536"/>
        <v>33</v>
      </c>
      <c r="AT1792" s="24" t="str">
        <f t="shared" si="537"/>
        <v>&gt; 6 months</v>
      </c>
    </row>
    <row r="1793" spans="1:46" s="12" customFormat="1">
      <c r="A1793" s="33" t="str">
        <f t="shared" si="525"/>
        <v>FY 19/20</v>
      </c>
      <c r="B1793" s="152">
        <v>2019</v>
      </c>
      <c r="C1793" s="152">
        <v>7</v>
      </c>
      <c r="D1793" s="33" t="str">
        <f t="shared" si="526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27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28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41"/>
        <v>550000</v>
      </c>
      <c r="AA1793" s="13">
        <v>1.095</v>
      </c>
      <c r="AB1793" s="21">
        <f t="shared" si="529"/>
        <v>532964.60176991147</v>
      </c>
      <c r="AC1793" s="130">
        <f t="shared" si="530"/>
        <v>63955.752212389372</v>
      </c>
      <c r="AD1793" s="169">
        <v>0.12</v>
      </c>
      <c r="AE1793" s="154">
        <f t="shared" si="531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22"/>
        <v>477651199.57437885</v>
      </c>
      <c r="AJ1793" s="19">
        <f t="shared" si="523"/>
        <v>56918800.518691957</v>
      </c>
      <c r="AK1793" s="20">
        <f t="shared" si="532"/>
        <v>0.11916394341605475</v>
      </c>
      <c r="AL1793" s="17"/>
      <c r="AM1793" s="17"/>
      <c r="AN1793" s="17"/>
      <c r="AO1793" s="17"/>
      <c r="AP1793" s="28" t="str">
        <f t="shared" si="533"/>
        <v>CancelCancel</v>
      </c>
      <c r="AQ1793" s="28" t="str">
        <f t="shared" si="534"/>
        <v>CancelCancelRMB</v>
      </c>
      <c r="AR1793" s="206" t="str">
        <f t="shared" si="535"/>
        <v>YAMAHA_Mounter</v>
      </c>
      <c r="AS1793" s="22" t="str">
        <f t="shared" si="536"/>
        <v/>
      </c>
      <c r="AT1793" s="24" t="str">
        <f t="shared" si="537"/>
        <v/>
      </c>
    </row>
    <row r="1794" spans="1:46" s="12" customFormat="1">
      <c r="A1794" s="33" t="str">
        <f t="shared" si="525"/>
        <v>FY 19/20</v>
      </c>
      <c r="B1794" s="152">
        <v>2019</v>
      </c>
      <c r="C1794" s="152">
        <v>7</v>
      </c>
      <c r="D1794" s="33" t="str">
        <f t="shared" si="526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27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28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41"/>
        <v>550000</v>
      </c>
      <c r="AA1794" s="13">
        <v>1.095</v>
      </c>
      <c r="AB1794" s="21">
        <f t="shared" si="529"/>
        <v>532964.60176991147</v>
      </c>
      <c r="AC1794" s="130">
        <f t="shared" si="530"/>
        <v>63955.752212389372</v>
      </c>
      <c r="AD1794" s="169">
        <v>0.12</v>
      </c>
      <c r="AE1794" s="154">
        <f t="shared" si="531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42">IF(P1794="C66 SERVICE","",SUMIFS(AB:AB,F:F,F1794,G:G,G1794,E:E,E1794))</f>
        <v>477651199.57437885</v>
      </c>
      <c r="AJ1794" s="19">
        <f t="shared" ref="AJ1794:AJ1857" si="543">IF(P1794="C66 SERVICE","",SUMIFS(AC:AC,F:F,F1794,G:G,G1794,E:E,E1794))</f>
        <v>56918800.518691957</v>
      </c>
      <c r="AK1794" s="20">
        <f t="shared" si="532"/>
        <v>0.11916394341605475</v>
      </c>
      <c r="AL1794" s="17"/>
      <c r="AM1794" s="17"/>
      <c r="AN1794" s="17"/>
      <c r="AO1794" s="17"/>
      <c r="AP1794" s="28" t="str">
        <f t="shared" si="533"/>
        <v>CancelCancel</v>
      </c>
      <c r="AQ1794" s="28" t="str">
        <f t="shared" si="534"/>
        <v>CancelCancelRMB</v>
      </c>
      <c r="AR1794" s="206" t="str">
        <f t="shared" si="535"/>
        <v>YAMAHA_Mounter</v>
      </c>
      <c r="AS1794" s="22" t="str">
        <f t="shared" si="536"/>
        <v/>
      </c>
      <c r="AT1794" s="24" t="str">
        <f t="shared" si="537"/>
        <v/>
      </c>
    </row>
    <row r="1795" spans="1:46" s="12" customFormat="1">
      <c r="A1795" s="33" t="str">
        <f t="shared" si="525"/>
        <v>FY 20/21</v>
      </c>
      <c r="B1795" s="152">
        <v>2021</v>
      </c>
      <c r="C1795" s="152">
        <v>1</v>
      </c>
      <c r="D1795" s="33" t="str">
        <f t="shared" si="526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27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28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41"/>
        <v>9300000</v>
      </c>
      <c r="AA1795" s="13">
        <v>7.0000000000000007E-2</v>
      </c>
      <c r="AB1795" s="21">
        <f t="shared" si="529"/>
        <v>651000.00000000012</v>
      </c>
      <c r="AC1795" s="130">
        <f t="shared" si="530"/>
        <v>78120.000000000015</v>
      </c>
      <c r="AD1795" s="169">
        <v>0.12</v>
      </c>
      <c r="AE1795" s="154">
        <f t="shared" si="531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42"/>
        <v>477651199.57437885</v>
      </c>
      <c r="AJ1795" s="19">
        <f t="shared" si="543"/>
        <v>56918800.518691957</v>
      </c>
      <c r="AK1795" s="20">
        <f t="shared" si="532"/>
        <v>0.11916394341605475</v>
      </c>
      <c r="AL1795" s="17"/>
      <c r="AM1795" s="17"/>
      <c r="AN1795" s="17"/>
      <c r="AO1795" s="17"/>
      <c r="AP1795" s="28" t="str">
        <f t="shared" si="533"/>
        <v>CancelCancel</v>
      </c>
      <c r="AQ1795" s="28" t="str">
        <f t="shared" si="534"/>
        <v>CancelCancelJPY</v>
      </c>
      <c r="AR1795" s="206" t="str">
        <f t="shared" si="535"/>
        <v>YAMAHA_Mounter</v>
      </c>
      <c r="AS1795" s="22" t="str">
        <f t="shared" si="536"/>
        <v/>
      </c>
      <c r="AT1795" s="24" t="str">
        <f t="shared" si="537"/>
        <v/>
      </c>
    </row>
    <row r="1796" spans="1:46" s="12" customFormat="1">
      <c r="A1796" s="33" t="str">
        <f t="shared" si="525"/>
        <v>cancel</v>
      </c>
      <c r="B1796" s="152"/>
      <c r="C1796" s="152" t="s">
        <v>186</v>
      </c>
      <c r="D1796" s="33" t="str">
        <f t="shared" si="526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27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28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41"/>
        <v>891600</v>
      </c>
      <c r="AA1796" s="13">
        <v>1.135</v>
      </c>
      <c r="AB1796" s="21">
        <f t="shared" si="529"/>
        <v>895545.13274336292</v>
      </c>
      <c r="AC1796" s="130">
        <f t="shared" si="530"/>
        <v>107465.41592920355</v>
      </c>
      <c r="AD1796" s="169">
        <v>0.12</v>
      </c>
      <c r="AE1796" s="154">
        <f t="shared" si="531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42"/>
        <v>477651199.57437885</v>
      </c>
      <c r="AJ1796" s="19">
        <f t="shared" si="543"/>
        <v>56918800.518691957</v>
      </c>
      <c r="AK1796" s="20">
        <f t="shared" si="532"/>
        <v>0.11916394341605475</v>
      </c>
      <c r="AL1796" s="17"/>
      <c r="AM1796" s="17"/>
      <c r="AN1796" s="17"/>
      <c r="AO1796" s="17"/>
      <c r="AP1796" s="28" t="str">
        <f t="shared" si="533"/>
        <v>CancelCancel</v>
      </c>
      <c r="AQ1796" s="28" t="str">
        <f t="shared" si="534"/>
        <v>CancelCancelRMB</v>
      </c>
      <c r="AR1796" s="206" t="str">
        <f t="shared" si="535"/>
        <v>YAMAHA_Mounter</v>
      </c>
      <c r="AS1796" s="22" t="str">
        <f t="shared" si="536"/>
        <v/>
      </c>
      <c r="AT1796" s="24" t="str">
        <f t="shared" si="537"/>
        <v/>
      </c>
    </row>
    <row r="1797" spans="1:46" s="12" customFormat="1">
      <c r="A1797" s="33" t="str">
        <f t="shared" si="525"/>
        <v>cancel</v>
      </c>
      <c r="B1797" s="152"/>
      <c r="C1797" s="152" t="s">
        <v>186</v>
      </c>
      <c r="D1797" s="33" t="str">
        <f t="shared" si="526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27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28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41"/>
        <v>818400</v>
      </c>
      <c r="AA1797" s="13">
        <v>1.135</v>
      </c>
      <c r="AB1797" s="21">
        <f t="shared" si="529"/>
        <v>822021.23893805325</v>
      </c>
      <c r="AC1797" s="130">
        <f t="shared" si="530"/>
        <v>98642.548672566394</v>
      </c>
      <c r="AD1797" s="169">
        <v>0.12</v>
      </c>
      <c r="AE1797" s="154">
        <f t="shared" si="531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42"/>
        <v>477651199.57437885</v>
      </c>
      <c r="AJ1797" s="19">
        <f t="shared" si="543"/>
        <v>56918800.518691957</v>
      </c>
      <c r="AK1797" s="20">
        <f t="shared" si="532"/>
        <v>0.11916394341605475</v>
      </c>
      <c r="AL1797" s="17"/>
      <c r="AM1797" s="17"/>
      <c r="AN1797" s="17"/>
      <c r="AO1797" s="17"/>
      <c r="AP1797" s="28" t="str">
        <f t="shared" si="533"/>
        <v>CancelCancel</v>
      </c>
      <c r="AQ1797" s="28" t="str">
        <f t="shared" si="534"/>
        <v>CancelCancelRMB</v>
      </c>
      <c r="AR1797" s="206" t="str">
        <f t="shared" si="535"/>
        <v>YAMAHA_Mounter</v>
      </c>
      <c r="AS1797" s="22" t="str">
        <f t="shared" si="536"/>
        <v/>
      </c>
      <c r="AT1797" s="24" t="str">
        <f t="shared" si="537"/>
        <v/>
      </c>
    </row>
    <row r="1798" spans="1:46" s="12" customFormat="1">
      <c r="A1798" s="33" t="str">
        <f t="shared" si="525"/>
        <v>FY 19/20</v>
      </c>
      <c r="B1798" s="152">
        <v>2019</v>
      </c>
      <c r="C1798" s="152">
        <v>4</v>
      </c>
      <c r="D1798" s="33" t="str">
        <f t="shared" si="526"/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si="527"/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si="528"/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41"/>
        <v>11110000</v>
      </c>
      <c r="AA1798" s="13">
        <v>7.2300000000000003E-2</v>
      </c>
      <c r="AB1798" s="21">
        <f t="shared" si="529"/>
        <v>803253</v>
      </c>
      <c r="AC1798" s="130">
        <f t="shared" si="530"/>
        <v>133500.64859999999</v>
      </c>
      <c r="AD1798" s="169">
        <v>0.16619999999999999</v>
      </c>
      <c r="AE1798" s="154">
        <f t="shared" si="531"/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42"/>
        <v>32843736.557277881</v>
      </c>
      <c r="AJ1798" s="19">
        <f t="shared" si="543"/>
        <v>3921470.6822663117</v>
      </c>
      <c r="AK1798" s="20">
        <f t="shared" si="532"/>
        <v>0.11939782416131177</v>
      </c>
      <c r="AL1798" s="17"/>
      <c r="AM1798" s="17"/>
      <c r="AN1798" s="17"/>
      <c r="AO1798" s="17"/>
      <c r="AP1798" s="28" t="str">
        <f t="shared" si="533"/>
        <v>20194</v>
      </c>
      <c r="AQ1798" s="28" t="str">
        <f t="shared" si="534"/>
        <v>20194JPY</v>
      </c>
      <c r="AR1798" s="206" t="str">
        <f t="shared" si="535"/>
        <v>YAMAHA_Mounter</v>
      </c>
      <c r="AS1798" s="22">
        <f t="shared" si="536"/>
        <v>0</v>
      </c>
      <c r="AT1798" s="24" t="str">
        <f t="shared" si="537"/>
        <v>0-3 months</v>
      </c>
    </row>
    <row r="1799" spans="1:46" s="12" customFormat="1">
      <c r="A1799" s="33" t="str">
        <f t="shared" si="525"/>
        <v>FY 19/20</v>
      </c>
      <c r="B1799" s="152">
        <v>2020</v>
      </c>
      <c r="C1799" s="152">
        <v>3</v>
      </c>
      <c r="D1799" s="33" t="str">
        <f t="shared" si="526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27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28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41"/>
        <v>942920</v>
      </c>
      <c r="AA1799" s="13">
        <v>1.095</v>
      </c>
      <c r="AB1799" s="21">
        <f t="shared" si="529"/>
        <v>913714.51327433635</v>
      </c>
      <c r="AC1799" s="130">
        <f t="shared" si="530"/>
        <v>122163.63042477878</v>
      </c>
      <c r="AD1799" s="169">
        <v>0.13370000000000001</v>
      </c>
      <c r="AE1799" s="154">
        <f t="shared" si="531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42"/>
        <v>33477255.428389374</v>
      </c>
      <c r="AJ1799" s="19">
        <f t="shared" si="543"/>
        <v>4578663.362915583</v>
      </c>
      <c r="AK1799" s="20">
        <f t="shared" si="532"/>
        <v>0.13676937682988152</v>
      </c>
      <c r="AL1799" s="17"/>
      <c r="AM1799" s="17"/>
      <c r="AN1799" s="17"/>
      <c r="AO1799" s="17"/>
      <c r="AP1799" s="28" t="str">
        <f t="shared" si="533"/>
        <v>20204</v>
      </c>
      <c r="AQ1799" s="28" t="str">
        <f t="shared" si="534"/>
        <v>20204RMB</v>
      </c>
      <c r="AR1799" s="206" t="str">
        <f t="shared" si="535"/>
        <v>YAMAHA_Mounter</v>
      </c>
      <c r="AS1799" s="22">
        <f t="shared" si="536"/>
        <v>1</v>
      </c>
      <c r="AT1799" s="24" t="str">
        <f t="shared" si="537"/>
        <v>0-3 months</v>
      </c>
    </row>
    <row r="1800" spans="1:46" s="12" customFormat="1">
      <c r="A1800" s="33" t="str">
        <f t="shared" si="525"/>
        <v>FY 19/20</v>
      </c>
      <c r="B1800" s="152">
        <v>2020</v>
      </c>
      <c r="C1800" s="152">
        <v>3</v>
      </c>
      <c r="D1800" s="33" t="str">
        <f t="shared" si="526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27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28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41"/>
        <v>650000</v>
      </c>
      <c r="AA1800" s="13">
        <v>1.095</v>
      </c>
      <c r="AB1800" s="21">
        <f t="shared" si="529"/>
        <v>629867.25663716812</v>
      </c>
      <c r="AC1800" s="130">
        <f t="shared" si="530"/>
        <v>84213.252212389387</v>
      </c>
      <c r="AD1800" s="169">
        <v>0.13370000000000001</v>
      </c>
      <c r="AE1800" s="154">
        <f t="shared" si="531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42"/>
        <v>33477255.428389374</v>
      </c>
      <c r="AJ1800" s="19">
        <f t="shared" si="543"/>
        <v>4578663.362915583</v>
      </c>
      <c r="AK1800" s="20">
        <f t="shared" si="532"/>
        <v>0.13676937682988152</v>
      </c>
      <c r="AL1800" s="17"/>
      <c r="AM1800" s="17"/>
      <c r="AN1800" s="17"/>
      <c r="AO1800" s="17"/>
      <c r="AP1800" s="28" t="str">
        <f t="shared" si="533"/>
        <v>20204</v>
      </c>
      <c r="AQ1800" s="28" t="str">
        <f t="shared" si="534"/>
        <v>20204RMB</v>
      </c>
      <c r="AR1800" s="206" t="str">
        <f t="shared" si="535"/>
        <v>YAMAHA_Mounter</v>
      </c>
      <c r="AS1800" s="22">
        <f t="shared" si="536"/>
        <v>1</v>
      </c>
      <c r="AT1800" s="24" t="str">
        <f t="shared" si="537"/>
        <v>0-3 months</v>
      </c>
    </row>
    <row r="1801" spans="1:46" s="12" customFormat="1">
      <c r="A1801" s="33" t="str">
        <f t="shared" si="525"/>
        <v>FY 20/21</v>
      </c>
      <c r="B1801" s="152">
        <v>2021</v>
      </c>
      <c r="C1801" s="152">
        <v>3</v>
      </c>
      <c r="D1801" s="33" t="str">
        <f t="shared" si="526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27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28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4">IF(W1801="RMB","1.13", "1")</f>
        <v>1</v>
      </c>
      <c r="Z1801" s="18">
        <f t="shared" si="541"/>
        <v>13700000</v>
      </c>
      <c r="AA1801" s="13">
        <v>7.17E-2</v>
      </c>
      <c r="AB1801" s="21">
        <f t="shared" si="529"/>
        <v>982290</v>
      </c>
      <c r="AC1801" s="130">
        <f t="shared" si="530"/>
        <v>98720.145000000004</v>
      </c>
      <c r="AD1801" s="169">
        <v>0.10050000000000001</v>
      </c>
      <c r="AE1801" s="154">
        <f t="shared" si="531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42"/>
        <v>43684091.636631854</v>
      </c>
      <c r="AJ1801" s="19">
        <f t="shared" si="543"/>
        <v>6483951.8242071122</v>
      </c>
      <c r="AK1801" s="20">
        <f t="shared" si="532"/>
        <v>0.14842821680123736</v>
      </c>
      <c r="AL1801" s="17"/>
      <c r="AM1801" s="17"/>
      <c r="AN1801" s="17"/>
      <c r="AO1801" s="17"/>
      <c r="AP1801" s="28" t="str">
        <f t="shared" si="533"/>
        <v>20214</v>
      </c>
      <c r="AQ1801" s="28" t="str">
        <f t="shared" si="534"/>
        <v>20214JPY</v>
      </c>
      <c r="AR1801" s="206" t="str">
        <f t="shared" si="535"/>
        <v>YAMAHA_Mounter</v>
      </c>
      <c r="AS1801" s="22">
        <f t="shared" si="536"/>
        <v>1</v>
      </c>
      <c r="AT1801" s="24" t="str">
        <f t="shared" si="537"/>
        <v>0-3 months</v>
      </c>
    </row>
    <row r="1802" spans="1:46" s="12" customFormat="1">
      <c r="A1802" s="33" t="str">
        <f t="shared" si="525"/>
        <v>FY 20/21</v>
      </c>
      <c r="B1802" s="152">
        <v>2021</v>
      </c>
      <c r="C1802" s="152">
        <v>3</v>
      </c>
      <c r="D1802" s="33" t="str">
        <f t="shared" si="526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27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28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4"/>
        <v>1</v>
      </c>
      <c r="Z1802" s="18">
        <f t="shared" si="541"/>
        <v>7580700</v>
      </c>
      <c r="AA1802" s="13">
        <v>7.17E-2</v>
      </c>
      <c r="AB1802" s="21">
        <f t="shared" si="529"/>
        <v>543536.18999999994</v>
      </c>
      <c r="AC1802" s="130">
        <f t="shared" si="530"/>
        <v>54625.387094999998</v>
      </c>
      <c r="AD1802" s="169">
        <v>0.10050000000000001</v>
      </c>
      <c r="AE1802" s="154">
        <f t="shared" si="531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42"/>
        <v>43684091.636631854</v>
      </c>
      <c r="AJ1802" s="19">
        <f t="shared" si="543"/>
        <v>6483951.8242071122</v>
      </c>
      <c r="AK1802" s="20">
        <f t="shared" si="532"/>
        <v>0.14842821680123736</v>
      </c>
      <c r="AL1802" s="17"/>
      <c r="AM1802" s="17"/>
      <c r="AN1802" s="17"/>
      <c r="AO1802" s="17"/>
      <c r="AP1802" s="28" t="str">
        <f t="shared" si="533"/>
        <v>20214</v>
      </c>
      <c r="AQ1802" s="28" t="str">
        <f t="shared" si="534"/>
        <v>20214JPY</v>
      </c>
      <c r="AR1802" s="206" t="str">
        <f t="shared" si="535"/>
        <v>YAMAHA_Mounter</v>
      </c>
      <c r="AS1802" s="22">
        <f t="shared" si="536"/>
        <v>1</v>
      </c>
      <c r="AT1802" s="24" t="str">
        <f t="shared" si="537"/>
        <v>0-3 months</v>
      </c>
    </row>
    <row r="1803" spans="1:46" s="12" customFormat="1">
      <c r="A1803" s="33" t="str">
        <f t="shared" si="525"/>
        <v>FY 20/21</v>
      </c>
      <c r="B1803" s="152">
        <v>2021</v>
      </c>
      <c r="C1803" s="152">
        <v>2</v>
      </c>
      <c r="D1803" s="33" t="str">
        <f t="shared" si="526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27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28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4"/>
        <v>1.13</v>
      </c>
      <c r="Z1803" s="18">
        <f t="shared" si="541"/>
        <v>825000</v>
      </c>
      <c r="AA1803" s="13">
        <v>1.2150000000000001</v>
      </c>
      <c r="AB1803" s="21">
        <f t="shared" si="529"/>
        <v>887057.52212389384</v>
      </c>
      <c r="AC1803" s="130">
        <f t="shared" si="530"/>
        <v>155323.77212389381</v>
      </c>
      <c r="AD1803" s="169">
        <v>0.17510000000000001</v>
      </c>
      <c r="AE1803" s="154">
        <f t="shared" si="531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42"/>
        <v>54700260.692079648</v>
      </c>
      <c r="AJ1803" s="19">
        <f t="shared" si="543"/>
        <v>7482899.5749188727</v>
      </c>
      <c r="AK1803" s="20">
        <f t="shared" si="532"/>
        <v>0.13679824337660537</v>
      </c>
      <c r="AL1803" s="17"/>
      <c r="AM1803" s="17"/>
      <c r="AN1803" s="17"/>
      <c r="AO1803" s="17"/>
      <c r="AP1803" s="28" t="str">
        <f t="shared" si="533"/>
        <v>20216</v>
      </c>
      <c r="AQ1803" s="28" t="str">
        <f t="shared" si="534"/>
        <v>20216RMB</v>
      </c>
      <c r="AR1803" s="206" t="str">
        <f t="shared" si="535"/>
        <v>YAMAHA_Mounter</v>
      </c>
      <c r="AS1803" s="22">
        <f t="shared" si="536"/>
        <v>4</v>
      </c>
      <c r="AT1803" s="24" t="str">
        <f t="shared" si="537"/>
        <v>4-6 months</v>
      </c>
    </row>
    <row r="1804" spans="1:46" s="12" customFormat="1">
      <c r="A1804" s="33" t="str">
        <f t="shared" si="525"/>
        <v>FY 20/21</v>
      </c>
      <c r="B1804" s="152">
        <v>2021</v>
      </c>
      <c r="C1804" s="152">
        <v>2</v>
      </c>
      <c r="D1804" s="33" t="str">
        <f t="shared" si="526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27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28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4"/>
        <v>1.13</v>
      </c>
      <c r="Z1804" s="18">
        <f t="shared" si="541"/>
        <v>825000</v>
      </c>
      <c r="AA1804" s="13">
        <v>1.2150000000000001</v>
      </c>
      <c r="AB1804" s="21">
        <f t="shared" si="529"/>
        <v>887057.52212389384</v>
      </c>
      <c r="AC1804" s="130">
        <f t="shared" si="530"/>
        <v>155323.77212389381</v>
      </c>
      <c r="AD1804" s="169">
        <v>0.17510000000000001</v>
      </c>
      <c r="AE1804" s="154">
        <f t="shared" si="531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42"/>
        <v>54700260.692079648</v>
      </c>
      <c r="AJ1804" s="19">
        <f t="shared" si="543"/>
        <v>7482899.5749188727</v>
      </c>
      <c r="AK1804" s="20">
        <f t="shared" si="532"/>
        <v>0.13679824337660537</v>
      </c>
      <c r="AL1804" s="17"/>
      <c r="AM1804" s="17"/>
      <c r="AN1804" s="17"/>
      <c r="AO1804" s="17"/>
      <c r="AP1804" s="28" t="str">
        <f t="shared" si="533"/>
        <v>20216</v>
      </c>
      <c r="AQ1804" s="28" t="str">
        <f t="shared" si="534"/>
        <v>20216RMB</v>
      </c>
      <c r="AR1804" s="206" t="str">
        <f t="shared" si="535"/>
        <v>YAMAHA_Mounter</v>
      </c>
      <c r="AS1804" s="22">
        <f t="shared" si="536"/>
        <v>4</v>
      </c>
      <c r="AT1804" s="24" t="str">
        <f t="shared" si="537"/>
        <v>4-6 months</v>
      </c>
    </row>
    <row r="1805" spans="1:46" s="12" customFormat="1">
      <c r="A1805" s="33" t="str">
        <f t="shared" si="525"/>
        <v>FY 20/21</v>
      </c>
      <c r="B1805" s="152">
        <v>2021</v>
      </c>
      <c r="C1805" s="152">
        <v>2</v>
      </c>
      <c r="D1805" s="33" t="str">
        <f t="shared" si="526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27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28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4"/>
        <v>1.13</v>
      </c>
      <c r="Z1805" s="18">
        <f t="shared" si="541"/>
        <v>1125000</v>
      </c>
      <c r="AA1805" s="13">
        <v>1.2150000000000001</v>
      </c>
      <c r="AB1805" s="21">
        <f t="shared" si="529"/>
        <v>1209623.8938053099</v>
      </c>
      <c r="AC1805" s="130">
        <f t="shared" si="530"/>
        <v>211805.14380530978</v>
      </c>
      <c r="AD1805" s="169">
        <v>0.17510000000000001</v>
      </c>
      <c r="AE1805" s="154">
        <f t="shared" si="531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42"/>
        <v>54700260.692079648</v>
      </c>
      <c r="AJ1805" s="19">
        <f t="shared" si="543"/>
        <v>7482899.5749188727</v>
      </c>
      <c r="AK1805" s="20">
        <f t="shared" si="532"/>
        <v>0.13679824337660537</v>
      </c>
      <c r="AL1805" s="17"/>
      <c r="AM1805" s="17"/>
      <c r="AN1805" s="17"/>
      <c r="AO1805" s="17"/>
      <c r="AP1805" s="28" t="str">
        <f t="shared" si="533"/>
        <v>20216</v>
      </c>
      <c r="AQ1805" s="28" t="str">
        <f t="shared" si="534"/>
        <v>20216RMB</v>
      </c>
      <c r="AR1805" s="206" t="str">
        <f t="shared" si="535"/>
        <v>YAMAHA_Mounter</v>
      </c>
      <c r="AS1805" s="22">
        <f t="shared" si="536"/>
        <v>4</v>
      </c>
      <c r="AT1805" s="24" t="str">
        <f t="shared" si="537"/>
        <v>4-6 months</v>
      </c>
    </row>
    <row r="1806" spans="1:46" s="12" customFormat="1">
      <c r="A1806" s="33" t="str">
        <f t="shared" si="525"/>
        <v>FY 20/21</v>
      </c>
      <c r="B1806" s="152">
        <v>2021</v>
      </c>
      <c r="C1806" s="152">
        <v>2</v>
      </c>
      <c r="D1806" s="33" t="str">
        <f t="shared" si="526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27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28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4"/>
        <v>1.13</v>
      </c>
      <c r="Z1806" s="18">
        <f t="shared" si="541"/>
        <v>1125000</v>
      </c>
      <c r="AA1806" s="13">
        <v>1.2150000000000001</v>
      </c>
      <c r="AB1806" s="21">
        <f t="shared" si="529"/>
        <v>1209623.8938053099</v>
      </c>
      <c r="AC1806" s="130">
        <f t="shared" si="530"/>
        <v>211805.14380530978</v>
      </c>
      <c r="AD1806" s="169">
        <v>0.17510000000000001</v>
      </c>
      <c r="AE1806" s="154">
        <f t="shared" si="531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42"/>
        <v>54700260.692079648</v>
      </c>
      <c r="AJ1806" s="19">
        <f t="shared" si="543"/>
        <v>7482899.5749188727</v>
      </c>
      <c r="AK1806" s="20">
        <f t="shared" si="532"/>
        <v>0.13679824337660537</v>
      </c>
      <c r="AL1806" s="17"/>
      <c r="AM1806" s="17"/>
      <c r="AN1806" s="17"/>
      <c r="AO1806" s="17"/>
      <c r="AP1806" s="28" t="str">
        <f t="shared" si="533"/>
        <v>20216</v>
      </c>
      <c r="AQ1806" s="28" t="str">
        <f t="shared" si="534"/>
        <v>20216RMB</v>
      </c>
      <c r="AR1806" s="206" t="str">
        <f t="shared" si="535"/>
        <v>YAMAHA_Mounter</v>
      </c>
      <c r="AS1806" s="22">
        <f t="shared" si="536"/>
        <v>4</v>
      </c>
      <c r="AT1806" s="24" t="str">
        <f t="shared" si="537"/>
        <v>4-6 months</v>
      </c>
    </row>
    <row r="1807" spans="1:46" s="12" customFormat="1">
      <c r="A1807" s="33" t="str">
        <f t="shared" si="525"/>
        <v>FY 21/22</v>
      </c>
      <c r="B1807" s="152">
        <v>2021</v>
      </c>
      <c r="C1807" s="152">
        <v>12</v>
      </c>
      <c r="D1807" s="33" t="str">
        <f t="shared" si="526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27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28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4"/>
        <v>1.13</v>
      </c>
      <c r="Z1807" s="18">
        <f t="shared" si="541"/>
        <v>720000</v>
      </c>
      <c r="AA1807" s="13">
        <v>1.22</v>
      </c>
      <c r="AB1807" s="21">
        <f t="shared" si="529"/>
        <v>777345.13274336292</v>
      </c>
      <c r="AC1807" s="130">
        <f t="shared" si="530"/>
        <v>81232.566371681416</v>
      </c>
      <c r="AD1807" s="169">
        <v>0.1045</v>
      </c>
      <c r="AE1807" s="154">
        <f t="shared" si="531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42"/>
        <v>28726768.133805312</v>
      </c>
      <c r="AJ1807" s="19">
        <f t="shared" si="543"/>
        <v>3853638.1988864429</v>
      </c>
      <c r="AK1807" s="20">
        <f t="shared" si="532"/>
        <v>0.1341479898099476</v>
      </c>
      <c r="AL1807" s="17"/>
      <c r="AM1807" s="17"/>
      <c r="AN1807" s="17"/>
      <c r="AO1807" s="17"/>
      <c r="AP1807" s="28" t="str">
        <f t="shared" si="533"/>
        <v>20223</v>
      </c>
      <c r="AQ1807" s="28" t="str">
        <f t="shared" si="534"/>
        <v>20223RMB</v>
      </c>
      <c r="AR1807" s="206" t="str">
        <f t="shared" si="535"/>
        <v>PEMTRON</v>
      </c>
      <c r="AS1807" s="22">
        <f t="shared" si="536"/>
        <v>3</v>
      </c>
      <c r="AT1807" s="24" t="str">
        <f t="shared" si="537"/>
        <v>0-3 months</v>
      </c>
    </row>
    <row r="1808" spans="1:46" s="12" customFormat="1">
      <c r="A1808" s="33" t="str">
        <f t="shared" si="525"/>
        <v>FY 21/22</v>
      </c>
      <c r="B1808" s="152">
        <v>2021</v>
      </c>
      <c r="C1808" s="152">
        <v>12</v>
      </c>
      <c r="D1808" s="33" t="str">
        <f t="shared" si="526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27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28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4"/>
        <v>1.13</v>
      </c>
      <c r="Z1808" s="18">
        <f t="shared" si="541"/>
        <v>720000</v>
      </c>
      <c r="AA1808" s="13">
        <v>1.22</v>
      </c>
      <c r="AB1808" s="21">
        <f t="shared" si="529"/>
        <v>777345.13274336292</v>
      </c>
      <c r="AC1808" s="130">
        <f t="shared" si="530"/>
        <v>81232.566371681416</v>
      </c>
      <c r="AD1808" s="169">
        <v>0.1045</v>
      </c>
      <c r="AE1808" s="154">
        <f t="shared" si="531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42"/>
        <v>28726768.133805312</v>
      </c>
      <c r="AJ1808" s="19">
        <f t="shared" si="543"/>
        <v>3853638.1988864429</v>
      </c>
      <c r="AK1808" s="20">
        <f t="shared" si="532"/>
        <v>0.1341479898099476</v>
      </c>
      <c r="AL1808" s="17"/>
      <c r="AM1808" s="17"/>
      <c r="AN1808" s="17"/>
      <c r="AO1808" s="17"/>
      <c r="AP1808" s="28" t="str">
        <f t="shared" si="533"/>
        <v>20223</v>
      </c>
      <c r="AQ1808" s="28" t="str">
        <f t="shared" si="534"/>
        <v>20223RMB</v>
      </c>
      <c r="AR1808" s="206" t="str">
        <f t="shared" si="535"/>
        <v>PEMTRON</v>
      </c>
      <c r="AS1808" s="22">
        <f t="shared" si="536"/>
        <v>3</v>
      </c>
      <c r="AT1808" s="24" t="str">
        <f t="shared" si="537"/>
        <v>0-3 months</v>
      </c>
    </row>
    <row r="1809" spans="1:46" s="12" customFormat="1">
      <c r="A1809" s="33" t="str">
        <f t="shared" si="525"/>
        <v>cancel</v>
      </c>
      <c r="B1809" s="152"/>
      <c r="C1809" s="152" t="s">
        <v>186</v>
      </c>
      <c r="D1809" s="33" t="str">
        <f t="shared" si="526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27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28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4"/>
        <v>1</v>
      </c>
      <c r="Z1809" s="18">
        <f t="shared" si="541"/>
        <v>6600000</v>
      </c>
      <c r="AA1809" s="13">
        <v>7.4499999999999997E-2</v>
      </c>
      <c r="AB1809" s="21">
        <f t="shared" si="529"/>
        <v>491700</v>
      </c>
      <c r="AC1809" s="130">
        <f t="shared" si="530"/>
        <v>59004</v>
      </c>
      <c r="AD1809" s="169">
        <v>0.12</v>
      </c>
      <c r="AE1809" s="154">
        <f t="shared" si="531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42"/>
        <v>477651199.57437885</v>
      </c>
      <c r="AJ1809" s="19">
        <f t="shared" si="543"/>
        <v>56918800.518691957</v>
      </c>
      <c r="AK1809" s="20">
        <f t="shared" si="532"/>
        <v>0.11916394341605475</v>
      </c>
      <c r="AL1809" s="17"/>
      <c r="AM1809" s="17"/>
      <c r="AN1809" s="17"/>
      <c r="AO1809" s="17"/>
      <c r="AP1809" s="28" t="str">
        <f t="shared" si="533"/>
        <v>CancelCANCEL</v>
      </c>
      <c r="AQ1809" s="28" t="str">
        <f t="shared" si="534"/>
        <v>CancelCANCELJPY</v>
      </c>
      <c r="AR1809" s="206" t="str">
        <f t="shared" si="535"/>
        <v>YAMAHA_Mounter</v>
      </c>
      <c r="AS1809" s="22" t="str">
        <f t="shared" si="536"/>
        <v/>
      </c>
      <c r="AT1809" s="24" t="str">
        <f t="shared" si="537"/>
        <v/>
      </c>
    </row>
    <row r="1810" spans="1:46" s="12" customFormat="1">
      <c r="A1810" s="33" t="str">
        <f t="shared" si="525"/>
        <v>cancel</v>
      </c>
      <c r="B1810" s="152"/>
      <c r="C1810" s="152" t="s">
        <v>186</v>
      </c>
      <c r="D1810" s="33" t="str">
        <f t="shared" si="526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27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28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4"/>
        <v>1</v>
      </c>
      <c r="Z1810" s="18">
        <f t="shared" si="541"/>
        <v>11500000</v>
      </c>
      <c r="AA1810" s="13">
        <v>6.25E-2</v>
      </c>
      <c r="AB1810" s="21">
        <f t="shared" si="529"/>
        <v>718750</v>
      </c>
      <c r="AC1810" s="130">
        <f t="shared" si="530"/>
        <v>86250</v>
      </c>
      <c r="AD1810" s="169">
        <v>0.12</v>
      </c>
      <c r="AE1810" s="154">
        <f t="shared" si="531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42"/>
        <v>477651199.57437885</v>
      </c>
      <c r="AJ1810" s="19">
        <f t="shared" si="543"/>
        <v>56918800.518691957</v>
      </c>
      <c r="AK1810" s="20">
        <f t="shared" si="532"/>
        <v>0.11916394341605475</v>
      </c>
      <c r="AL1810" s="17"/>
      <c r="AM1810" s="17"/>
      <c r="AN1810" s="17"/>
      <c r="AO1810" s="17"/>
      <c r="AP1810" s="28" t="str">
        <f t="shared" si="533"/>
        <v>CancelCancel</v>
      </c>
      <c r="AQ1810" s="28" t="str">
        <f t="shared" si="534"/>
        <v>CancelCancelJPY</v>
      </c>
      <c r="AR1810" s="206" t="str">
        <f t="shared" si="535"/>
        <v>YAMAHA_Mounter</v>
      </c>
      <c r="AS1810" s="22" t="str">
        <f t="shared" si="536"/>
        <v/>
      </c>
      <c r="AT1810" s="24" t="str">
        <f t="shared" si="537"/>
        <v/>
      </c>
    </row>
    <row r="1811" spans="1:46" s="12" customFormat="1">
      <c r="A1811" s="33" t="str">
        <f t="shared" si="525"/>
        <v>FY 18/19</v>
      </c>
      <c r="B1811" s="152">
        <v>2018</v>
      </c>
      <c r="C1811" s="152">
        <v>7</v>
      </c>
      <c r="D1811" s="33" t="str">
        <f t="shared" si="526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27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28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1"/>
        <v>605000</v>
      </c>
      <c r="AA1811" s="13">
        <v>1.1499999999999999</v>
      </c>
      <c r="AB1811" s="21">
        <f t="shared" si="529"/>
        <v>599784.48275862064</v>
      </c>
      <c r="AC1811" s="130">
        <f t="shared" si="530"/>
        <v>54040.581896551717</v>
      </c>
      <c r="AD1811" s="169">
        <v>9.01E-2</v>
      </c>
      <c r="AE1811" s="154">
        <f t="shared" si="531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42"/>
        <v>26492741.106427077</v>
      </c>
      <c r="AJ1811" s="19">
        <f t="shared" si="543"/>
        <v>3348032.1325698122</v>
      </c>
      <c r="AK1811" s="20">
        <f t="shared" si="532"/>
        <v>0.12637545201985867</v>
      </c>
      <c r="AL1811" s="17"/>
      <c r="AM1811" s="17"/>
      <c r="AN1811" s="17"/>
      <c r="AO1811" s="17"/>
      <c r="AP1811" s="28" t="str">
        <f t="shared" si="533"/>
        <v>20189</v>
      </c>
      <c r="AQ1811" s="28" t="str">
        <f t="shared" si="534"/>
        <v>20189RMB</v>
      </c>
      <c r="AR1811" s="206" t="str">
        <f t="shared" si="535"/>
        <v>YAMAHA_Mounter</v>
      </c>
      <c r="AS1811" s="22">
        <f t="shared" si="536"/>
        <v>2</v>
      </c>
      <c r="AT1811" s="24" t="str">
        <f t="shared" si="537"/>
        <v>0-3 months</v>
      </c>
    </row>
    <row r="1812" spans="1:46" s="12" customFormat="1">
      <c r="A1812" s="33" t="str">
        <f t="shared" si="525"/>
        <v>FY 18/19</v>
      </c>
      <c r="B1812" s="152">
        <v>2018</v>
      </c>
      <c r="C1812" s="152">
        <v>12</v>
      </c>
      <c r="D1812" s="33" t="str">
        <f t="shared" si="526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27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28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1"/>
        <v>1000000</v>
      </c>
      <c r="AA1812" s="13">
        <v>1.1499999999999999</v>
      </c>
      <c r="AB1812" s="21">
        <f t="shared" si="529"/>
        <v>991379.31034482748</v>
      </c>
      <c r="AC1812" s="130">
        <f t="shared" si="530"/>
        <v>119064.65517241378</v>
      </c>
      <c r="AD1812" s="169">
        <v>0.1201</v>
      </c>
      <c r="AE1812" s="154">
        <f t="shared" si="531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42"/>
        <v>16455710.386637932</v>
      </c>
      <c r="AJ1812" s="19">
        <f t="shared" si="543"/>
        <v>2150644.6466930606</v>
      </c>
      <c r="AK1812" s="20">
        <f t="shared" si="532"/>
        <v>0.13069290818580451</v>
      </c>
      <c r="AL1812" s="17"/>
      <c r="AM1812" s="17"/>
      <c r="AN1812" s="17"/>
      <c r="AO1812" s="17"/>
      <c r="AP1812" s="28" t="str">
        <f t="shared" si="533"/>
        <v>20192</v>
      </c>
      <c r="AQ1812" s="28" t="str">
        <f t="shared" si="534"/>
        <v>20192RMB</v>
      </c>
      <c r="AR1812" s="206" t="str">
        <f t="shared" si="535"/>
        <v>YAMAHA_Mounter</v>
      </c>
      <c r="AS1812" s="22">
        <f t="shared" si="536"/>
        <v>2</v>
      </c>
      <c r="AT1812" s="24" t="str">
        <f t="shared" si="537"/>
        <v>0-3 months</v>
      </c>
    </row>
    <row r="1813" spans="1:46" s="12" customFormat="1">
      <c r="A1813" s="33" t="str">
        <f t="shared" si="525"/>
        <v>FY 18/19</v>
      </c>
      <c r="B1813" s="152">
        <v>2018</v>
      </c>
      <c r="C1813" s="152">
        <v>4</v>
      </c>
      <c r="D1813" s="33" t="str">
        <f t="shared" si="526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27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28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1"/>
        <v>32300000</v>
      </c>
      <c r="AA1813" s="13">
        <v>7.51E-2</v>
      </c>
      <c r="AB1813" s="21">
        <f t="shared" si="529"/>
        <v>2425730</v>
      </c>
      <c r="AC1813" s="130">
        <f t="shared" si="530"/>
        <v>291087.59999999998</v>
      </c>
      <c r="AD1813" s="169">
        <v>0.12</v>
      </c>
      <c r="AE1813" s="154">
        <f t="shared" si="531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42"/>
        <v>477651199.57437885</v>
      </c>
      <c r="AJ1813" s="19">
        <f t="shared" si="543"/>
        <v>56918800.518691957</v>
      </c>
      <c r="AK1813" s="20">
        <f t="shared" si="532"/>
        <v>0.11916394341605475</v>
      </c>
      <c r="AL1813" s="17"/>
      <c r="AM1813" s="17"/>
      <c r="AN1813" s="17"/>
      <c r="AO1813" s="17"/>
      <c r="AP1813" s="28" t="str">
        <f t="shared" si="533"/>
        <v>CancelCancel</v>
      </c>
      <c r="AQ1813" s="28" t="str">
        <f t="shared" si="534"/>
        <v>CancelCancelJPY</v>
      </c>
      <c r="AR1813" s="206" t="str">
        <f t="shared" si="535"/>
        <v>YAMAHA_Mounter</v>
      </c>
      <c r="AS1813" s="22" t="str">
        <f t="shared" si="536"/>
        <v/>
      </c>
      <c r="AT1813" s="24" t="str">
        <f t="shared" si="537"/>
        <v/>
      </c>
    </row>
    <row r="1814" spans="1:46" s="12" customFormat="1">
      <c r="A1814" s="33" t="str">
        <f t="shared" si="525"/>
        <v>FY 20/21</v>
      </c>
      <c r="B1814" s="152">
        <v>2020</v>
      </c>
      <c r="C1814" s="152">
        <v>6</v>
      </c>
      <c r="D1814" s="33" t="str">
        <f t="shared" si="526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27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28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1"/>
        <v>12000000</v>
      </c>
      <c r="AA1814" s="13">
        <v>7.3400000000000007E-2</v>
      </c>
      <c r="AB1814" s="21">
        <f t="shared" si="529"/>
        <v>880800.00000000012</v>
      </c>
      <c r="AC1814" s="130">
        <f t="shared" si="530"/>
        <v>99530.400000000009</v>
      </c>
      <c r="AD1814" s="169">
        <v>0.113</v>
      </c>
      <c r="AE1814" s="154">
        <f t="shared" si="531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42"/>
        <v>29183109.05575221</v>
      </c>
      <c r="AJ1814" s="19">
        <f t="shared" si="543"/>
        <v>3741266.5648721238</v>
      </c>
      <c r="AK1814" s="20">
        <f t="shared" si="532"/>
        <v>0.12819972531798121</v>
      </c>
      <c r="AL1814" s="17"/>
      <c r="AM1814" s="17"/>
      <c r="AN1814" s="17"/>
      <c r="AO1814" s="17"/>
      <c r="AP1814" s="28" t="str">
        <f t="shared" si="533"/>
        <v>20206</v>
      </c>
      <c r="AQ1814" s="28" t="str">
        <f t="shared" si="534"/>
        <v>20206JPY</v>
      </c>
      <c r="AR1814" s="206" t="str">
        <f t="shared" si="535"/>
        <v>YAMAHA_Mounter</v>
      </c>
      <c r="AS1814" s="22">
        <f t="shared" si="536"/>
        <v>0</v>
      </c>
      <c r="AT1814" s="24" t="str">
        <f t="shared" si="537"/>
        <v>0-3 months</v>
      </c>
    </row>
    <row r="1815" spans="1:46" s="12" customFormat="1">
      <c r="A1815" s="33" t="str">
        <f t="shared" si="525"/>
        <v>FY 20/21</v>
      </c>
      <c r="B1815" s="152">
        <v>2020</v>
      </c>
      <c r="C1815" s="152">
        <v>6</v>
      </c>
      <c r="D1815" s="33" t="str">
        <f t="shared" si="526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27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28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1"/>
        <v>8200000</v>
      </c>
      <c r="AA1815" s="13">
        <v>7.3400000000000007E-2</v>
      </c>
      <c r="AB1815" s="21">
        <f t="shared" si="529"/>
        <v>601880</v>
      </c>
      <c r="AC1815" s="130">
        <f t="shared" si="530"/>
        <v>68012.44</v>
      </c>
      <c r="AD1815" s="169">
        <v>0.113</v>
      </c>
      <c r="AE1815" s="154">
        <f t="shared" si="531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42"/>
        <v>29183109.05575221</v>
      </c>
      <c r="AJ1815" s="19">
        <f t="shared" si="543"/>
        <v>3741266.5648721238</v>
      </c>
      <c r="AK1815" s="20">
        <f t="shared" si="532"/>
        <v>0.12819972531798121</v>
      </c>
      <c r="AL1815" s="17"/>
      <c r="AM1815" s="17"/>
      <c r="AN1815" s="17"/>
      <c r="AO1815" s="17"/>
      <c r="AP1815" s="28" t="str">
        <f t="shared" si="533"/>
        <v>20206</v>
      </c>
      <c r="AQ1815" s="28" t="str">
        <f t="shared" si="534"/>
        <v>20206JPY</v>
      </c>
      <c r="AR1815" s="206" t="str">
        <f t="shared" si="535"/>
        <v>YAMAHA_Mounter</v>
      </c>
      <c r="AS1815" s="22">
        <f t="shared" si="536"/>
        <v>0</v>
      </c>
      <c r="AT1815" s="24" t="str">
        <f t="shared" si="537"/>
        <v>0-3 months</v>
      </c>
    </row>
    <row r="1816" spans="1:46" s="12" customFormat="1">
      <c r="A1816" s="33" t="str">
        <f t="shared" si="525"/>
        <v>FY 20/21</v>
      </c>
      <c r="B1816" s="152">
        <v>2020</v>
      </c>
      <c r="C1816" s="152">
        <v>11</v>
      </c>
      <c r="D1816" s="33" t="str">
        <f t="shared" si="526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27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28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5">IF(W1816="RMB","1.13", "1")</f>
        <v>1</v>
      </c>
      <c r="Z1816" s="18">
        <f t="shared" si="541"/>
        <v>13450000</v>
      </c>
      <c r="AA1816" s="13">
        <v>6.25E-2</v>
      </c>
      <c r="AB1816" s="21">
        <f t="shared" si="529"/>
        <v>840625</v>
      </c>
      <c r="AC1816" s="130">
        <f t="shared" si="530"/>
        <v>100875</v>
      </c>
      <c r="AD1816" s="169">
        <v>0.12</v>
      </c>
      <c r="AE1816" s="154">
        <f t="shared" si="531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42"/>
        <v>477651199.57437885</v>
      </c>
      <c r="AJ1816" s="19">
        <f t="shared" si="543"/>
        <v>56918800.518691957</v>
      </c>
      <c r="AK1816" s="20">
        <f t="shared" si="532"/>
        <v>0.11916394341605475</v>
      </c>
      <c r="AL1816" s="17"/>
      <c r="AM1816" s="17"/>
      <c r="AN1816" s="17"/>
      <c r="AO1816" s="17"/>
      <c r="AP1816" s="28" t="str">
        <f t="shared" si="533"/>
        <v>CancelCancel</v>
      </c>
      <c r="AQ1816" s="28" t="str">
        <f t="shared" si="534"/>
        <v>CancelCancelJPY</v>
      </c>
      <c r="AR1816" s="206" t="str">
        <f t="shared" si="535"/>
        <v>YAMAHA_Mounter</v>
      </c>
      <c r="AS1816" s="22" t="str">
        <f t="shared" si="536"/>
        <v/>
      </c>
      <c r="AT1816" s="24" t="str">
        <f t="shared" si="537"/>
        <v/>
      </c>
    </row>
    <row r="1817" spans="1:46" s="12" customFormat="1">
      <c r="A1817" s="33" t="str">
        <f t="shared" si="525"/>
        <v>FY 20/21</v>
      </c>
      <c r="B1817" s="152">
        <v>2020</v>
      </c>
      <c r="C1817" s="152">
        <v>11</v>
      </c>
      <c r="D1817" s="33" t="str">
        <f t="shared" si="526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27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28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5"/>
        <v>1</v>
      </c>
      <c r="Z1817" s="18">
        <f t="shared" si="541"/>
        <v>13450000</v>
      </c>
      <c r="AA1817" s="13">
        <v>6.25E-2</v>
      </c>
      <c r="AB1817" s="21">
        <f t="shared" si="529"/>
        <v>840625</v>
      </c>
      <c r="AC1817" s="130">
        <f t="shared" si="530"/>
        <v>100875</v>
      </c>
      <c r="AD1817" s="169">
        <v>0.12</v>
      </c>
      <c r="AE1817" s="154">
        <f t="shared" si="531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42"/>
        <v>477651199.57437885</v>
      </c>
      <c r="AJ1817" s="19">
        <f t="shared" si="543"/>
        <v>56918800.518691957</v>
      </c>
      <c r="AK1817" s="20">
        <f t="shared" si="532"/>
        <v>0.11916394341605475</v>
      </c>
      <c r="AL1817" s="17"/>
      <c r="AM1817" s="17"/>
      <c r="AN1817" s="17"/>
      <c r="AO1817" s="17"/>
      <c r="AP1817" s="28" t="str">
        <f t="shared" si="533"/>
        <v>CancelCancel</v>
      </c>
      <c r="AQ1817" s="28" t="str">
        <f t="shared" si="534"/>
        <v>CancelCancelJPY</v>
      </c>
      <c r="AR1817" s="206" t="str">
        <f t="shared" si="535"/>
        <v>YAMAHA_Mounter</v>
      </c>
      <c r="AS1817" s="22" t="str">
        <f t="shared" si="536"/>
        <v/>
      </c>
      <c r="AT1817" s="24" t="str">
        <f t="shared" si="537"/>
        <v/>
      </c>
    </row>
    <row r="1818" spans="1:46" s="12" customFormat="1">
      <c r="A1818" s="33" t="str">
        <f t="shared" si="525"/>
        <v>FY 20/21</v>
      </c>
      <c r="B1818" s="152">
        <v>2020</v>
      </c>
      <c r="C1818" s="152">
        <v>11</v>
      </c>
      <c r="D1818" s="33" t="str">
        <f t="shared" si="526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27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28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5"/>
        <v>1</v>
      </c>
      <c r="Z1818" s="18">
        <f t="shared" si="541"/>
        <v>13450000</v>
      </c>
      <c r="AA1818" s="13">
        <v>6.25E-2</v>
      </c>
      <c r="AB1818" s="21">
        <f t="shared" si="529"/>
        <v>840625</v>
      </c>
      <c r="AC1818" s="130">
        <f t="shared" si="530"/>
        <v>100875</v>
      </c>
      <c r="AD1818" s="169">
        <v>0.12</v>
      </c>
      <c r="AE1818" s="154">
        <f t="shared" si="531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42"/>
        <v>477651199.57437885</v>
      </c>
      <c r="AJ1818" s="19">
        <f t="shared" si="543"/>
        <v>56918800.518691957</v>
      </c>
      <c r="AK1818" s="20">
        <f t="shared" si="532"/>
        <v>0.11916394341605475</v>
      </c>
      <c r="AL1818" s="17"/>
      <c r="AM1818" s="17"/>
      <c r="AN1818" s="17"/>
      <c r="AO1818" s="17"/>
      <c r="AP1818" s="28" t="str">
        <f t="shared" si="533"/>
        <v>CancelCancel</v>
      </c>
      <c r="AQ1818" s="28" t="str">
        <f t="shared" si="534"/>
        <v>CancelCancelJPY</v>
      </c>
      <c r="AR1818" s="206" t="str">
        <f t="shared" si="535"/>
        <v>YAMAHA_Mounter</v>
      </c>
      <c r="AS1818" s="22" t="str">
        <f t="shared" si="536"/>
        <v/>
      </c>
      <c r="AT1818" s="24" t="str">
        <f t="shared" si="537"/>
        <v/>
      </c>
    </row>
    <row r="1819" spans="1:46" s="12" customFormat="1">
      <c r="A1819" s="33" t="str">
        <f t="shared" si="525"/>
        <v>FY 20/21</v>
      </c>
      <c r="B1819" s="152">
        <v>2020</v>
      </c>
      <c r="C1819" s="152">
        <v>11</v>
      </c>
      <c r="D1819" s="33" t="str">
        <f t="shared" si="526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27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28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5"/>
        <v>1</v>
      </c>
      <c r="Z1819" s="18">
        <f t="shared" si="541"/>
        <v>13450000</v>
      </c>
      <c r="AA1819" s="13">
        <v>6.25E-2</v>
      </c>
      <c r="AB1819" s="21">
        <f t="shared" si="529"/>
        <v>840625</v>
      </c>
      <c r="AC1819" s="130">
        <f t="shared" si="530"/>
        <v>100875</v>
      </c>
      <c r="AD1819" s="169">
        <v>0.12</v>
      </c>
      <c r="AE1819" s="154">
        <f t="shared" si="531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42"/>
        <v>477651199.57437885</v>
      </c>
      <c r="AJ1819" s="19">
        <f t="shared" si="543"/>
        <v>56918800.518691957</v>
      </c>
      <c r="AK1819" s="20">
        <f t="shared" si="532"/>
        <v>0.11916394341605475</v>
      </c>
      <c r="AL1819" s="17"/>
      <c r="AM1819" s="17"/>
      <c r="AN1819" s="17"/>
      <c r="AO1819" s="17"/>
      <c r="AP1819" s="28" t="str">
        <f t="shared" si="533"/>
        <v>CancelCancel</v>
      </c>
      <c r="AQ1819" s="28" t="str">
        <f t="shared" si="534"/>
        <v>CancelCancelJPY</v>
      </c>
      <c r="AR1819" s="206" t="str">
        <f t="shared" si="535"/>
        <v>YAMAHA_Mounter</v>
      </c>
      <c r="AS1819" s="22" t="str">
        <f t="shared" si="536"/>
        <v/>
      </c>
      <c r="AT1819" s="24" t="str">
        <f t="shared" si="537"/>
        <v/>
      </c>
    </row>
    <row r="1820" spans="1:46" s="12" customFormat="1">
      <c r="A1820" s="33" t="str">
        <f t="shared" si="525"/>
        <v>FY 20/21</v>
      </c>
      <c r="B1820" s="152">
        <v>2020</v>
      </c>
      <c r="C1820" s="152">
        <v>11</v>
      </c>
      <c r="D1820" s="33" t="str">
        <f t="shared" si="526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27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28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5"/>
        <v>1</v>
      </c>
      <c r="Z1820" s="18">
        <f t="shared" si="541"/>
        <v>9000000</v>
      </c>
      <c r="AA1820" s="13">
        <v>6.25E-2</v>
      </c>
      <c r="AB1820" s="21">
        <f t="shared" si="529"/>
        <v>562500</v>
      </c>
      <c r="AC1820" s="130">
        <f t="shared" si="530"/>
        <v>67500</v>
      </c>
      <c r="AD1820" s="169">
        <v>0.12</v>
      </c>
      <c r="AE1820" s="154">
        <f t="shared" si="531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42"/>
        <v>477651199.57437885</v>
      </c>
      <c r="AJ1820" s="19">
        <f t="shared" si="543"/>
        <v>56918800.518691957</v>
      </c>
      <c r="AK1820" s="20">
        <f t="shared" si="532"/>
        <v>0.11916394341605475</v>
      </c>
      <c r="AL1820" s="17"/>
      <c r="AM1820" s="17"/>
      <c r="AN1820" s="17"/>
      <c r="AO1820" s="17"/>
      <c r="AP1820" s="28" t="str">
        <f t="shared" si="533"/>
        <v>CancelCancel</v>
      </c>
      <c r="AQ1820" s="28" t="str">
        <f t="shared" si="534"/>
        <v>CancelCancelJPY</v>
      </c>
      <c r="AR1820" s="206" t="str">
        <f t="shared" si="535"/>
        <v>YAMAHA_Mounter</v>
      </c>
      <c r="AS1820" s="22" t="str">
        <f t="shared" si="536"/>
        <v/>
      </c>
      <c r="AT1820" s="24" t="str">
        <f t="shared" si="537"/>
        <v/>
      </c>
    </row>
    <row r="1821" spans="1:46" s="12" customFormat="1">
      <c r="A1821" s="33" t="str">
        <f t="shared" si="525"/>
        <v>FY 20/21</v>
      </c>
      <c r="B1821" s="152">
        <v>2020</v>
      </c>
      <c r="C1821" s="152">
        <v>11</v>
      </c>
      <c r="D1821" s="33" t="str">
        <f t="shared" si="526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27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28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5"/>
        <v>1</v>
      </c>
      <c r="Z1821" s="18">
        <f t="shared" si="541"/>
        <v>9000000</v>
      </c>
      <c r="AA1821" s="13">
        <v>6.25E-2</v>
      </c>
      <c r="AB1821" s="21">
        <f t="shared" si="529"/>
        <v>562500</v>
      </c>
      <c r="AC1821" s="130">
        <f t="shared" si="530"/>
        <v>67500</v>
      </c>
      <c r="AD1821" s="169">
        <v>0.12</v>
      </c>
      <c r="AE1821" s="154">
        <f t="shared" si="531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42"/>
        <v>477651199.57437885</v>
      </c>
      <c r="AJ1821" s="19">
        <f t="shared" si="543"/>
        <v>56918800.518691957</v>
      </c>
      <c r="AK1821" s="20">
        <f t="shared" si="532"/>
        <v>0.11916394341605475</v>
      </c>
      <c r="AL1821" s="17"/>
      <c r="AM1821" s="17"/>
      <c r="AN1821" s="17"/>
      <c r="AO1821" s="17"/>
      <c r="AP1821" s="28" t="str">
        <f t="shared" si="533"/>
        <v>CancelCancel</v>
      </c>
      <c r="AQ1821" s="28" t="str">
        <f t="shared" si="534"/>
        <v>CancelCancelJPY</v>
      </c>
      <c r="AR1821" s="206" t="str">
        <f t="shared" si="535"/>
        <v>YAMAHA_Mounter</v>
      </c>
      <c r="AS1821" s="22" t="str">
        <f t="shared" si="536"/>
        <v/>
      </c>
      <c r="AT1821" s="24" t="str">
        <f t="shared" si="537"/>
        <v/>
      </c>
    </row>
    <row r="1822" spans="1:46" s="12" customFormat="1">
      <c r="A1822" s="33" t="str">
        <f t="shared" si="525"/>
        <v>FY 20/21</v>
      </c>
      <c r="B1822" s="152">
        <v>2020</v>
      </c>
      <c r="C1822" s="152">
        <v>11</v>
      </c>
      <c r="D1822" s="33" t="str">
        <f t="shared" si="526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27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28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5"/>
        <v>1</v>
      </c>
      <c r="Z1822" s="18">
        <f t="shared" si="541"/>
        <v>9000000</v>
      </c>
      <c r="AA1822" s="13">
        <v>6.25E-2</v>
      </c>
      <c r="AB1822" s="21">
        <f t="shared" si="529"/>
        <v>562500</v>
      </c>
      <c r="AC1822" s="130">
        <f t="shared" si="530"/>
        <v>67500</v>
      </c>
      <c r="AD1822" s="169">
        <v>0.12</v>
      </c>
      <c r="AE1822" s="154">
        <f t="shared" si="531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42"/>
        <v>477651199.57437885</v>
      </c>
      <c r="AJ1822" s="19">
        <f t="shared" si="543"/>
        <v>56918800.518691957</v>
      </c>
      <c r="AK1822" s="20">
        <f t="shared" si="532"/>
        <v>0.11916394341605475</v>
      </c>
      <c r="AL1822" s="17"/>
      <c r="AM1822" s="17"/>
      <c r="AN1822" s="17"/>
      <c r="AO1822" s="17"/>
      <c r="AP1822" s="28" t="str">
        <f t="shared" si="533"/>
        <v>CancelCancel</v>
      </c>
      <c r="AQ1822" s="28" t="str">
        <f t="shared" si="534"/>
        <v>CancelCancelJPY</v>
      </c>
      <c r="AR1822" s="206" t="str">
        <f t="shared" si="535"/>
        <v>YAMAHA_Mounter</v>
      </c>
      <c r="AS1822" s="22" t="str">
        <f t="shared" si="536"/>
        <v/>
      </c>
      <c r="AT1822" s="24" t="str">
        <f t="shared" si="537"/>
        <v/>
      </c>
    </row>
    <row r="1823" spans="1:46" s="12" customFormat="1">
      <c r="A1823" s="33" t="str">
        <f t="shared" si="525"/>
        <v>FY 20/21</v>
      </c>
      <c r="B1823" s="152">
        <v>2020</v>
      </c>
      <c r="C1823" s="152">
        <v>11</v>
      </c>
      <c r="D1823" s="33" t="str">
        <f t="shared" si="526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27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28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5"/>
        <v>1</v>
      </c>
      <c r="Z1823" s="18">
        <f t="shared" si="541"/>
        <v>9000000</v>
      </c>
      <c r="AA1823" s="13">
        <v>6.25E-2</v>
      </c>
      <c r="AB1823" s="21">
        <f t="shared" si="529"/>
        <v>562500</v>
      </c>
      <c r="AC1823" s="130">
        <f t="shared" si="530"/>
        <v>67500</v>
      </c>
      <c r="AD1823" s="169">
        <v>0.12</v>
      </c>
      <c r="AE1823" s="154">
        <f t="shared" si="531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42"/>
        <v>477651199.57437885</v>
      </c>
      <c r="AJ1823" s="19">
        <f t="shared" si="543"/>
        <v>56918800.518691957</v>
      </c>
      <c r="AK1823" s="20">
        <f t="shared" si="532"/>
        <v>0.11916394341605475</v>
      </c>
      <c r="AL1823" s="17"/>
      <c r="AM1823" s="17"/>
      <c r="AN1823" s="17"/>
      <c r="AO1823" s="17"/>
      <c r="AP1823" s="28" t="str">
        <f t="shared" si="533"/>
        <v>CancelCancel</v>
      </c>
      <c r="AQ1823" s="28" t="str">
        <f t="shared" si="534"/>
        <v>CancelCancelJPY</v>
      </c>
      <c r="AR1823" s="206" t="str">
        <f t="shared" si="535"/>
        <v>YAMAHA_Mounter</v>
      </c>
      <c r="AS1823" s="22" t="str">
        <f t="shared" si="536"/>
        <v/>
      </c>
      <c r="AT1823" s="24" t="str">
        <f t="shared" si="537"/>
        <v/>
      </c>
    </row>
    <row r="1824" spans="1:46" s="12" customFormat="1">
      <c r="A1824" s="33" t="str">
        <f t="shared" ref="A1824:A1887" si="546">IF(C1824="cancel","cancel",IFERROR(IF(D1824="Q4","FY "&amp;RIGHT(B1824,2)-1&amp;"/"&amp;RIGHT(B1824,2),"FY "&amp;RIGHT(B1824,2)&amp;"/"&amp;RIGHT(B1824,2)+1),""))</f>
        <v>FY 20/21</v>
      </c>
      <c r="B1824" s="152">
        <v>2020</v>
      </c>
      <c r="C1824" s="152">
        <v>11</v>
      </c>
      <c r="D1824" s="33" t="str">
        <f t="shared" ref="D1824:D1887" si="547">IF(B1824="","",IF(AND(C1824&gt;=10,C1824&lt;=12),"Q3",IF(AND(C1824&gt;=1,C1824&lt;=3),"Q4",IF(AND(C1824&gt;=7,C1824&lt;=9),"Q2",IF(AND(C1824&gt;=4,C1824&lt;=6),"Q1")))))</f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ref="I1824:I1887" si="548">IFERROR(IF(F1824="","",IF(F1824="TBA","TBA",IF(F1824="Cancel","Cancel",IF(AND(G1824&gt;=10,G1824&lt;=12),"Q3",IF(AND(G1824&gt;=1,G1824&lt;=3),"Q4",IF(AND(G1824&gt;=7,G1824&lt;=9),"Q2",IF(AND(G1824&gt;=4,G1824&lt;=6),"Q1"))))))),"")</f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ref="P1824:P1887" si="549">IF(M1824="","",IF(AND(N1824&gt;0,L1824&lt;&gt;""),"MAIN UNIT",IF(AND(O1824&gt;0,L1824&lt;&gt;""),"SERVICE/ PARTS","C66 SERVICE/OTHERS")))</f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5"/>
        <v>1</v>
      </c>
      <c r="Z1824" s="18">
        <f t="shared" si="541"/>
        <v>13450000</v>
      </c>
      <c r="AA1824" s="13">
        <v>7.4499999999999997E-2</v>
      </c>
      <c r="AB1824" s="21">
        <f t="shared" ref="AB1824:AB1887" si="550">IF(AND(R1824&lt;&gt;"C66",R1824&lt;&gt;""),Z1824/Y1824*AA1824,"")</f>
        <v>1002025</v>
      </c>
      <c r="AC1824" s="130">
        <f t="shared" ref="AC1824:AC1887" si="551">IF(R1824&lt;&gt;"",AB1824*AD1824,"")</f>
        <v>120243</v>
      </c>
      <c r="AD1824" s="169">
        <v>0.12</v>
      </c>
      <c r="AE1824" s="154">
        <f t="shared" ref="AE1824:AE1887" si="552">IF(Q1824="","",IF(Q1824="Yes",1,0))</f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42"/>
        <v>477651199.57437885</v>
      </c>
      <c r="AJ1824" s="19">
        <f t="shared" si="543"/>
        <v>56918800.518691957</v>
      </c>
      <c r="AK1824" s="20">
        <f t="shared" ref="AK1824:AK1887" si="553">IF(AJ1824&gt;0,AJ1824/AI1824,"")</f>
        <v>0.11916394341605475</v>
      </c>
      <c r="AL1824" s="17"/>
      <c r="AM1824" s="17"/>
      <c r="AN1824" s="17"/>
      <c r="AO1824" s="17"/>
      <c r="AP1824" s="28" t="str">
        <f t="shared" ref="AP1824:AP1887" si="554">IF(F1824="","",F1824&amp;G1824)</f>
        <v>CancelCancel</v>
      </c>
      <c r="AQ1824" s="28" t="str">
        <f t="shared" ref="AQ1824:AQ1887" si="555">IF(W1824="","",F1824&amp;G1824&amp;W1824)</f>
        <v>CancelCancelJPY</v>
      </c>
      <c r="AR1824" s="206" t="str">
        <f t="shared" ref="AR1824:AR1887" si="556">IFERROR(IF(AND(M1824="YAMAHA", R1824="C28"), "YAMAHA_Non_Mounter", IF(AND(M1824="YAMAHA", R1824="C49"), "YAMAHA_Mounter", M1824)),"")</f>
        <v>YAMAHA_Mounter</v>
      </c>
      <c r="AS1824" s="22" t="str">
        <f t="shared" ref="AS1824:AS1887" si="557">IFERROR(IF(OR(G1824="TBA", G1824=""), "", DATEDIF(DATE(B1824, C1824, 1), DATE(F1824, G1824, 1), "M")),"")</f>
        <v/>
      </c>
      <c r="AT1824" s="24" t="str">
        <f t="shared" ref="AT1824:AT1887" si="558">IF(ISNUMBER(AS1824), IF(AS1824&gt;=0, IF(AS1824&lt;=3, "0-3 months", IF(AS1824&lt;=6, "4-6 months", "&gt; 6 months"))), "")</f>
        <v/>
      </c>
    </row>
    <row r="1825" spans="1:46" s="12" customFormat="1">
      <c r="A1825" s="33" t="str">
        <f t="shared" si="546"/>
        <v>FY 20/21</v>
      </c>
      <c r="B1825" s="152">
        <v>2020</v>
      </c>
      <c r="C1825" s="152">
        <v>11</v>
      </c>
      <c r="D1825" s="33" t="str">
        <f t="shared" si="547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48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49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5"/>
        <v>1</v>
      </c>
      <c r="Z1825" s="18">
        <f t="shared" si="541"/>
        <v>13450000</v>
      </c>
      <c r="AA1825" s="13">
        <v>7.4499999999999997E-2</v>
      </c>
      <c r="AB1825" s="21">
        <f t="shared" si="550"/>
        <v>1002025</v>
      </c>
      <c r="AC1825" s="130">
        <f t="shared" si="551"/>
        <v>120243</v>
      </c>
      <c r="AD1825" s="169">
        <v>0.12</v>
      </c>
      <c r="AE1825" s="154">
        <f t="shared" si="552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42"/>
        <v>477651199.57437885</v>
      </c>
      <c r="AJ1825" s="19">
        <f t="shared" si="543"/>
        <v>56918800.518691957</v>
      </c>
      <c r="AK1825" s="20">
        <f t="shared" si="553"/>
        <v>0.11916394341605475</v>
      </c>
      <c r="AL1825" s="17"/>
      <c r="AM1825" s="17"/>
      <c r="AN1825" s="17"/>
      <c r="AO1825" s="17"/>
      <c r="AP1825" s="28" t="str">
        <f t="shared" si="554"/>
        <v>CancelCancel</v>
      </c>
      <c r="AQ1825" s="28" t="str">
        <f t="shared" si="555"/>
        <v>CancelCancelJPY</v>
      </c>
      <c r="AR1825" s="206" t="str">
        <f t="shared" si="556"/>
        <v>YAMAHA_Mounter</v>
      </c>
      <c r="AS1825" s="22" t="str">
        <f t="shared" si="557"/>
        <v/>
      </c>
      <c r="AT1825" s="24" t="str">
        <f t="shared" si="558"/>
        <v/>
      </c>
    </row>
    <row r="1826" spans="1:46" s="12" customFormat="1">
      <c r="A1826" s="33" t="str">
        <f t="shared" si="546"/>
        <v>FY 20/21</v>
      </c>
      <c r="B1826" s="152">
        <v>2020</v>
      </c>
      <c r="C1826" s="152">
        <v>11</v>
      </c>
      <c r="D1826" s="33" t="str">
        <f t="shared" si="547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48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49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5"/>
        <v>1</v>
      </c>
      <c r="Z1826" s="18">
        <f t="shared" si="541"/>
        <v>13450000</v>
      </c>
      <c r="AA1826" s="13">
        <v>7.4499999999999997E-2</v>
      </c>
      <c r="AB1826" s="21">
        <f t="shared" si="550"/>
        <v>1002025</v>
      </c>
      <c r="AC1826" s="130">
        <f t="shared" si="551"/>
        <v>120243</v>
      </c>
      <c r="AD1826" s="169">
        <v>0.12</v>
      </c>
      <c r="AE1826" s="154">
        <f t="shared" si="552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42"/>
        <v>477651199.57437885</v>
      </c>
      <c r="AJ1826" s="19">
        <f t="shared" si="543"/>
        <v>56918800.518691957</v>
      </c>
      <c r="AK1826" s="20">
        <f t="shared" si="553"/>
        <v>0.11916394341605475</v>
      </c>
      <c r="AL1826" s="17"/>
      <c r="AM1826" s="17"/>
      <c r="AN1826" s="17"/>
      <c r="AO1826" s="17"/>
      <c r="AP1826" s="28" t="str">
        <f t="shared" si="554"/>
        <v>CancelCancel</v>
      </c>
      <c r="AQ1826" s="28" t="str">
        <f t="shared" si="555"/>
        <v>CancelCancelJPY</v>
      </c>
      <c r="AR1826" s="206" t="str">
        <f t="shared" si="556"/>
        <v>YAMAHA_Mounter</v>
      </c>
      <c r="AS1826" s="22" t="str">
        <f t="shared" si="557"/>
        <v/>
      </c>
      <c r="AT1826" s="24" t="str">
        <f t="shared" si="558"/>
        <v/>
      </c>
    </row>
    <row r="1827" spans="1:46" s="12" customFormat="1">
      <c r="A1827" s="33" t="str">
        <f t="shared" si="546"/>
        <v>FY 20/21</v>
      </c>
      <c r="B1827" s="152">
        <v>2020</v>
      </c>
      <c r="C1827" s="152">
        <v>11</v>
      </c>
      <c r="D1827" s="33" t="str">
        <f t="shared" si="547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48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49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5"/>
        <v>1</v>
      </c>
      <c r="Z1827" s="18">
        <f t="shared" si="541"/>
        <v>13450000</v>
      </c>
      <c r="AA1827" s="13">
        <v>7.4499999999999997E-2</v>
      </c>
      <c r="AB1827" s="21">
        <f t="shared" si="550"/>
        <v>1002025</v>
      </c>
      <c r="AC1827" s="130">
        <f t="shared" si="551"/>
        <v>120243</v>
      </c>
      <c r="AD1827" s="169">
        <v>0.12</v>
      </c>
      <c r="AE1827" s="154">
        <f t="shared" si="552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42"/>
        <v>477651199.57437885</v>
      </c>
      <c r="AJ1827" s="19">
        <f t="shared" si="543"/>
        <v>56918800.518691957</v>
      </c>
      <c r="AK1827" s="20">
        <f t="shared" si="553"/>
        <v>0.11916394341605475</v>
      </c>
      <c r="AL1827" s="17"/>
      <c r="AM1827" s="17"/>
      <c r="AN1827" s="17"/>
      <c r="AO1827" s="17"/>
      <c r="AP1827" s="28" t="str">
        <f t="shared" si="554"/>
        <v>CancelCancel</v>
      </c>
      <c r="AQ1827" s="28" t="str">
        <f t="shared" si="555"/>
        <v>CancelCancelJPY</v>
      </c>
      <c r="AR1827" s="206" t="str">
        <f t="shared" si="556"/>
        <v>YAMAHA_Mounter</v>
      </c>
      <c r="AS1827" s="22" t="str">
        <f t="shared" si="557"/>
        <v/>
      </c>
      <c r="AT1827" s="24" t="str">
        <f t="shared" si="558"/>
        <v/>
      </c>
    </row>
    <row r="1828" spans="1:46" s="12" customFormat="1">
      <c r="A1828" s="33" t="str">
        <f t="shared" si="546"/>
        <v>FY 20/21</v>
      </c>
      <c r="B1828" s="152">
        <v>2020</v>
      </c>
      <c r="C1828" s="152">
        <v>11</v>
      </c>
      <c r="D1828" s="33" t="str">
        <f t="shared" si="547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48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49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5"/>
        <v>1</v>
      </c>
      <c r="Z1828" s="18">
        <f t="shared" si="541"/>
        <v>9000000</v>
      </c>
      <c r="AA1828" s="13">
        <v>7.4499999999999997E-2</v>
      </c>
      <c r="AB1828" s="21">
        <f t="shared" si="550"/>
        <v>670500</v>
      </c>
      <c r="AC1828" s="130">
        <f t="shared" si="551"/>
        <v>80460</v>
      </c>
      <c r="AD1828" s="169">
        <v>0.12</v>
      </c>
      <c r="AE1828" s="154">
        <f t="shared" si="552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42"/>
        <v>477651199.57437885</v>
      </c>
      <c r="AJ1828" s="19">
        <f t="shared" si="543"/>
        <v>56918800.518691957</v>
      </c>
      <c r="AK1828" s="20">
        <f t="shared" si="553"/>
        <v>0.11916394341605475</v>
      </c>
      <c r="AL1828" s="17"/>
      <c r="AM1828" s="17"/>
      <c r="AN1828" s="17"/>
      <c r="AO1828" s="17"/>
      <c r="AP1828" s="28" t="str">
        <f t="shared" si="554"/>
        <v>CancelCancel</v>
      </c>
      <c r="AQ1828" s="28" t="str">
        <f t="shared" si="555"/>
        <v>CancelCancelJPY</v>
      </c>
      <c r="AR1828" s="206" t="str">
        <f t="shared" si="556"/>
        <v>YAMAHA_Mounter</v>
      </c>
      <c r="AS1828" s="22" t="str">
        <f t="shared" si="557"/>
        <v/>
      </c>
      <c r="AT1828" s="24" t="str">
        <f t="shared" si="558"/>
        <v/>
      </c>
    </row>
    <row r="1829" spans="1:46" s="12" customFormat="1">
      <c r="A1829" s="33" t="str">
        <f t="shared" si="546"/>
        <v>FY 20/21</v>
      </c>
      <c r="B1829" s="152">
        <v>2020</v>
      </c>
      <c r="C1829" s="152">
        <v>11</v>
      </c>
      <c r="D1829" s="33" t="str">
        <f t="shared" si="547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48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49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5"/>
        <v>1</v>
      </c>
      <c r="Z1829" s="18">
        <f t="shared" si="541"/>
        <v>9000000</v>
      </c>
      <c r="AA1829" s="13">
        <v>7.4499999999999997E-2</v>
      </c>
      <c r="AB1829" s="21">
        <f t="shared" si="550"/>
        <v>670500</v>
      </c>
      <c r="AC1829" s="130">
        <f t="shared" si="551"/>
        <v>80460</v>
      </c>
      <c r="AD1829" s="169">
        <v>0.12</v>
      </c>
      <c r="AE1829" s="154">
        <f t="shared" si="552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42"/>
        <v>477651199.57437885</v>
      </c>
      <c r="AJ1829" s="19">
        <f t="shared" si="543"/>
        <v>56918800.518691957</v>
      </c>
      <c r="AK1829" s="20">
        <f t="shared" si="553"/>
        <v>0.11916394341605475</v>
      </c>
      <c r="AL1829" s="17"/>
      <c r="AM1829" s="17"/>
      <c r="AN1829" s="17"/>
      <c r="AO1829" s="17"/>
      <c r="AP1829" s="28" t="str">
        <f t="shared" si="554"/>
        <v>CancelCancel</v>
      </c>
      <c r="AQ1829" s="28" t="str">
        <f t="shared" si="555"/>
        <v>CancelCancelJPY</v>
      </c>
      <c r="AR1829" s="206" t="str">
        <f t="shared" si="556"/>
        <v>YAMAHA_Mounter</v>
      </c>
      <c r="AS1829" s="22" t="str">
        <f t="shared" si="557"/>
        <v/>
      </c>
      <c r="AT1829" s="24" t="str">
        <f t="shared" si="558"/>
        <v/>
      </c>
    </row>
    <row r="1830" spans="1:46" s="12" customFormat="1">
      <c r="A1830" s="33" t="str">
        <f t="shared" si="546"/>
        <v>FY 20/21</v>
      </c>
      <c r="B1830" s="152">
        <v>2020</v>
      </c>
      <c r="C1830" s="152">
        <v>11</v>
      </c>
      <c r="D1830" s="33" t="str">
        <f t="shared" si="547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48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49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5"/>
        <v>1</v>
      </c>
      <c r="Z1830" s="18">
        <f t="shared" si="541"/>
        <v>9000000</v>
      </c>
      <c r="AA1830" s="13">
        <v>7.4499999999999997E-2</v>
      </c>
      <c r="AB1830" s="21">
        <f t="shared" si="550"/>
        <v>670500</v>
      </c>
      <c r="AC1830" s="130">
        <f t="shared" si="551"/>
        <v>80460</v>
      </c>
      <c r="AD1830" s="169">
        <v>0.12</v>
      </c>
      <c r="AE1830" s="154">
        <f t="shared" si="552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42"/>
        <v>477651199.57437885</v>
      </c>
      <c r="AJ1830" s="19">
        <f t="shared" si="543"/>
        <v>56918800.518691957</v>
      </c>
      <c r="AK1830" s="20">
        <f t="shared" si="553"/>
        <v>0.11916394341605475</v>
      </c>
      <c r="AL1830" s="17"/>
      <c r="AM1830" s="17"/>
      <c r="AN1830" s="17"/>
      <c r="AO1830" s="17"/>
      <c r="AP1830" s="28" t="str">
        <f t="shared" si="554"/>
        <v>CancelCancel</v>
      </c>
      <c r="AQ1830" s="28" t="str">
        <f t="shared" si="555"/>
        <v>CancelCancelJPY</v>
      </c>
      <c r="AR1830" s="206" t="str">
        <f t="shared" si="556"/>
        <v>YAMAHA_Mounter</v>
      </c>
      <c r="AS1830" s="22" t="str">
        <f t="shared" si="557"/>
        <v/>
      </c>
      <c r="AT1830" s="24" t="str">
        <f t="shared" si="558"/>
        <v/>
      </c>
    </row>
    <row r="1831" spans="1:46" s="12" customFormat="1">
      <c r="A1831" s="33" t="str">
        <f t="shared" si="546"/>
        <v>FY 20/21</v>
      </c>
      <c r="B1831" s="152">
        <v>2020</v>
      </c>
      <c r="C1831" s="152">
        <v>11</v>
      </c>
      <c r="D1831" s="33" t="str">
        <f t="shared" si="547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48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49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5"/>
        <v>1</v>
      </c>
      <c r="Z1831" s="18">
        <f t="shared" si="541"/>
        <v>9000000</v>
      </c>
      <c r="AA1831" s="13">
        <v>7.4499999999999997E-2</v>
      </c>
      <c r="AB1831" s="21">
        <f t="shared" si="550"/>
        <v>670500</v>
      </c>
      <c r="AC1831" s="130">
        <f t="shared" si="551"/>
        <v>80460</v>
      </c>
      <c r="AD1831" s="169">
        <v>0.12</v>
      </c>
      <c r="AE1831" s="154">
        <f t="shared" si="552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42"/>
        <v>477651199.57437885</v>
      </c>
      <c r="AJ1831" s="19">
        <f t="shared" si="543"/>
        <v>56918800.518691957</v>
      </c>
      <c r="AK1831" s="20">
        <f t="shared" si="553"/>
        <v>0.11916394341605475</v>
      </c>
      <c r="AL1831" s="17"/>
      <c r="AM1831" s="17"/>
      <c r="AN1831" s="17"/>
      <c r="AO1831" s="17"/>
      <c r="AP1831" s="28" t="str">
        <f t="shared" si="554"/>
        <v>CancelCancel</v>
      </c>
      <c r="AQ1831" s="28" t="str">
        <f t="shared" si="555"/>
        <v>CancelCancelJPY</v>
      </c>
      <c r="AR1831" s="206" t="str">
        <f t="shared" si="556"/>
        <v>YAMAHA_Mounter</v>
      </c>
      <c r="AS1831" s="22" t="str">
        <f t="shared" si="557"/>
        <v/>
      </c>
      <c r="AT1831" s="24" t="str">
        <f t="shared" si="558"/>
        <v/>
      </c>
    </row>
    <row r="1832" spans="1:46" s="12" customFormat="1">
      <c r="A1832" s="33" t="str">
        <f t="shared" si="546"/>
        <v>FY 20/21</v>
      </c>
      <c r="B1832" s="152">
        <v>2021</v>
      </c>
      <c r="C1832" s="152">
        <v>1</v>
      </c>
      <c r="D1832" s="33" t="str">
        <f t="shared" si="547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48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49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5"/>
        <v>1</v>
      </c>
      <c r="Z1832" s="18">
        <f t="shared" si="541"/>
        <v>13450000</v>
      </c>
      <c r="AA1832" s="13">
        <v>7.4499999999999997E-2</v>
      </c>
      <c r="AB1832" s="21">
        <f t="shared" si="550"/>
        <v>1002025</v>
      </c>
      <c r="AC1832" s="130">
        <f t="shared" si="551"/>
        <v>97096.222500000003</v>
      </c>
      <c r="AD1832" s="169">
        <v>9.69E-2</v>
      </c>
      <c r="AE1832" s="154">
        <f t="shared" si="552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42"/>
        <v>57778307.282035396</v>
      </c>
      <c r="AJ1832" s="19">
        <f t="shared" si="543"/>
        <v>7259860.7225420559</v>
      </c>
      <c r="AK1832" s="20">
        <f t="shared" si="553"/>
        <v>0.12565028406083667</v>
      </c>
      <c r="AL1832" s="17"/>
      <c r="AM1832" s="17"/>
      <c r="AN1832" s="17"/>
      <c r="AO1832" s="17"/>
      <c r="AP1832" s="28" t="str">
        <f t="shared" si="554"/>
        <v>20213</v>
      </c>
      <c r="AQ1832" s="28" t="str">
        <f t="shared" si="555"/>
        <v>20213JPY</v>
      </c>
      <c r="AR1832" s="206" t="str">
        <f t="shared" si="556"/>
        <v>YAMAHA_Mounter</v>
      </c>
      <c r="AS1832" s="22">
        <f t="shared" si="557"/>
        <v>2</v>
      </c>
      <c r="AT1832" s="24" t="str">
        <f t="shared" si="558"/>
        <v>0-3 months</v>
      </c>
    </row>
    <row r="1833" spans="1:46" s="12" customFormat="1">
      <c r="A1833" s="33" t="str">
        <f t="shared" si="546"/>
        <v>FY 20/21</v>
      </c>
      <c r="B1833" s="152">
        <v>2021</v>
      </c>
      <c r="C1833" s="152">
        <v>1</v>
      </c>
      <c r="D1833" s="33" t="str">
        <f t="shared" si="547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48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49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5"/>
        <v>1</v>
      </c>
      <c r="Z1833" s="18">
        <f t="shared" si="541"/>
        <v>13450000</v>
      </c>
      <c r="AA1833" s="13">
        <v>7.4499999999999997E-2</v>
      </c>
      <c r="AB1833" s="21">
        <f t="shared" si="550"/>
        <v>1002025</v>
      </c>
      <c r="AC1833" s="130">
        <f t="shared" si="551"/>
        <v>97096.222500000003</v>
      </c>
      <c r="AD1833" s="169">
        <v>9.69E-2</v>
      </c>
      <c r="AE1833" s="154">
        <f t="shared" si="552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42"/>
        <v>57778307.282035396</v>
      </c>
      <c r="AJ1833" s="19">
        <f t="shared" si="543"/>
        <v>7259860.7225420559</v>
      </c>
      <c r="AK1833" s="20">
        <f t="shared" si="553"/>
        <v>0.12565028406083667</v>
      </c>
      <c r="AL1833" s="17"/>
      <c r="AM1833" s="17"/>
      <c r="AN1833" s="17"/>
      <c r="AO1833" s="17"/>
      <c r="AP1833" s="28" t="str">
        <f t="shared" si="554"/>
        <v>20213</v>
      </c>
      <c r="AQ1833" s="28" t="str">
        <f t="shared" si="555"/>
        <v>20213JPY</v>
      </c>
      <c r="AR1833" s="206" t="str">
        <f t="shared" si="556"/>
        <v>YAMAHA_Mounter</v>
      </c>
      <c r="AS1833" s="22">
        <f t="shared" si="557"/>
        <v>2</v>
      </c>
      <c r="AT1833" s="24" t="str">
        <f t="shared" si="558"/>
        <v>0-3 months</v>
      </c>
    </row>
    <row r="1834" spans="1:46" s="12" customFormat="1">
      <c r="A1834" s="33" t="str">
        <f t="shared" si="546"/>
        <v>FY 20/21</v>
      </c>
      <c r="B1834" s="152">
        <v>2021</v>
      </c>
      <c r="C1834" s="152">
        <v>1</v>
      </c>
      <c r="D1834" s="33" t="str">
        <f t="shared" si="547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48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49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5"/>
        <v>1</v>
      </c>
      <c r="Z1834" s="18">
        <f t="shared" si="541"/>
        <v>13450000</v>
      </c>
      <c r="AA1834" s="13">
        <v>7.4499999999999997E-2</v>
      </c>
      <c r="AB1834" s="21">
        <f t="shared" si="550"/>
        <v>1002025</v>
      </c>
      <c r="AC1834" s="130">
        <f t="shared" si="551"/>
        <v>97096.222500000003</v>
      </c>
      <c r="AD1834" s="169">
        <v>9.69E-2</v>
      </c>
      <c r="AE1834" s="154">
        <f t="shared" si="552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42"/>
        <v>57778307.282035396</v>
      </c>
      <c r="AJ1834" s="19">
        <f t="shared" si="543"/>
        <v>7259860.7225420559</v>
      </c>
      <c r="AK1834" s="20">
        <f t="shared" si="553"/>
        <v>0.12565028406083667</v>
      </c>
      <c r="AL1834" s="17"/>
      <c r="AM1834" s="17"/>
      <c r="AN1834" s="17"/>
      <c r="AO1834" s="17"/>
      <c r="AP1834" s="28" t="str">
        <f t="shared" si="554"/>
        <v>20213</v>
      </c>
      <c r="AQ1834" s="28" t="str">
        <f t="shared" si="555"/>
        <v>20213JPY</v>
      </c>
      <c r="AR1834" s="206" t="str">
        <f t="shared" si="556"/>
        <v>YAMAHA_Mounter</v>
      </c>
      <c r="AS1834" s="22">
        <f t="shared" si="557"/>
        <v>2</v>
      </c>
      <c r="AT1834" s="24" t="str">
        <f t="shared" si="558"/>
        <v>0-3 months</v>
      </c>
    </row>
    <row r="1835" spans="1:46" s="12" customFormat="1">
      <c r="A1835" s="33" t="str">
        <f t="shared" si="546"/>
        <v>FY 20/21</v>
      </c>
      <c r="B1835" s="152">
        <v>2021</v>
      </c>
      <c r="C1835" s="152">
        <v>1</v>
      </c>
      <c r="D1835" s="33" t="str">
        <f t="shared" si="547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48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49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5"/>
        <v>1</v>
      </c>
      <c r="Z1835" s="18">
        <f t="shared" si="541"/>
        <v>13450000</v>
      </c>
      <c r="AA1835" s="13">
        <v>7.4499999999999997E-2</v>
      </c>
      <c r="AB1835" s="21">
        <f t="shared" si="550"/>
        <v>1002025</v>
      </c>
      <c r="AC1835" s="130">
        <f t="shared" si="551"/>
        <v>97096.222500000003</v>
      </c>
      <c r="AD1835" s="169">
        <v>9.69E-2</v>
      </c>
      <c r="AE1835" s="154">
        <f t="shared" si="552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42"/>
        <v>57778307.282035396</v>
      </c>
      <c r="AJ1835" s="19">
        <f t="shared" si="543"/>
        <v>7259860.7225420559</v>
      </c>
      <c r="AK1835" s="20">
        <f t="shared" si="553"/>
        <v>0.12565028406083667</v>
      </c>
      <c r="AL1835" s="17"/>
      <c r="AM1835" s="17"/>
      <c r="AN1835" s="17"/>
      <c r="AO1835" s="17"/>
      <c r="AP1835" s="28" t="str">
        <f t="shared" si="554"/>
        <v>20213</v>
      </c>
      <c r="AQ1835" s="28" t="str">
        <f t="shared" si="555"/>
        <v>20213JPY</v>
      </c>
      <c r="AR1835" s="206" t="str">
        <f t="shared" si="556"/>
        <v>YAMAHA_Mounter</v>
      </c>
      <c r="AS1835" s="22">
        <f t="shared" si="557"/>
        <v>2</v>
      </c>
      <c r="AT1835" s="24" t="str">
        <f t="shared" si="558"/>
        <v>0-3 months</v>
      </c>
    </row>
    <row r="1836" spans="1:46" s="12" customFormat="1">
      <c r="A1836" s="33" t="str">
        <f t="shared" si="546"/>
        <v>FY 20/21</v>
      </c>
      <c r="B1836" s="152">
        <v>2021</v>
      </c>
      <c r="C1836" s="152">
        <v>1</v>
      </c>
      <c r="D1836" s="33" t="str">
        <f t="shared" si="547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48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49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5"/>
        <v>1</v>
      </c>
      <c r="Z1836" s="18">
        <f t="shared" si="541"/>
        <v>9000000</v>
      </c>
      <c r="AA1836" s="13">
        <v>7.4499999999999997E-2</v>
      </c>
      <c r="AB1836" s="21">
        <f t="shared" si="550"/>
        <v>670500</v>
      </c>
      <c r="AC1836" s="130">
        <f t="shared" si="551"/>
        <v>64971.45</v>
      </c>
      <c r="AD1836" s="169">
        <v>9.69E-2</v>
      </c>
      <c r="AE1836" s="154">
        <f t="shared" si="552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42"/>
        <v>57778307.282035396</v>
      </c>
      <c r="AJ1836" s="19">
        <f t="shared" si="543"/>
        <v>7259860.7225420559</v>
      </c>
      <c r="AK1836" s="20">
        <f t="shared" si="553"/>
        <v>0.12565028406083667</v>
      </c>
      <c r="AL1836" s="17"/>
      <c r="AM1836" s="17"/>
      <c r="AN1836" s="17"/>
      <c r="AO1836" s="17"/>
      <c r="AP1836" s="28" t="str">
        <f t="shared" si="554"/>
        <v>20213</v>
      </c>
      <c r="AQ1836" s="28" t="str">
        <f t="shared" si="555"/>
        <v>20213JPY</v>
      </c>
      <c r="AR1836" s="206" t="str">
        <f t="shared" si="556"/>
        <v>YAMAHA_Mounter</v>
      </c>
      <c r="AS1836" s="22">
        <f t="shared" si="557"/>
        <v>2</v>
      </c>
      <c r="AT1836" s="24" t="str">
        <f t="shared" si="558"/>
        <v>0-3 months</v>
      </c>
    </row>
    <row r="1837" spans="1:46" s="12" customFormat="1">
      <c r="A1837" s="33" t="str">
        <f t="shared" si="546"/>
        <v>FY 20/21</v>
      </c>
      <c r="B1837" s="152">
        <v>2021</v>
      </c>
      <c r="C1837" s="152">
        <v>1</v>
      </c>
      <c r="D1837" s="33" t="str">
        <f t="shared" si="547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48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49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5"/>
        <v>1</v>
      </c>
      <c r="Z1837" s="18">
        <f t="shared" si="541"/>
        <v>9000000</v>
      </c>
      <c r="AA1837" s="13">
        <v>7.4499999999999997E-2</v>
      </c>
      <c r="AB1837" s="21">
        <f t="shared" si="550"/>
        <v>670500</v>
      </c>
      <c r="AC1837" s="130">
        <f t="shared" si="551"/>
        <v>64971.45</v>
      </c>
      <c r="AD1837" s="169">
        <v>9.69E-2</v>
      </c>
      <c r="AE1837" s="154">
        <f t="shared" si="552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42"/>
        <v>57778307.282035396</v>
      </c>
      <c r="AJ1837" s="19">
        <f t="shared" si="543"/>
        <v>7259860.7225420559</v>
      </c>
      <c r="AK1837" s="20">
        <f t="shared" si="553"/>
        <v>0.12565028406083667</v>
      </c>
      <c r="AL1837" s="17"/>
      <c r="AM1837" s="17"/>
      <c r="AN1837" s="17"/>
      <c r="AO1837" s="17"/>
      <c r="AP1837" s="28" t="str">
        <f t="shared" si="554"/>
        <v>20213</v>
      </c>
      <c r="AQ1837" s="28" t="str">
        <f t="shared" si="555"/>
        <v>20213JPY</v>
      </c>
      <c r="AR1837" s="206" t="str">
        <f t="shared" si="556"/>
        <v>YAMAHA_Mounter</v>
      </c>
      <c r="AS1837" s="22">
        <f t="shared" si="557"/>
        <v>2</v>
      </c>
      <c r="AT1837" s="24" t="str">
        <f t="shared" si="558"/>
        <v>0-3 months</v>
      </c>
    </row>
    <row r="1838" spans="1:46" s="12" customFormat="1">
      <c r="A1838" s="33" t="str">
        <f t="shared" si="546"/>
        <v>FY 20/21</v>
      </c>
      <c r="B1838" s="152">
        <v>2021</v>
      </c>
      <c r="C1838" s="152">
        <v>1</v>
      </c>
      <c r="D1838" s="33" t="str">
        <f t="shared" si="547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48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49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5"/>
        <v>1</v>
      </c>
      <c r="Z1838" s="18">
        <f t="shared" si="541"/>
        <v>9000000</v>
      </c>
      <c r="AA1838" s="13">
        <v>7.4499999999999997E-2</v>
      </c>
      <c r="AB1838" s="21">
        <f t="shared" si="550"/>
        <v>670500</v>
      </c>
      <c r="AC1838" s="130">
        <f t="shared" si="551"/>
        <v>64971.45</v>
      </c>
      <c r="AD1838" s="169">
        <v>9.69E-2</v>
      </c>
      <c r="AE1838" s="154">
        <f t="shared" si="552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42"/>
        <v>57778307.282035396</v>
      </c>
      <c r="AJ1838" s="19">
        <f t="shared" si="543"/>
        <v>7259860.7225420559</v>
      </c>
      <c r="AK1838" s="20">
        <f t="shared" si="553"/>
        <v>0.12565028406083667</v>
      </c>
      <c r="AL1838" s="17"/>
      <c r="AM1838" s="17"/>
      <c r="AN1838" s="17"/>
      <c r="AO1838" s="17"/>
      <c r="AP1838" s="28" t="str">
        <f t="shared" si="554"/>
        <v>20213</v>
      </c>
      <c r="AQ1838" s="28" t="str">
        <f t="shared" si="555"/>
        <v>20213JPY</v>
      </c>
      <c r="AR1838" s="206" t="str">
        <f t="shared" si="556"/>
        <v>YAMAHA_Mounter</v>
      </c>
      <c r="AS1838" s="22">
        <f t="shared" si="557"/>
        <v>2</v>
      </c>
      <c r="AT1838" s="24" t="str">
        <f t="shared" si="558"/>
        <v>0-3 months</v>
      </c>
    </row>
    <row r="1839" spans="1:46" s="12" customFormat="1">
      <c r="A1839" s="33" t="str">
        <f t="shared" si="546"/>
        <v>FY 20/21</v>
      </c>
      <c r="B1839" s="152">
        <v>2021</v>
      </c>
      <c r="C1839" s="152">
        <v>1</v>
      </c>
      <c r="D1839" s="33" t="str">
        <f t="shared" si="547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48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49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5"/>
        <v>1</v>
      </c>
      <c r="Z1839" s="18">
        <f t="shared" si="541"/>
        <v>9000000</v>
      </c>
      <c r="AA1839" s="13">
        <v>7.4499999999999997E-2</v>
      </c>
      <c r="AB1839" s="21">
        <f t="shared" si="550"/>
        <v>670500</v>
      </c>
      <c r="AC1839" s="130">
        <f t="shared" si="551"/>
        <v>64971.45</v>
      </c>
      <c r="AD1839" s="169">
        <v>9.69E-2</v>
      </c>
      <c r="AE1839" s="154">
        <f t="shared" si="552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42"/>
        <v>57778307.282035396</v>
      </c>
      <c r="AJ1839" s="19">
        <f t="shared" si="543"/>
        <v>7259860.7225420559</v>
      </c>
      <c r="AK1839" s="20">
        <f t="shared" si="553"/>
        <v>0.12565028406083667</v>
      </c>
      <c r="AL1839" s="17"/>
      <c r="AM1839" s="17"/>
      <c r="AN1839" s="17"/>
      <c r="AO1839" s="17"/>
      <c r="AP1839" s="28" t="str">
        <f t="shared" si="554"/>
        <v>20213</v>
      </c>
      <c r="AQ1839" s="28" t="str">
        <f t="shared" si="555"/>
        <v>20213JPY</v>
      </c>
      <c r="AR1839" s="206" t="str">
        <f t="shared" si="556"/>
        <v>YAMAHA_Mounter</v>
      </c>
      <c r="AS1839" s="22">
        <f t="shared" si="557"/>
        <v>2</v>
      </c>
      <c r="AT1839" s="24" t="str">
        <f t="shared" si="558"/>
        <v>0-3 months</v>
      </c>
    </row>
    <row r="1840" spans="1:46" s="12" customFormat="1">
      <c r="A1840" s="33" t="str">
        <f t="shared" si="546"/>
        <v>FY 21/22</v>
      </c>
      <c r="B1840" s="152">
        <v>2021</v>
      </c>
      <c r="C1840" s="152">
        <v>10</v>
      </c>
      <c r="D1840" s="33" t="str">
        <f t="shared" si="547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48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49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5"/>
        <v>1</v>
      </c>
      <c r="Z1840" s="18">
        <f t="shared" si="541"/>
        <v>16500000</v>
      </c>
      <c r="AA1840" s="13">
        <v>6.9199999999999998E-2</v>
      </c>
      <c r="AB1840" s="21">
        <f t="shared" si="550"/>
        <v>1141800</v>
      </c>
      <c r="AC1840" s="130">
        <f t="shared" si="551"/>
        <v>137701.07999999999</v>
      </c>
      <c r="AD1840" s="169">
        <v>0.1206</v>
      </c>
      <c r="AE1840" s="154">
        <f t="shared" si="552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42"/>
        <v>28726768.133805312</v>
      </c>
      <c r="AJ1840" s="19">
        <f t="shared" si="543"/>
        <v>3853638.1988864429</v>
      </c>
      <c r="AK1840" s="20">
        <f t="shared" si="553"/>
        <v>0.1341479898099476</v>
      </c>
      <c r="AL1840" s="17"/>
      <c r="AM1840" s="17"/>
      <c r="AN1840" s="17"/>
      <c r="AO1840" s="17"/>
      <c r="AP1840" s="28" t="str">
        <f t="shared" si="554"/>
        <v>20223</v>
      </c>
      <c r="AQ1840" s="28" t="str">
        <f t="shared" si="555"/>
        <v>20223JPY</v>
      </c>
      <c r="AR1840" s="206" t="str">
        <f t="shared" si="556"/>
        <v>YAMAHA_Mounter</v>
      </c>
      <c r="AS1840" s="22">
        <f t="shared" si="557"/>
        <v>5</v>
      </c>
      <c r="AT1840" s="24" t="str">
        <f t="shared" si="558"/>
        <v>4-6 months</v>
      </c>
    </row>
    <row r="1841" spans="1:46" s="12" customFormat="1">
      <c r="A1841" s="33" t="str">
        <f t="shared" si="546"/>
        <v>FY 21/22</v>
      </c>
      <c r="B1841" s="152">
        <v>2021</v>
      </c>
      <c r="C1841" s="152">
        <v>10</v>
      </c>
      <c r="D1841" s="33" t="str">
        <f t="shared" si="547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48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49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5"/>
        <v>1</v>
      </c>
      <c r="Z1841" s="18">
        <f t="shared" si="541"/>
        <v>9000000</v>
      </c>
      <c r="AA1841" s="13">
        <v>6.9199999999999998E-2</v>
      </c>
      <c r="AB1841" s="21">
        <f t="shared" si="550"/>
        <v>622800</v>
      </c>
      <c r="AC1841" s="130">
        <f t="shared" si="551"/>
        <v>75109.679999999993</v>
      </c>
      <c r="AD1841" s="169">
        <v>0.1206</v>
      </c>
      <c r="AE1841" s="154">
        <f t="shared" si="552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42"/>
        <v>28726768.133805312</v>
      </c>
      <c r="AJ1841" s="19">
        <f t="shared" si="543"/>
        <v>3853638.1988864429</v>
      </c>
      <c r="AK1841" s="20">
        <f t="shared" si="553"/>
        <v>0.1341479898099476</v>
      </c>
      <c r="AL1841" s="17"/>
      <c r="AM1841" s="17"/>
      <c r="AN1841" s="17"/>
      <c r="AO1841" s="17"/>
      <c r="AP1841" s="28" t="str">
        <f t="shared" si="554"/>
        <v>20223</v>
      </c>
      <c r="AQ1841" s="28" t="str">
        <f t="shared" si="555"/>
        <v>20223JPY</v>
      </c>
      <c r="AR1841" s="206" t="str">
        <f t="shared" si="556"/>
        <v>YAMAHA_Mounter</v>
      </c>
      <c r="AS1841" s="22">
        <f t="shared" si="557"/>
        <v>5</v>
      </c>
      <c r="AT1841" s="24" t="str">
        <f t="shared" si="558"/>
        <v>4-6 months</v>
      </c>
    </row>
    <row r="1842" spans="1:46" s="12" customFormat="1">
      <c r="A1842" s="33" t="str">
        <f t="shared" si="546"/>
        <v>FY 21/22</v>
      </c>
      <c r="B1842" s="152">
        <v>2021</v>
      </c>
      <c r="C1842" s="152">
        <v>10</v>
      </c>
      <c r="D1842" s="33" t="str">
        <f t="shared" si="547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48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49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5"/>
        <v>1</v>
      </c>
      <c r="Z1842" s="18">
        <f t="shared" si="541"/>
        <v>16500000</v>
      </c>
      <c r="AA1842" s="13">
        <v>6.54E-2</v>
      </c>
      <c r="AB1842" s="21">
        <f t="shared" si="550"/>
        <v>1079100</v>
      </c>
      <c r="AC1842" s="130">
        <f t="shared" si="551"/>
        <v>130139.45999999999</v>
      </c>
      <c r="AD1842" s="169">
        <v>0.1206</v>
      </c>
      <c r="AE1842" s="154">
        <f t="shared" si="552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42"/>
        <v>46600814.041769907</v>
      </c>
      <c r="AJ1842" s="19">
        <f t="shared" si="543"/>
        <v>5956366.3435927071</v>
      </c>
      <c r="AK1842" s="20">
        <f t="shared" si="553"/>
        <v>0.1278167874546958</v>
      </c>
      <c r="AL1842" s="17"/>
      <c r="AM1842" s="17"/>
      <c r="AN1842" s="17"/>
      <c r="AO1842" s="17"/>
      <c r="AP1842" s="28" t="str">
        <f t="shared" si="554"/>
        <v>20224</v>
      </c>
      <c r="AQ1842" s="28" t="str">
        <f t="shared" si="555"/>
        <v>20224JPY</v>
      </c>
      <c r="AR1842" s="206" t="str">
        <f t="shared" si="556"/>
        <v>YAMAHA_Mounter</v>
      </c>
      <c r="AS1842" s="22">
        <f t="shared" si="557"/>
        <v>6</v>
      </c>
      <c r="AT1842" s="24" t="str">
        <f t="shared" si="558"/>
        <v>4-6 months</v>
      </c>
    </row>
    <row r="1843" spans="1:46" s="12" customFormat="1">
      <c r="A1843" s="33" t="str">
        <f t="shared" si="546"/>
        <v>FY 21/22</v>
      </c>
      <c r="B1843" s="152">
        <v>2021</v>
      </c>
      <c r="C1843" s="152">
        <v>10</v>
      </c>
      <c r="D1843" s="33" t="str">
        <f t="shared" si="547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48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49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5"/>
        <v>1</v>
      </c>
      <c r="Z1843" s="18">
        <f t="shared" si="541"/>
        <v>9000000</v>
      </c>
      <c r="AA1843" s="13">
        <v>6.54E-2</v>
      </c>
      <c r="AB1843" s="21">
        <f t="shared" si="550"/>
        <v>588600</v>
      </c>
      <c r="AC1843" s="130">
        <f t="shared" si="551"/>
        <v>70985.16</v>
      </c>
      <c r="AD1843" s="169">
        <v>0.1206</v>
      </c>
      <c r="AE1843" s="154">
        <f t="shared" si="552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42"/>
        <v>46600814.041769907</v>
      </c>
      <c r="AJ1843" s="19">
        <f t="shared" si="543"/>
        <v>5956366.3435927071</v>
      </c>
      <c r="AK1843" s="20">
        <f t="shared" si="553"/>
        <v>0.1278167874546958</v>
      </c>
      <c r="AL1843" s="17"/>
      <c r="AM1843" s="17"/>
      <c r="AN1843" s="17"/>
      <c r="AO1843" s="17"/>
      <c r="AP1843" s="28" t="str">
        <f t="shared" si="554"/>
        <v>20224</v>
      </c>
      <c r="AQ1843" s="28" t="str">
        <f t="shared" si="555"/>
        <v>20224JPY</v>
      </c>
      <c r="AR1843" s="206" t="str">
        <f t="shared" si="556"/>
        <v>YAMAHA_Mounter</v>
      </c>
      <c r="AS1843" s="22">
        <f t="shared" si="557"/>
        <v>6</v>
      </c>
      <c r="AT1843" s="24" t="str">
        <f t="shared" si="558"/>
        <v>4-6 months</v>
      </c>
    </row>
    <row r="1844" spans="1:46" s="12" customFormat="1">
      <c r="A1844" s="33" t="str">
        <f t="shared" si="546"/>
        <v>FY 21/22</v>
      </c>
      <c r="B1844" s="152">
        <v>2021</v>
      </c>
      <c r="C1844" s="152">
        <v>10</v>
      </c>
      <c r="D1844" s="33" t="str">
        <f t="shared" si="547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48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49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5"/>
        <v>1</v>
      </c>
      <c r="Z1844" s="18">
        <f t="shared" si="541"/>
        <v>9000000</v>
      </c>
      <c r="AA1844" s="13">
        <v>6.54E-2</v>
      </c>
      <c r="AB1844" s="21">
        <f t="shared" si="550"/>
        <v>588600</v>
      </c>
      <c r="AC1844" s="130">
        <f t="shared" si="551"/>
        <v>70985.16</v>
      </c>
      <c r="AD1844" s="169">
        <v>0.1206</v>
      </c>
      <c r="AE1844" s="154">
        <f t="shared" si="552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42"/>
        <v>46600814.041769907</v>
      </c>
      <c r="AJ1844" s="19">
        <f t="shared" si="543"/>
        <v>5956366.3435927071</v>
      </c>
      <c r="AK1844" s="20">
        <f t="shared" si="553"/>
        <v>0.1278167874546958</v>
      </c>
      <c r="AL1844" s="17"/>
      <c r="AM1844" s="17"/>
      <c r="AN1844" s="17"/>
      <c r="AO1844" s="17"/>
      <c r="AP1844" s="28" t="str">
        <f t="shared" si="554"/>
        <v>20224</v>
      </c>
      <c r="AQ1844" s="28" t="str">
        <f t="shared" si="555"/>
        <v>20224JPY</v>
      </c>
      <c r="AR1844" s="206" t="str">
        <f t="shared" si="556"/>
        <v>YAMAHA_Mounter</v>
      </c>
      <c r="AS1844" s="22">
        <f t="shared" si="557"/>
        <v>6</v>
      </c>
      <c r="AT1844" s="24" t="str">
        <f t="shared" si="558"/>
        <v>4-6 months</v>
      </c>
    </row>
    <row r="1845" spans="1:46" s="12" customFormat="1">
      <c r="A1845" s="33" t="str">
        <f t="shared" si="546"/>
        <v>FY 20/21</v>
      </c>
      <c r="B1845" s="152">
        <v>2021</v>
      </c>
      <c r="C1845" s="152">
        <v>1</v>
      </c>
      <c r="D1845" s="33" t="str">
        <f t="shared" si="547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48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49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5"/>
        <v>1</v>
      </c>
      <c r="Z1845" s="18">
        <f t="shared" si="541"/>
        <v>14400000</v>
      </c>
      <c r="AA1845" s="13">
        <v>7.17E-2</v>
      </c>
      <c r="AB1845" s="21">
        <f t="shared" si="550"/>
        <v>1032480</v>
      </c>
      <c r="AC1845" s="130">
        <f t="shared" si="551"/>
        <v>123897.59999999999</v>
      </c>
      <c r="AD1845" s="169">
        <v>0.12</v>
      </c>
      <c r="AE1845" s="154">
        <f t="shared" si="552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42"/>
        <v>477651199.57437885</v>
      </c>
      <c r="AJ1845" s="19">
        <f t="shared" si="543"/>
        <v>56918800.518691957</v>
      </c>
      <c r="AK1845" s="20">
        <f t="shared" si="553"/>
        <v>0.11916394341605475</v>
      </c>
      <c r="AL1845" s="17"/>
      <c r="AM1845" s="17"/>
      <c r="AN1845" s="17"/>
      <c r="AO1845" s="17"/>
      <c r="AP1845" s="28" t="str">
        <f t="shared" si="554"/>
        <v>CancelCancel</v>
      </c>
      <c r="AQ1845" s="28" t="str">
        <f t="shared" si="555"/>
        <v>CancelCancelJPY</v>
      </c>
      <c r="AR1845" s="206" t="str">
        <f t="shared" si="556"/>
        <v>YAMAHA_Mounter</v>
      </c>
      <c r="AS1845" s="22" t="str">
        <f t="shared" si="557"/>
        <v/>
      </c>
      <c r="AT1845" s="24" t="str">
        <f t="shared" si="558"/>
        <v/>
      </c>
    </row>
    <row r="1846" spans="1:46" s="12" customFormat="1">
      <c r="A1846" s="33" t="str">
        <f t="shared" si="546"/>
        <v>FY 20/21</v>
      </c>
      <c r="B1846" s="152">
        <v>2021</v>
      </c>
      <c r="C1846" s="152">
        <v>1</v>
      </c>
      <c r="D1846" s="33" t="str">
        <f t="shared" si="547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48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49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5"/>
        <v>1</v>
      </c>
      <c r="Z1846" s="18">
        <f t="shared" si="541"/>
        <v>14400000</v>
      </c>
      <c r="AA1846" s="13">
        <v>7.17E-2</v>
      </c>
      <c r="AB1846" s="21">
        <f t="shared" si="550"/>
        <v>1032480</v>
      </c>
      <c r="AC1846" s="130">
        <f t="shared" si="551"/>
        <v>123897.59999999999</v>
      </c>
      <c r="AD1846" s="169">
        <v>0.12</v>
      </c>
      <c r="AE1846" s="154">
        <f t="shared" si="552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42"/>
        <v>477651199.57437885</v>
      </c>
      <c r="AJ1846" s="19">
        <f t="shared" si="543"/>
        <v>56918800.518691957</v>
      </c>
      <c r="AK1846" s="20">
        <f t="shared" si="553"/>
        <v>0.11916394341605475</v>
      </c>
      <c r="AL1846" s="17"/>
      <c r="AM1846" s="17"/>
      <c r="AN1846" s="17"/>
      <c r="AO1846" s="17"/>
      <c r="AP1846" s="28" t="str">
        <f t="shared" si="554"/>
        <v>CancelCancel</v>
      </c>
      <c r="AQ1846" s="28" t="str">
        <f t="shared" si="555"/>
        <v>CancelCancelJPY</v>
      </c>
      <c r="AR1846" s="206" t="str">
        <f t="shared" si="556"/>
        <v>YAMAHA_Mounter</v>
      </c>
      <c r="AS1846" s="22" t="str">
        <f t="shared" si="557"/>
        <v/>
      </c>
      <c r="AT1846" s="24" t="str">
        <f t="shared" si="558"/>
        <v/>
      </c>
    </row>
    <row r="1847" spans="1:46" s="12" customFormat="1">
      <c r="A1847" s="33" t="str">
        <f t="shared" si="546"/>
        <v>FY 20/21</v>
      </c>
      <c r="B1847" s="152">
        <v>2021</v>
      </c>
      <c r="C1847" s="152">
        <v>1</v>
      </c>
      <c r="D1847" s="33" t="str">
        <f t="shared" si="547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48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49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5"/>
        <v>1</v>
      </c>
      <c r="Z1847" s="18">
        <f t="shared" si="541"/>
        <v>14400000</v>
      </c>
      <c r="AA1847" s="13">
        <v>7.17E-2</v>
      </c>
      <c r="AB1847" s="21">
        <f t="shared" si="550"/>
        <v>1032480</v>
      </c>
      <c r="AC1847" s="130">
        <f t="shared" si="551"/>
        <v>123897.59999999999</v>
      </c>
      <c r="AD1847" s="169">
        <v>0.12</v>
      </c>
      <c r="AE1847" s="154">
        <f t="shared" si="552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42"/>
        <v>477651199.57437885</v>
      </c>
      <c r="AJ1847" s="19">
        <f t="shared" si="543"/>
        <v>56918800.518691957</v>
      </c>
      <c r="AK1847" s="20">
        <f t="shared" si="553"/>
        <v>0.11916394341605475</v>
      </c>
      <c r="AL1847" s="17"/>
      <c r="AM1847" s="17"/>
      <c r="AN1847" s="17"/>
      <c r="AO1847" s="17"/>
      <c r="AP1847" s="28" t="str">
        <f t="shared" si="554"/>
        <v>CancelCancel</v>
      </c>
      <c r="AQ1847" s="28" t="str">
        <f t="shared" si="555"/>
        <v>CancelCancelJPY</v>
      </c>
      <c r="AR1847" s="206" t="str">
        <f t="shared" si="556"/>
        <v>YAMAHA_Mounter</v>
      </c>
      <c r="AS1847" s="22" t="str">
        <f t="shared" si="557"/>
        <v/>
      </c>
      <c r="AT1847" s="24" t="str">
        <f t="shared" si="558"/>
        <v/>
      </c>
    </row>
    <row r="1848" spans="1:46" s="12" customFormat="1">
      <c r="A1848" s="33" t="str">
        <f t="shared" si="546"/>
        <v>FY 20/21</v>
      </c>
      <c r="B1848" s="152">
        <v>2021</v>
      </c>
      <c r="C1848" s="152">
        <v>1</v>
      </c>
      <c r="D1848" s="33" t="str">
        <f t="shared" si="547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48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49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5"/>
        <v>1</v>
      </c>
      <c r="Z1848" s="18">
        <f t="shared" si="541"/>
        <v>9000000</v>
      </c>
      <c r="AA1848" s="13">
        <v>7.17E-2</v>
      </c>
      <c r="AB1848" s="21">
        <f t="shared" si="550"/>
        <v>645300</v>
      </c>
      <c r="AC1848" s="130">
        <f t="shared" si="551"/>
        <v>77436</v>
      </c>
      <c r="AD1848" s="169">
        <v>0.12</v>
      </c>
      <c r="AE1848" s="154">
        <f t="shared" si="552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42"/>
        <v>477651199.57437885</v>
      </c>
      <c r="AJ1848" s="19">
        <f t="shared" si="543"/>
        <v>56918800.518691957</v>
      </c>
      <c r="AK1848" s="20">
        <f t="shared" si="553"/>
        <v>0.11916394341605475</v>
      </c>
      <c r="AL1848" s="17"/>
      <c r="AM1848" s="17"/>
      <c r="AN1848" s="17"/>
      <c r="AO1848" s="17"/>
      <c r="AP1848" s="28" t="str">
        <f t="shared" si="554"/>
        <v>CancelCancel</v>
      </c>
      <c r="AQ1848" s="28" t="str">
        <f t="shared" si="555"/>
        <v>CancelCancelJPY</v>
      </c>
      <c r="AR1848" s="206" t="str">
        <f t="shared" si="556"/>
        <v>YAMAHA_Mounter</v>
      </c>
      <c r="AS1848" s="22" t="str">
        <f t="shared" si="557"/>
        <v/>
      </c>
      <c r="AT1848" s="24" t="str">
        <f t="shared" si="558"/>
        <v/>
      </c>
    </row>
    <row r="1849" spans="1:46" s="12" customFormat="1">
      <c r="A1849" s="33" t="str">
        <f t="shared" si="546"/>
        <v>FY 20/21</v>
      </c>
      <c r="B1849" s="152">
        <v>2021</v>
      </c>
      <c r="C1849" s="152">
        <v>1</v>
      </c>
      <c r="D1849" s="33" t="str">
        <f t="shared" si="547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48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49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5"/>
        <v>1</v>
      </c>
      <c r="Z1849" s="18">
        <f t="shared" si="541"/>
        <v>9000000</v>
      </c>
      <c r="AA1849" s="13">
        <v>7.17E-2</v>
      </c>
      <c r="AB1849" s="21">
        <f t="shared" si="550"/>
        <v>645300</v>
      </c>
      <c r="AC1849" s="130">
        <f t="shared" si="551"/>
        <v>77436</v>
      </c>
      <c r="AD1849" s="169">
        <v>0.12</v>
      </c>
      <c r="AE1849" s="154">
        <f t="shared" si="552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42"/>
        <v>477651199.57437885</v>
      </c>
      <c r="AJ1849" s="19">
        <f t="shared" si="543"/>
        <v>56918800.518691957</v>
      </c>
      <c r="AK1849" s="20">
        <f t="shared" si="553"/>
        <v>0.11916394341605475</v>
      </c>
      <c r="AL1849" s="17"/>
      <c r="AM1849" s="17"/>
      <c r="AN1849" s="17"/>
      <c r="AO1849" s="17"/>
      <c r="AP1849" s="28" t="str">
        <f t="shared" si="554"/>
        <v>CancelCancel</v>
      </c>
      <c r="AQ1849" s="28" t="str">
        <f t="shared" si="555"/>
        <v>CancelCancelJPY</v>
      </c>
      <c r="AR1849" s="206" t="str">
        <f t="shared" si="556"/>
        <v>YAMAHA_Mounter</v>
      </c>
      <c r="AS1849" s="22" t="str">
        <f t="shared" si="557"/>
        <v/>
      </c>
      <c r="AT1849" s="24" t="str">
        <f t="shared" si="558"/>
        <v/>
      </c>
    </row>
    <row r="1850" spans="1:46" s="12" customFormat="1">
      <c r="A1850" s="33" t="str">
        <f t="shared" si="546"/>
        <v>FY 20/21</v>
      </c>
      <c r="B1850" s="152">
        <v>2021</v>
      </c>
      <c r="C1850" s="152">
        <v>1</v>
      </c>
      <c r="D1850" s="33" t="str">
        <f t="shared" si="547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48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49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5"/>
        <v>1</v>
      </c>
      <c r="Z1850" s="18">
        <f t="shared" si="541"/>
        <v>9000000</v>
      </c>
      <c r="AA1850" s="13">
        <v>7.17E-2</v>
      </c>
      <c r="AB1850" s="21">
        <f t="shared" si="550"/>
        <v>645300</v>
      </c>
      <c r="AC1850" s="130">
        <f t="shared" si="551"/>
        <v>77436</v>
      </c>
      <c r="AD1850" s="169">
        <v>0.12</v>
      </c>
      <c r="AE1850" s="154">
        <f t="shared" si="552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42"/>
        <v>477651199.57437885</v>
      </c>
      <c r="AJ1850" s="19">
        <f t="shared" si="543"/>
        <v>56918800.518691957</v>
      </c>
      <c r="AK1850" s="20">
        <f t="shared" si="553"/>
        <v>0.11916394341605475</v>
      </c>
      <c r="AL1850" s="17"/>
      <c r="AM1850" s="17"/>
      <c r="AN1850" s="17"/>
      <c r="AO1850" s="17"/>
      <c r="AP1850" s="28" t="str">
        <f t="shared" si="554"/>
        <v>CancelCancel</v>
      </c>
      <c r="AQ1850" s="28" t="str">
        <f t="shared" si="555"/>
        <v>CancelCancelJPY</v>
      </c>
      <c r="AR1850" s="206" t="str">
        <f t="shared" si="556"/>
        <v>YAMAHA_Mounter</v>
      </c>
      <c r="AS1850" s="22" t="str">
        <f t="shared" si="557"/>
        <v/>
      </c>
      <c r="AT1850" s="24" t="str">
        <f t="shared" si="558"/>
        <v/>
      </c>
    </row>
    <row r="1851" spans="1:46" s="12" customFormat="1">
      <c r="A1851" s="33" t="str">
        <f t="shared" si="546"/>
        <v>FY 20/21</v>
      </c>
      <c r="B1851" s="152">
        <v>2021</v>
      </c>
      <c r="C1851" s="152">
        <v>1</v>
      </c>
      <c r="D1851" s="33" t="str">
        <f t="shared" si="547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48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49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5"/>
        <v>1</v>
      </c>
      <c r="Z1851" s="18">
        <f t="shared" si="541"/>
        <v>9000000</v>
      </c>
      <c r="AA1851" s="13">
        <v>7.17E-2</v>
      </c>
      <c r="AB1851" s="21">
        <f t="shared" si="550"/>
        <v>645300</v>
      </c>
      <c r="AC1851" s="130">
        <f t="shared" si="551"/>
        <v>77436</v>
      </c>
      <c r="AD1851" s="169">
        <v>0.12</v>
      </c>
      <c r="AE1851" s="154">
        <f t="shared" si="552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42"/>
        <v>477651199.57437885</v>
      </c>
      <c r="AJ1851" s="19">
        <f t="shared" si="543"/>
        <v>56918800.518691957</v>
      </c>
      <c r="AK1851" s="20">
        <f t="shared" si="553"/>
        <v>0.11916394341605475</v>
      </c>
      <c r="AL1851" s="17"/>
      <c r="AM1851" s="17"/>
      <c r="AN1851" s="17"/>
      <c r="AO1851" s="17"/>
      <c r="AP1851" s="28" t="str">
        <f t="shared" si="554"/>
        <v>CancelCancel</v>
      </c>
      <c r="AQ1851" s="28" t="str">
        <f t="shared" si="555"/>
        <v>CancelCancelJPY</v>
      </c>
      <c r="AR1851" s="206" t="str">
        <f t="shared" si="556"/>
        <v>YAMAHA_Mounter</v>
      </c>
      <c r="AS1851" s="22" t="str">
        <f t="shared" si="557"/>
        <v/>
      </c>
      <c r="AT1851" s="24" t="str">
        <f t="shared" si="558"/>
        <v/>
      </c>
    </row>
    <row r="1852" spans="1:46" s="12" customFormat="1">
      <c r="A1852" s="33" t="str">
        <f t="shared" si="546"/>
        <v>cancel</v>
      </c>
      <c r="B1852" s="152"/>
      <c r="C1852" s="152" t="s">
        <v>186</v>
      </c>
      <c r="D1852" s="33" t="str">
        <f t="shared" si="547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48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49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ref="Z1852:Z1915" si="559">IF(X1852="","",X1852*MAX(O1852,N1852))</f>
        <v>16150000</v>
      </c>
      <c r="AA1852" s="13">
        <v>7.2999999999999995E-2</v>
      </c>
      <c r="AB1852" s="21">
        <f t="shared" si="550"/>
        <v>1178950</v>
      </c>
      <c r="AC1852" s="130">
        <f t="shared" si="551"/>
        <v>141474</v>
      </c>
      <c r="AD1852" s="169">
        <v>0.12</v>
      </c>
      <c r="AE1852" s="154">
        <f t="shared" si="552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42"/>
        <v>477651199.57437885</v>
      </c>
      <c r="AJ1852" s="19">
        <f t="shared" si="543"/>
        <v>56918800.518691957</v>
      </c>
      <c r="AK1852" s="20">
        <f t="shared" si="553"/>
        <v>0.11916394341605475</v>
      </c>
      <c r="AL1852" s="17"/>
      <c r="AM1852" s="17"/>
      <c r="AN1852" s="17"/>
      <c r="AO1852" s="17"/>
      <c r="AP1852" s="28" t="str">
        <f t="shared" si="554"/>
        <v>CancelCancel</v>
      </c>
      <c r="AQ1852" s="28" t="str">
        <f t="shared" si="555"/>
        <v>CancelCancelJPY</v>
      </c>
      <c r="AR1852" s="206" t="str">
        <f t="shared" si="556"/>
        <v>YAMAHA_Mounter</v>
      </c>
      <c r="AS1852" s="22" t="str">
        <f t="shared" si="557"/>
        <v/>
      </c>
      <c r="AT1852" s="24" t="str">
        <f t="shared" si="558"/>
        <v/>
      </c>
    </row>
    <row r="1853" spans="1:46" s="12" customFormat="1">
      <c r="A1853" s="33" t="str">
        <f t="shared" si="546"/>
        <v>cancel</v>
      </c>
      <c r="B1853" s="152"/>
      <c r="C1853" s="152" t="s">
        <v>186</v>
      </c>
      <c r="D1853" s="33" t="str">
        <f t="shared" si="547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48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49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59"/>
        <v>16150000</v>
      </c>
      <c r="AA1853" s="13">
        <v>7.2999999999999995E-2</v>
      </c>
      <c r="AB1853" s="21">
        <f t="shared" si="550"/>
        <v>1178950</v>
      </c>
      <c r="AC1853" s="130">
        <f t="shared" si="551"/>
        <v>141474</v>
      </c>
      <c r="AD1853" s="169">
        <v>0.12</v>
      </c>
      <c r="AE1853" s="154">
        <f t="shared" si="552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42"/>
        <v>477651199.57437885</v>
      </c>
      <c r="AJ1853" s="19">
        <f t="shared" si="543"/>
        <v>56918800.518691957</v>
      </c>
      <c r="AK1853" s="20">
        <f t="shared" si="553"/>
        <v>0.11916394341605475</v>
      </c>
      <c r="AL1853" s="17"/>
      <c r="AM1853" s="17"/>
      <c r="AN1853" s="17"/>
      <c r="AO1853" s="17"/>
      <c r="AP1853" s="28" t="str">
        <f t="shared" si="554"/>
        <v>CancelCancel</v>
      </c>
      <c r="AQ1853" s="28" t="str">
        <f t="shared" si="555"/>
        <v>CancelCancelJPY</v>
      </c>
      <c r="AR1853" s="206" t="str">
        <f t="shared" si="556"/>
        <v>YAMAHA_Mounter</v>
      </c>
      <c r="AS1853" s="22" t="str">
        <f t="shared" si="557"/>
        <v/>
      </c>
      <c r="AT1853" s="24" t="str">
        <f t="shared" si="558"/>
        <v/>
      </c>
    </row>
    <row r="1854" spans="1:46" s="12" customFormat="1">
      <c r="A1854" s="33" t="str">
        <f t="shared" si="546"/>
        <v>FY 24/25</v>
      </c>
      <c r="B1854" s="23">
        <v>2024</v>
      </c>
      <c r="C1854" s="152">
        <v>4</v>
      </c>
      <c r="D1854" s="33" t="str">
        <f t="shared" si="547"/>
        <v>Q1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7</v>
      </c>
      <c r="H1854" s="29"/>
      <c r="I1854" s="33" t="str">
        <f t="shared" si="548"/>
        <v>Q2</v>
      </c>
      <c r="J1854" s="188" t="s">
        <v>3413</v>
      </c>
      <c r="K1854" s="29" t="s">
        <v>1831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49"/>
        <v>MAIN UNIT</v>
      </c>
      <c r="Q1854" s="13" t="s">
        <v>62</v>
      </c>
      <c r="R1854" s="22" t="s">
        <v>63</v>
      </c>
      <c r="S1854" s="22" t="s">
        <v>51</v>
      </c>
      <c r="T1854" s="22" t="s">
        <v>94</v>
      </c>
      <c r="U1854" s="22" t="s">
        <v>71</v>
      </c>
      <c r="V1854" s="22" t="s">
        <v>103</v>
      </c>
      <c r="W1854" s="22" t="s">
        <v>65</v>
      </c>
      <c r="X1854" s="30">
        <v>800000</v>
      </c>
      <c r="Y1854" s="31" t="str">
        <f>IF(W1854="","",IF(W1854="RMB","1.13", "1"))</f>
        <v>1.13</v>
      </c>
      <c r="Z1854" s="18">
        <f t="shared" si="559"/>
        <v>800000</v>
      </c>
      <c r="AA1854" s="22">
        <v>1.075</v>
      </c>
      <c r="AB1854" s="21">
        <f t="shared" si="550"/>
        <v>761061.94690265495</v>
      </c>
      <c r="AC1854" s="25">
        <f t="shared" si="551"/>
        <v>188591.1504424779</v>
      </c>
      <c r="AD1854" s="169">
        <v>0.24779999999999999</v>
      </c>
      <c r="AE1854" s="26">
        <f t="shared" si="552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42"/>
        <v>25458266.694690265</v>
      </c>
      <c r="AJ1854" s="27">
        <f t="shared" si="543"/>
        <v>4116526.778578762</v>
      </c>
      <c r="AK1854" s="28">
        <f t="shared" si="553"/>
        <v>0.16169705612508689</v>
      </c>
      <c r="AL1854" s="24"/>
      <c r="AM1854" s="24"/>
      <c r="AN1854" s="24"/>
      <c r="AO1854" s="24"/>
      <c r="AP1854" s="28" t="str">
        <f t="shared" si="554"/>
        <v>20247</v>
      </c>
      <c r="AQ1854" s="28" t="str">
        <f t="shared" si="555"/>
        <v>20247RMB</v>
      </c>
      <c r="AR1854" s="206" t="str">
        <f t="shared" si="556"/>
        <v>YAMAHA_Mounter</v>
      </c>
      <c r="AS1854" s="22">
        <f t="shared" si="557"/>
        <v>3</v>
      </c>
      <c r="AT1854" s="24" t="str">
        <f t="shared" si="558"/>
        <v>0-3 months</v>
      </c>
    </row>
    <row r="1855" spans="1:46" s="12" customFormat="1">
      <c r="A1855" s="33" t="str">
        <f t="shared" si="546"/>
        <v>FY 24/25</v>
      </c>
      <c r="B1855" s="23">
        <v>2024</v>
      </c>
      <c r="C1855" s="152">
        <v>4</v>
      </c>
      <c r="D1855" s="33" t="str">
        <f t="shared" si="547"/>
        <v>Q1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7</v>
      </c>
      <c r="H1855" s="29"/>
      <c r="I1855" s="33" t="str">
        <f t="shared" si="548"/>
        <v>Q2</v>
      </c>
      <c r="J1855" s="188" t="s">
        <v>3413</v>
      </c>
      <c r="K1855" s="29" t="s">
        <v>1831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49"/>
        <v>MAIN UNIT</v>
      </c>
      <c r="Q1855" s="13" t="s">
        <v>62</v>
      </c>
      <c r="R1855" s="22" t="s">
        <v>63</v>
      </c>
      <c r="S1855" s="22" t="s">
        <v>51</v>
      </c>
      <c r="T1855" s="22" t="s">
        <v>94</v>
      </c>
      <c r="U1855" s="22" t="s">
        <v>71</v>
      </c>
      <c r="V1855" s="22" t="s">
        <v>103</v>
      </c>
      <c r="W1855" s="22" t="s">
        <v>65</v>
      </c>
      <c r="X1855" s="30">
        <v>800000</v>
      </c>
      <c r="Y1855" s="31" t="str">
        <f>IF(W1855="","",IF(W1855="RMB","1.13", "1"))</f>
        <v>1.13</v>
      </c>
      <c r="Z1855" s="18">
        <f t="shared" si="559"/>
        <v>800000</v>
      </c>
      <c r="AA1855" s="22">
        <v>1.075</v>
      </c>
      <c r="AB1855" s="21">
        <f t="shared" si="550"/>
        <v>761061.94690265495</v>
      </c>
      <c r="AC1855" s="25">
        <f t="shared" si="551"/>
        <v>188591.1504424779</v>
      </c>
      <c r="AD1855" s="169">
        <v>0.24779999999999999</v>
      </c>
      <c r="AE1855" s="26">
        <f t="shared" si="552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42"/>
        <v>25458266.694690265</v>
      </c>
      <c r="AJ1855" s="27">
        <f t="shared" si="543"/>
        <v>4116526.778578762</v>
      </c>
      <c r="AK1855" s="28">
        <f t="shared" si="553"/>
        <v>0.16169705612508689</v>
      </c>
      <c r="AL1855" s="24"/>
      <c r="AM1855" s="24"/>
      <c r="AN1855" s="24"/>
      <c r="AO1855" s="24"/>
      <c r="AP1855" s="28" t="str">
        <f t="shared" si="554"/>
        <v>20247</v>
      </c>
      <c r="AQ1855" s="28" t="str">
        <f t="shared" si="555"/>
        <v>20247RMB</v>
      </c>
      <c r="AR1855" s="206" t="str">
        <f t="shared" si="556"/>
        <v>YAMAHA_Mounter</v>
      </c>
      <c r="AS1855" s="22">
        <f t="shared" si="557"/>
        <v>3</v>
      </c>
      <c r="AT1855" s="24" t="str">
        <f t="shared" si="558"/>
        <v>0-3 months</v>
      </c>
    </row>
    <row r="1856" spans="1:46" s="12" customFormat="1">
      <c r="A1856" s="33" t="str">
        <f t="shared" si="546"/>
        <v>FY 24/25</v>
      </c>
      <c r="B1856" s="23">
        <v>2024</v>
      </c>
      <c r="C1856" s="152">
        <v>4</v>
      </c>
      <c r="D1856" s="33" t="str">
        <f t="shared" si="547"/>
        <v>Q1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48"/>
        <v>Q1</v>
      </c>
      <c r="J1856" s="188" t="s">
        <v>3414</v>
      </c>
      <c r="K1856" s="29" t="s">
        <v>1449</v>
      </c>
      <c r="L1856" s="17" t="s">
        <v>68</v>
      </c>
      <c r="M1856" s="22" t="s">
        <v>61</v>
      </c>
      <c r="N1856" s="22">
        <v>1</v>
      </c>
      <c r="O1856" s="22"/>
      <c r="P1856" s="33" t="str">
        <f t="shared" si="549"/>
        <v>MAIN UNIT</v>
      </c>
      <c r="Q1856" s="13" t="s">
        <v>62</v>
      </c>
      <c r="R1856" s="22" t="s">
        <v>63</v>
      </c>
      <c r="S1856" s="22" t="s">
        <v>51</v>
      </c>
      <c r="T1856" s="22" t="s">
        <v>2375</v>
      </c>
      <c r="U1856" s="22" t="s">
        <v>71</v>
      </c>
      <c r="V1856" s="22" t="s">
        <v>2124</v>
      </c>
      <c r="W1856" s="22" t="s">
        <v>110</v>
      </c>
      <c r="X1856" s="30">
        <v>6891220</v>
      </c>
      <c r="Y1856" s="31" t="str">
        <f>IF(W1856="","",IF(W1856="RMB","1.13", "1"))</f>
        <v>1</v>
      </c>
      <c r="Z1856" s="18">
        <f t="shared" si="559"/>
        <v>6891220</v>
      </c>
      <c r="AA1856" s="22">
        <v>5.0999999999999997E-2</v>
      </c>
      <c r="AB1856" s="21">
        <f t="shared" si="550"/>
        <v>351452.22</v>
      </c>
      <c r="AC1856" s="25">
        <f t="shared" si="551"/>
        <v>30295.181363999996</v>
      </c>
      <c r="AD1856" s="170">
        <v>8.6199999999999999E-2</v>
      </c>
      <c r="AE1856" s="26">
        <f t="shared" si="552"/>
        <v>0</v>
      </c>
      <c r="AF1856" s="26" t="str">
        <f>IF(AND(COUNTIFS($J$18:J1856,J1856)=1,AE1856=1),1,"")</f>
        <v/>
      </c>
      <c r="AG1856" s="26">
        <f>IF(C1856="","",IF(AND(COUNTIFS($J$18:J1856,J1856)=1,C1856&lt;&gt;""),1,""))</f>
        <v>1</v>
      </c>
      <c r="AH1856" s="26">
        <f>IF(G1856="","",IF(AND(COUNTIFS($J$18:J1856,J1856)=1,G1856&lt;&gt;""),1,""))</f>
        <v>1</v>
      </c>
      <c r="AI1856" s="27">
        <f t="shared" si="542"/>
        <v>27308925.887079656</v>
      </c>
      <c r="AJ1856" s="27">
        <f t="shared" si="543"/>
        <v>3319273.860338124</v>
      </c>
      <c r="AK1856" s="28">
        <f t="shared" si="553"/>
        <v>0.12154538314919709</v>
      </c>
      <c r="AL1856" s="24"/>
      <c r="AM1856" s="24"/>
      <c r="AN1856" s="24"/>
      <c r="AO1856" s="24"/>
      <c r="AP1856" s="28" t="str">
        <f t="shared" si="554"/>
        <v>20246</v>
      </c>
      <c r="AQ1856" s="28" t="str">
        <f t="shared" si="555"/>
        <v>20246JPY</v>
      </c>
      <c r="AR1856" s="206" t="str">
        <f t="shared" si="556"/>
        <v>YAMAHA_Mounter</v>
      </c>
      <c r="AS1856" s="22">
        <f t="shared" si="557"/>
        <v>2</v>
      </c>
      <c r="AT1856" s="24" t="str">
        <f t="shared" si="558"/>
        <v>0-3 months</v>
      </c>
    </row>
    <row r="1857" spans="1:46" s="12" customFormat="1">
      <c r="A1857" s="33" t="str">
        <f t="shared" si="546"/>
        <v>FY 24/25</v>
      </c>
      <c r="B1857" s="23">
        <v>2024</v>
      </c>
      <c r="C1857" s="152">
        <v>4</v>
      </c>
      <c r="D1857" s="33" t="str">
        <f t="shared" si="547"/>
        <v>Q1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48"/>
        <v>Q1</v>
      </c>
      <c r="J1857" s="188" t="s">
        <v>3414</v>
      </c>
      <c r="K1857" s="29" t="s">
        <v>1449</v>
      </c>
      <c r="L1857" s="17" t="s">
        <v>68</v>
      </c>
      <c r="M1857" s="22" t="s">
        <v>61</v>
      </c>
      <c r="N1857" s="22">
        <v>1</v>
      </c>
      <c r="O1857" s="22"/>
      <c r="P1857" s="33" t="str">
        <f t="shared" si="549"/>
        <v>MAIN UNIT</v>
      </c>
      <c r="Q1857" s="13" t="s">
        <v>62</v>
      </c>
      <c r="R1857" s="22" t="s">
        <v>63</v>
      </c>
      <c r="S1857" s="22" t="s">
        <v>51</v>
      </c>
      <c r="T1857" s="22" t="s">
        <v>2375</v>
      </c>
      <c r="U1857" s="22" t="s">
        <v>71</v>
      </c>
      <c r="V1857" s="22" t="s">
        <v>2124</v>
      </c>
      <c r="W1857" s="22" t="s">
        <v>110</v>
      </c>
      <c r="X1857" s="30">
        <v>6891220</v>
      </c>
      <c r="Y1857" s="31" t="str">
        <f>IF(W1857="","",IF(W1857="RMB","1.13", "1"))</f>
        <v>1</v>
      </c>
      <c r="Z1857" s="18">
        <f t="shared" si="559"/>
        <v>6891220</v>
      </c>
      <c r="AA1857" s="22">
        <v>5.0999999999999997E-2</v>
      </c>
      <c r="AB1857" s="21">
        <f t="shared" si="550"/>
        <v>351452.22</v>
      </c>
      <c r="AC1857" s="25">
        <f t="shared" si="551"/>
        <v>30295.181363999996</v>
      </c>
      <c r="AD1857" s="170">
        <v>8.6199999999999999E-2</v>
      </c>
      <c r="AE1857" s="26">
        <f t="shared" si="552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42"/>
        <v>27308925.887079656</v>
      </c>
      <c r="AJ1857" s="27">
        <f t="shared" si="543"/>
        <v>3319273.860338124</v>
      </c>
      <c r="AK1857" s="28">
        <f t="shared" si="553"/>
        <v>0.12154538314919709</v>
      </c>
      <c r="AL1857" s="24"/>
      <c r="AM1857" s="24"/>
      <c r="AN1857" s="24"/>
      <c r="AO1857" s="24"/>
      <c r="AP1857" s="28" t="str">
        <f t="shared" si="554"/>
        <v>20246</v>
      </c>
      <c r="AQ1857" s="28" t="str">
        <f t="shared" si="555"/>
        <v>20246JPY</v>
      </c>
      <c r="AR1857" s="206" t="str">
        <f t="shared" si="556"/>
        <v>YAMAHA_Mounter</v>
      </c>
      <c r="AS1857" s="22">
        <f t="shared" si="557"/>
        <v>2</v>
      </c>
      <c r="AT1857" s="24" t="str">
        <f t="shared" si="558"/>
        <v>0-3 months</v>
      </c>
    </row>
    <row r="1858" spans="1:46" s="12" customFormat="1">
      <c r="A1858" s="33" t="str">
        <f t="shared" si="546"/>
        <v>FY 24/25</v>
      </c>
      <c r="B1858" s="23">
        <v>2024</v>
      </c>
      <c r="C1858" s="152">
        <v>4</v>
      </c>
      <c r="D1858" s="33" t="str">
        <f t="shared" si="547"/>
        <v>Q1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48"/>
        <v>Q1</v>
      </c>
      <c r="J1858" s="188" t="s">
        <v>3414</v>
      </c>
      <c r="K1858" s="29" t="s">
        <v>1449</v>
      </c>
      <c r="L1858" s="17" t="s">
        <v>68</v>
      </c>
      <c r="M1858" s="22" t="s">
        <v>61</v>
      </c>
      <c r="N1858" s="22">
        <v>1</v>
      </c>
      <c r="O1858" s="22"/>
      <c r="P1858" s="33" t="str">
        <f t="shared" si="549"/>
        <v>MAIN UNIT</v>
      </c>
      <c r="Q1858" s="13" t="s">
        <v>62</v>
      </c>
      <c r="R1858" s="22" t="s">
        <v>63</v>
      </c>
      <c r="S1858" s="22" t="s">
        <v>51</v>
      </c>
      <c r="T1858" s="22" t="s">
        <v>2375</v>
      </c>
      <c r="U1858" s="22" t="s">
        <v>71</v>
      </c>
      <c r="V1858" s="22" t="s">
        <v>2124</v>
      </c>
      <c r="W1858" s="22" t="s">
        <v>110</v>
      </c>
      <c r="X1858" s="30">
        <v>6891220</v>
      </c>
      <c r="Y1858" s="31" t="str">
        <f>IF(W1858="","",IF(W1858="RMB","1.13", "1"))</f>
        <v>1</v>
      </c>
      <c r="Z1858" s="18">
        <f t="shared" si="559"/>
        <v>6891220</v>
      </c>
      <c r="AA1858" s="22">
        <v>5.0999999999999997E-2</v>
      </c>
      <c r="AB1858" s="21">
        <f t="shared" si="550"/>
        <v>351452.22</v>
      </c>
      <c r="AC1858" s="25">
        <f t="shared" si="551"/>
        <v>30295.181363999996</v>
      </c>
      <c r="AD1858" s="170">
        <v>8.6199999999999999E-2</v>
      </c>
      <c r="AE1858" s="26">
        <f t="shared" si="552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60">IF(P1858="C66 SERVICE","",SUMIFS(AB:AB,F:F,F1858,G:G,G1858,E:E,E1858))</f>
        <v>27308925.887079656</v>
      </c>
      <c r="AJ1858" s="27">
        <f t="shared" ref="AJ1858:AJ1921" si="561">IF(P1858="C66 SERVICE","",SUMIFS(AC:AC,F:F,F1858,G:G,G1858,E:E,E1858))</f>
        <v>3319273.860338124</v>
      </c>
      <c r="AK1858" s="28">
        <f t="shared" si="553"/>
        <v>0.12154538314919709</v>
      </c>
      <c r="AL1858" s="24"/>
      <c r="AM1858" s="24"/>
      <c r="AN1858" s="24"/>
      <c r="AO1858" s="24"/>
      <c r="AP1858" s="28" t="str">
        <f t="shared" si="554"/>
        <v>20246</v>
      </c>
      <c r="AQ1858" s="28" t="str">
        <f t="shared" si="555"/>
        <v>20246JPY</v>
      </c>
      <c r="AR1858" s="206" t="str">
        <f t="shared" si="556"/>
        <v>YAMAHA_Mounter</v>
      </c>
      <c r="AS1858" s="22">
        <f t="shared" si="557"/>
        <v>2</v>
      </c>
      <c r="AT1858" s="24" t="str">
        <f t="shared" si="558"/>
        <v>0-3 months</v>
      </c>
    </row>
    <row r="1859" spans="1:46" s="12" customFormat="1">
      <c r="A1859" s="33" t="str">
        <f t="shared" si="546"/>
        <v>FY 21/22</v>
      </c>
      <c r="B1859" s="152">
        <v>2022</v>
      </c>
      <c r="C1859" s="152">
        <v>3</v>
      </c>
      <c r="D1859" s="33" t="str">
        <f t="shared" si="547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48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49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59"/>
        <v>13200000</v>
      </c>
      <c r="AA1859" s="13">
        <v>6.9199999999999998E-2</v>
      </c>
      <c r="AB1859" s="21">
        <f t="shared" si="550"/>
        <v>913440</v>
      </c>
      <c r="AC1859" s="130">
        <f t="shared" si="551"/>
        <v>78738.528000000006</v>
      </c>
      <c r="AD1859" s="170">
        <v>8.6199999999999999E-2</v>
      </c>
      <c r="AE1859" s="154">
        <f t="shared" si="552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60"/>
        <v>28726768.133805312</v>
      </c>
      <c r="AJ1859" s="19">
        <f t="shared" si="561"/>
        <v>3853638.1988864429</v>
      </c>
      <c r="AK1859" s="20">
        <f t="shared" si="553"/>
        <v>0.1341479898099476</v>
      </c>
      <c r="AL1859" s="17"/>
      <c r="AM1859" s="17"/>
      <c r="AN1859" s="17"/>
      <c r="AO1859" s="17"/>
      <c r="AP1859" s="28" t="str">
        <f t="shared" si="554"/>
        <v>20223</v>
      </c>
      <c r="AQ1859" s="28" t="str">
        <f t="shared" si="555"/>
        <v>20223JPY</v>
      </c>
      <c r="AR1859" s="206" t="str">
        <f t="shared" si="556"/>
        <v>YAMAHA_Mounter</v>
      </c>
      <c r="AS1859" s="22">
        <f t="shared" si="557"/>
        <v>0</v>
      </c>
      <c r="AT1859" s="24" t="str">
        <f t="shared" si="558"/>
        <v>0-3 months</v>
      </c>
    </row>
    <row r="1860" spans="1:46" s="12" customFormat="1">
      <c r="A1860" s="33" t="str">
        <f t="shared" si="546"/>
        <v>FY 23/24</v>
      </c>
      <c r="B1860" s="23">
        <v>2024</v>
      </c>
      <c r="C1860" s="152">
        <v>3</v>
      </c>
      <c r="D1860" s="33" t="str">
        <f t="shared" si="547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4</v>
      </c>
      <c r="H1860" s="29"/>
      <c r="I1860" s="33" t="str">
        <f t="shared" si="548"/>
        <v>Q1</v>
      </c>
      <c r="J1860" s="188" t="s">
        <v>3321</v>
      </c>
      <c r="K1860" s="29" t="s">
        <v>3322</v>
      </c>
      <c r="L1860" s="17" t="s">
        <v>68</v>
      </c>
      <c r="M1860" s="13" t="s">
        <v>61</v>
      </c>
      <c r="N1860" s="22">
        <v>1</v>
      </c>
      <c r="O1860" s="22"/>
      <c r="P1860" s="33" t="str">
        <f t="shared" si="549"/>
        <v>MAIN UNIT</v>
      </c>
      <c r="Q1860" s="13" t="s">
        <v>69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3135</v>
      </c>
      <c r="W1860" s="22" t="s">
        <v>65</v>
      </c>
      <c r="X1860" s="30">
        <v>439000</v>
      </c>
      <c r="Y1860" s="31" t="str">
        <f>IF(W1860="","",IF(W1860="RMB","1.13", "1"))</f>
        <v>1.13</v>
      </c>
      <c r="Z1860" s="18">
        <f t="shared" si="559"/>
        <v>439000</v>
      </c>
      <c r="AA1860" s="22">
        <v>1.083</v>
      </c>
      <c r="AB1860" s="21">
        <f t="shared" si="550"/>
        <v>420740.70796460175</v>
      </c>
      <c r="AC1860" s="25">
        <f t="shared" si="551"/>
        <v>35258.071327433623</v>
      </c>
      <c r="AD1860" s="169">
        <v>8.3799999999999999E-2</v>
      </c>
      <c r="AE1860" s="26">
        <f t="shared" si="552"/>
        <v>1</v>
      </c>
      <c r="AF1860" s="26">
        <f>IF(AND(COUNTIFS($J$18:J1860,J1860)=1,AE1860=1),1,"")</f>
        <v>1</v>
      </c>
      <c r="AG1860" s="26">
        <f>IF(C1860="","",IF(AND(COUNTIFS($J$18:J1860,J1860)=1,C1860&lt;&gt;""),1,""))</f>
        <v>1</v>
      </c>
      <c r="AH1860" s="26">
        <f>IF(G1860="","",IF(AND(COUNTIFS($J$18:J1860,J1860)=1,G1860&lt;&gt;""),1,""))</f>
        <v>1</v>
      </c>
      <c r="AI1860" s="27">
        <f t="shared" si="560"/>
        <v>20319282.700884953</v>
      </c>
      <c r="AJ1860" s="27">
        <f t="shared" si="561"/>
        <v>2408851.9638623013</v>
      </c>
      <c r="AK1860" s="28">
        <f t="shared" si="553"/>
        <v>0.11855004919821259</v>
      </c>
      <c r="AL1860" s="24"/>
      <c r="AM1860" s="24"/>
      <c r="AN1860" s="24"/>
      <c r="AO1860" s="24"/>
      <c r="AP1860" s="28" t="str">
        <f t="shared" si="554"/>
        <v>20244</v>
      </c>
      <c r="AQ1860" s="28" t="str">
        <f t="shared" si="555"/>
        <v>20244RMB</v>
      </c>
      <c r="AR1860" s="206" t="str">
        <f t="shared" si="556"/>
        <v>YAMAHA_Mounter</v>
      </c>
      <c r="AS1860" s="22">
        <f t="shared" si="557"/>
        <v>1</v>
      </c>
      <c r="AT1860" s="24" t="str">
        <f t="shared" si="558"/>
        <v>0-3 months</v>
      </c>
    </row>
    <row r="1861" spans="1:46" s="12" customFormat="1" ht="28">
      <c r="A1861" s="33" t="str">
        <f t="shared" si="546"/>
        <v>FY 22/23</v>
      </c>
      <c r="B1861" s="152">
        <v>2023</v>
      </c>
      <c r="C1861" s="152">
        <v>3</v>
      </c>
      <c r="D1861" s="33" t="str">
        <f t="shared" si="547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48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49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59"/>
        <v>378973.826</v>
      </c>
      <c r="AA1861" s="13">
        <v>1.1399999999999999</v>
      </c>
      <c r="AB1861" s="21">
        <f t="shared" si="550"/>
        <v>382327.57667256636</v>
      </c>
      <c r="AC1861" s="130">
        <f t="shared" si="551"/>
        <v>34524.180173532746</v>
      </c>
      <c r="AD1861" s="169">
        <v>9.0300000000000005E-2</v>
      </c>
      <c r="AE1861" s="154">
        <f t="shared" si="552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60"/>
        <v>30573205.452778768</v>
      </c>
      <c r="AJ1861" s="19">
        <f t="shared" si="561"/>
        <v>3790930.1683151261</v>
      </c>
      <c r="AK1861" s="20">
        <f t="shared" si="553"/>
        <v>0.12399518179964254</v>
      </c>
      <c r="AL1861" s="17"/>
      <c r="AM1861" s="17"/>
      <c r="AN1861" s="17"/>
      <c r="AO1861" s="17"/>
      <c r="AP1861" s="28" t="str">
        <f t="shared" si="554"/>
        <v>20234</v>
      </c>
      <c r="AQ1861" s="28" t="str">
        <f t="shared" si="555"/>
        <v>20234RMB</v>
      </c>
      <c r="AR1861" s="206" t="str">
        <f t="shared" si="556"/>
        <v>YAMAHA_Mounter</v>
      </c>
      <c r="AS1861" s="22">
        <f t="shared" si="557"/>
        <v>1</v>
      </c>
      <c r="AT1861" s="24" t="str">
        <f t="shared" si="558"/>
        <v>0-3 months</v>
      </c>
    </row>
    <row r="1862" spans="1:46" s="12" customFormat="1" ht="28">
      <c r="A1862" s="33" t="str">
        <f t="shared" si="546"/>
        <v>FY 22/23</v>
      </c>
      <c r="B1862" s="152">
        <v>2023</v>
      </c>
      <c r="C1862" s="152">
        <v>3</v>
      </c>
      <c r="D1862" s="33" t="str">
        <f t="shared" si="547"/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si="548"/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si="549"/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59"/>
        <v>377481</v>
      </c>
      <c r="AA1862" s="13">
        <v>1.135</v>
      </c>
      <c r="AB1862" s="21">
        <f t="shared" si="550"/>
        <v>379151.26991150441</v>
      </c>
      <c r="AC1862" s="130">
        <f t="shared" si="551"/>
        <v>34237.359673008847</v>
      </c>
      <c r="AD1862" s="169">
        <v>9.0300000000000005E-2</v>
      </c>
      <c r="AE1862" s="154">
        <f t="shared" si="552"/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60"/>
        <v>28177779.013274338</v>
      </c>
      <c r="AJ1862" s="19">
        <f t="shared" si="561"/>
        <v>4727216.6376190251</v>
      </c>
      <c r="AK1862" s="20">
        <f t="shared" si="553"/>
        <v>0.1677639900359808</v>
      </c>
      <c r="AL1862" s="17"/>
      <c r="AM1862" s="17"/>
      <c r="AN1862" s="17"/>
      <c r="AO1862" s="17"/>
      <c r="AP1862" s="28" t="str">
        <f t="shared" si="554"/>
        <v>20235</v>
      </c>
      <c r="AQ1862" s="28" t="str">
        <f t="shared" si="555"/>
        <v>20235RMB</v>
      </c>
      <c r="AR1862" s="206" t="str">
        <f t="shared" si="556"/>
        <v>YAMAHA_Mounter</v>
      </c>
      <c r="AS1862" s="22">
        <f t="shared" si="557"/>
        <v>2</v>
      </c>
      <c r="AT1862" s="24" t="str">
        <f t="shared" si="558"/>
        <v>0-3 months</v>
      </c>
    </row>
    <row r="1863" spans="1:46" s="12" customFormat="1" ht="28">
      <c r="A1863" s="33" t="str">
        <f t="shared" si="546"/>
        <v>FY 22/23</v>
      </c>
      <c r="B1863" s="152">
        <v>2023</v>
      </c>
      <c r="C1863" s="152">
        <v>3</v>
      </c>
      <c r="D1863" s="33" t="str">
        <f t="shared" si="547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48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49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59"/>
        <v>244545.14</v>
      </c>
      <c r="AA1863" s="13">
        <v>1.105</v>
      </c>
      <c r="AB1863" s="21">
        <f t="shared" si="550"/>
        <v>239134.84929203545</v>
      </c>
      <c r="AC1863" s="130">
        <f t="shared" si="551"/>
        <v>21593.876891070802</v>
      </c>
      <c r="AD1863" s="169">
        <v>9.0300000000000005E-2</v>
      </c>
      <c r="AE1863" s="154">
        <f t="shared" si="552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60"/>
        <v>13640480.497522123</v>
      </c>
      <c r="AJ1863" s="19">
        <f t="shared" si="561"/>
        <v>1928605.8020906283</v>
      </c>
      <c r="AK1863" s="20">
        <f t="shared" si="553"/>
        <v>0.1413884065477731</v>
      </c>
      <c r="AL1863" s="17"/>
      <c r="AM1863" s="17"/>
      <c r="AN1863" s="17"/>
      <c r="AO1863" s="17"/>
      <c r="AP1863" s="28" t="str">
        <f t="shared" si="554"/>
        <v>20236</v>
      </c>
      <c r="AQ1863" s="28" t="str">
        <f t="shared" si="555"/>
        <v>20236RMB</v>
      </c>
      <c r="AR1863" s="206" t="str">
        <f t="shared" si="556"/>
        <v>YAMAHA_Mounter</v>
      </c>
      <c r="AS1863" s="22">
        <f t="shared" si="557"/>
        <v>3</v>
      </c>
      <c r="AT1863" s="24" t="str">
        <f t="shared" si="558"/>
        <v>0-3 months</v>
      </c>
    </row>
    <row r="1864" spans="1:46" s="12" customFormat="1">
      <c r="A1864" s="33" t="str">
        <f t="shared" si="546"/>
        <v>FY 18/19</v>
      </c>
      <c r="B1864" s="152">
        <v>2018</v>
      </c>
      <c r="C1864" s="152">
        <v>10</v>
      </c>
      <c r="D1864" s="33" t="str">
        <f t="shared" si="547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48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49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59"/>
        <v>380000</v>
      </c>
      <c r="AA1864" s="13">
        <v>1.125</v>
      </c>
      <c r="AB1864" s="21">
        <f t="shared" si="550"/>
        <v>368534.48275862075</v>
      </c>
      <c r="AC1864" s="130">
        <f t="shared" si="551"/>
        <v>44224.137931034486</v>
      </c>
      <c r="AD1864" s="169">
        <v>0.12</v>
      </c>
      <c r="AE1864" s="154">
        <f t="shared" si="552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60"/>
        <v>23237072.69172414</v>
      </c>
      <c r="AJ1864" s="19">
        <f t="shared" si="561"/>
        <v>2402195.7372206897</v>
      </c>
      <c r="AK1864" s="20">
        <f t="shared" si="553"/>
        <v>0.10337772614862238</v>
      </c>
      <c r="AL1864" s="17"/>
      <c r="AM1864" s="17"/>
      <c r="AN1864" s="17"/>
      <c r="AO1864" s="17"/>
      <c r="AP1864" s="28" t="str">
        <f t="shared" si="554"/>
        <v>20191</v>
      </c>
      <c r="AQ1864" s="28" t="str">
        <f t="shared" si="555"/>
        <v>20191RMB</v>
      </c>
      <c r="AR1864" s="206" t="str">
        <f t="shared" si="556"/>
        <v>PEMTRON</v>
      </c>
      <c r="AS1864" s="22">
        <f t="shared" si="557"/>
        <v>3</v>
      </c>
      <c r="AT1864" s="24" t="str">
        <f t="shared" si="558"/>
        <v>0-3 months</v>
      </c>
    </row>
    <row r="1865" spans="1:46" s="12" customFormat="1">
      <c r="A1865" s="33" t="str">
        <f t="shared" si="546"/>
        <v>FY 18/19</v>
      </c>
      <c r="B1865" s="152">
        <v>2018</v>
      </c>
      <c r="C1865" s="152">
        <v>8</v>
      </c>
      <c r="D1865" s="33" t="str">
        <f t="shared" si="547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48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49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59"/>
        <v>1180000</v>
      </c>
      <c r="AA1865" s="13">
        <v>1.125</v>
      </c>
      <c r="AB1865" s="21">
        <f t="shared" si="550"/>
        <v>1144396.551724138</v>
      </c>
      <c r="AC1865" s="130">
        <f t="shared" si="551"/>
        <v>91666.163793103464</v>
      </c>
      <c r="AD1865" s="169">
        <v>8.0100000000000005E-2</v>
      </c>
      <c r="AE1865" s="154">
        <f t="shared" si="552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60"/>
        <v>29840797.698275864</v>
      </c>
      <c r="AJ1865" s="19">
        <f t="shared" si="561"/>
        <v>3940167.6555448272</v>
      </c>
      <c r="AK1865" s="20">
        <f t="shared" si="553"/>
        <v>0.13203962224416277</v>
      </c>
      <c r="AL1865" s="17"/>
      <c r="AM1865" s="17"/>
      <c r="AN1865" s="17"/>
      <c r="AO1865" s="17" t="s">
        <v>62</v>
      </c>
      <c r="AP1865" s="28" t="str">
        <f t="shared" si="554"/>
        <v>201812</v>
      </c>
      <c r="AQ1865" s="28" t="str">
        <f t="shared" si="555"/>
        <v>201812RMB</v>
      </c>
      <c r="AR1865" s="206" t="str">
        <f t="shared" si="556"/>
        <v>YAMAHA_Mounter</v>
      </c>
      <c r="AS1865" s="22">
        <f t="shared" si="557"/>
        <v>4</v>
      </c>
      <c r="AT1865" s="24" t="str">
        <f t="shared" si="558"/>
        <v>4-6 months</v>
      </c>
    </row>
    <row r="1866" spans="1:46" s="12" customFormat="1">
      <c r="A1866" s="33" t="str">
        <f t="shared" si="546"/>
        <v>FY 18/19</v>
      </c>
      <c r="B1866" s="152">
        <v>2018</v>
      </c>
      <c r="C1866" s="152">
        <v>8</v>
      </c>
      <c r="D1866" s="33" t="str">
        <f t="shared" si="547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48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49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si="559"/>
        <v>1360000</v>
      </c>
      <c r="AA1866" s="13">
        <v>1.125</v>
      </c>
      <c r="AB1866" s="21">
        <f t="shared" si="550"/>
        <v>1318965.5172413795</v>
      </c>
      <c r="AC1866" s="130">
        <f t="shared" si="551"/>
        <v>105649.13793103451</v>
      </c>
      <c r="AD1866" s="169">
        <v>8.0100000000000005E-2</v>
      </c>
      <c r="AE1866" s="154">
        <f t="shared" si="552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60"/>
        <v>29840797.698275864</v>
      </c>
      <c r="AJ1866" s="19">
        <f t="shared" si="561"/>
        <v>3940167.6555448272</v>
      </c>
      <c r="AK1866" s="20">
        <f t="shared" si="553"/>
        <v>0.13203962224416277</v>
      </c>
      <c r="AL1866" s="17"/>
      <c r="AM1866" s="17"/>
      <c r="AN1866" s="17"/>
      <c r="AO1866" s="17" t="s">
        <v>62</v>
      </c>
      <c r="AP1866" s="28" t="str">
        <f t="shared" si="554"/>
        <v>201812</v>
      </c>
      <c r="AQ1866" s="28" t="str">
        <f t="shared" si="555"/>
        <v>201812RMB</v>
      </c>
      <c r="AR1866" s="206" t="str">
        <f t="shared" si="556"/>
        <v>YAMAHA_Mounter</v>
      </c>
      <c r="AS1866" s="22">
        <f t="shared" si="557"/>
        <v>4</v>
      </c>
      <c r="AT1866" s="24" t="str">
        <f t="shared" si="558"/>
        <v>4-6 months</v>
      </c>
    </row>
    <row r="1867" spans="1:46" s="12" customFormat="1">
      <c r="A1867" s="33" t="str">
        <f t="shared" si="546"/>
        <v>FY 20/21</v>
      </c>
      <c r="B1867" s="152">
        <v>2020</v>
      </c>
      <c r="C1867" s="152">
        <v>10</v>
      </c>
      <c r="D1867" s="33" t="str">
        <f t="shared" si="547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48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49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59"/>
        <v>1376000</v>
      </c>
      <c r="AA1867" s="13">
        <v>1.175</v>
      </c>
      <c r="AB1867" s="21">
        <f t="shared" si="550"/>
        <v>1430796.4601769913</v>
      </c>
      <c r="AC1867" s="130">
        <f t="shared" si="551"/>
        <v>191583.64601769912</v>
      </c>
      <c r="AD1867" s="169">
        <v>0.13389999999999999</v>
      </c>
      <c r="AE1867" s="154">
        <f t="shared" si="552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60"/>
        <v>48763143.537654862</v>
      </c>
      <c r="AJ1867" s="19">
        <f t="shared" si="561"/>
        <v>5924029.9702154724</v>
      </c>
      <c r="AK1867" s="20">
        <f t="shared" si="553"/>
        <v>0.1214858095774925</v>
      </c>
      <c r="AL1867" s="17"/>
      <c r="AM1867" s="17"/>
      <c r="AN1867" s="17"/>
      <c r="AO1867" s="17"/>
      <c r="AP1867" s="28" t="str">
        <f t="shared" si="554"/>
        <v>202012</v>
      </c>
      <c r="AQ1867" s="28" t="str">
        <f t="shared" si="555"/>
        <v>202012RMB</v>
      </c>
      <c r="AR1867" s="206" t="str">
        <f t="shared" si="556"/>
        <v>YAMAHA_Mounter</v>
      </c>
      <c r="AS1867" s="22">
        <f t="shared" si="557"/>
        <v>2</v>
      </c>
      <c r="AT1867" s="24" t="str">
        <f t="shared" si="558"/>
        <v>0-3 months</v>
      </c>
    </row>
    <row r="1868" spans="1:46" s="12" customFormat="1">
      <c r="A1868" s="33" t="str">
        <f t="shared" si="546"/>
        <v>FY 20/21</v>
      </c>
      <c r="B1868" s="152">
        <v>2020</v>
      </c>
      <c r="C1868" s="152">
        <v>10</v>
      </c>
      <c r="D1868" s="33" t="str">
        <f t="shared" si="547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48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49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59"/>
        <v>1376000</v>
      </c>
      <c r="AA1868" s="13">
        <v>1.175</v>
      </c>
      <c r="AB1868" s="21">
        <f t="shared" si="550"/>
        <v>1430796.4601769913</v>
      </c>
      <c r="AC1868" s="130">
        <f t="shared" si="551"/>
        <v>191583.64601769912</v>
      </c>
      <c r="AD1868" s="169">
        <v>0.13389999999999999</v>
      </c>
      <c r="AE1868" s="154">
        <f t="shared" si="552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60"/>
        <v>48763143.537654862</v>
      </c>
      <c r="AJ1868" s="19">
        <f t="shared" si="561"/>
        <v>5924029.9702154724</v>
      </c>
      <c r="AK1868" s="20">
        <f t="shared" si="553"/>
        <v>0.1214858095774925</v>
      </c>
      <c r="AL1868" s="17"/>
      <c r="AM1868" s="17"/>
      <c r="AN1868" s="17"/>
      <c r="AO1868" s="17"/>
      <c r="AP1868" s="28" t="str">
        <f t="shared" si="554"/>
        <v>202012</v>
      </c>
      <c r="AQ1868" s="28" t="str">
        <f t="shared" si="555"/>
        <v>202012RMB</v>
      </c>
      <c r="AR1868" s="206" t="str">
        <f t="shared" si="556"/>
        <v>YAMAHA_Mounter</v>
      </c>
      <c r="AS1868" s="22">
        <f t="shared" si="557"/>
        <v>2</v>
      </c>
      <c r="AT1868" s="24" t="str">
        <f t="shared" si="558"/>
        <v>0-3 months</v>
      </c>
    </row>
    <row r="1869" spans="1:46" s="12" customFormat="1">
      <c r="A1869" s="33" t="str">
        <f t="shared" si="546"/>
        <v>FY 20/21</v>
      </c>
      <c r="B1869" s="152">
        <v>2020</v>
      </c>
      <c r="C1869" s="152">
        <v>11</v>
      </c>
      <c r="D1869" s="33" t="str">
        <f t="shared" si="547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48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49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59"/>
        <v>348000</v>
      </c>
      <c r="AA1869" s="13">
        <v>1.175</v>
      </c>
      <c r="AB1869" s="21">
        <f t="shared" si="550"/>
        <v>361858.40707964607</v>
      </c>
      <c r="AC1869" s="130">
        <f t="shared" si="551"/>
        <v>59670.451327433635</v>
      </c>
      <c r="AD1869" s="169">
        <v>0.16489999999999999</v>
      </c>
      <c r="AE1869" s="154">
        <f t="shared" si="552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60"/>
        <v>48763143.537654862</v>
      </c>
      <c r="AJ1869" s="19">
        <f t="shared" si="561"/>
        <v>5924029.9702154724</v>
      </c>
      <c r="AK1869" s="20">
        <f t="shared" si="553"/>
        <v>0.1214858095774925</v>
      </c>
      <c r="AL1869" s="17"/>
      <c r="AM1869" s="17"/>
      <c r="AN1869" s="17"/>
      <c r="AO1869" s="17"/>
      <c r="AP1869" s="28" t="str">
        <f t="shared" si="554"/>
        <v>202012</v>
      </c>
      <c r="AQ1869" s="28" t="str">
        <f t="shared" si="555"/>
        <v>202012RMB</v>
      </c>
      <c r="AR1869" s="206" t="str">
        <f t="shared" si="556"/>
        <v>PEMTRON</v>
      </c>
      <c r="AS1869" s="22">
        <f t="shared" si="557"/>
        <v>1</v>
      </c>
      <c r="AT1869" s="24" t="str">
        <f t="shared" si="558"/>
        <v>0-3 months</v>
      </c>
    </row>
    <row r="1870" spans="1:46" s="12" customFormat="1">
      <c r="A1870" s="33" t="str">
        <f t="shared" si="546"/>
        <v>FY 20/21</v>
      </c>
      <c r="B1870" s="152">
        <v>2020</v>
      </c>
      <c r="C1870" s="152">
        <v>11</v>
      </c>
      <c r="D1870" s="33" t="str">
        <f t="shared" si="547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48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49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59"/>
        <v>428000</v>
      </c>
      <c r="AA1870" s="13">
        <v>1.175</v>
      </c>
      <c r="AB1870" s="21">
        <f t="shared" si="550"/>
        <v>445044.24778761069</v>
      </c>
      <c r="AC1870" s="130">
        <f t="shared" si="551"/>
        <v>104540.89380530975</v>
      </c>
      <c r="AD1870" s="169">
        <v>0.2349</v>
      </c>
      <c r="AE1870" s="154">
        <f t="shared" si="552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60"/>
        <v>48763143.537654862</v>
      </c>
      <c r="AJ1870" s="19">
        <f t="shared" si="561"/>
        <v>5924029.9702154724</v>
      </c>
      <c r="AK1870" s="20">
        <f t="shared" si="553"/>
        <v>0.1214858095774925</v>
      </c>
      <c r="AL1870" s="17"/>
      <c r="AM1870" s="17"/>
      <c r="AN1870" s="17"/>
      <c r="AO1870" s="17"/>
      <c r="AP1870" s="28" t="str">
        <f t="shared" si="554"/>
        <v>202012</v>
      </c>
      <c r="AQ1870" s="28" t="str">
        <f t="shared" si="555"/>
        <v>202012RMB</v>
      </c>
      <c r="AR1870" s="206" t="str">
        <f t="shared" si="556"/>
        <v>YAMAHA_Non_Mounter</v>
      </c>
      <c r="AS1870" s="22">
        <f t="shared" si="557"/>
        <v>1</v>
      </c>
      <c r="AT1870" s="24" t="str">
        <f t="shared" si="558"/>
        <v>0-3 months</v>
      </c>
    </row>
    <row r="1871" spans="1:46" s="12" customFormat="1">
      <c r="A1871" s="33" t="str">
        <f t="shared" si="546"/>
        <v>FY 22/23</v>
      </c>
      <c r="B1871" s="152">
        <v>2022</v>
      </c>
      <c r="C1871" s="152">
        <v>9</v>
      </c>
      <c r="D1871" s="33" t="str">
        <f t="shared" si="547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48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49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59"/>
        <v>928000</v>
      </c>
      <c r="AA1871" s="13">
        <v>1.08</v>
      </c>
      <c r="AB1871" s="21">
        <f t="shared" si="550"/>
        <v>886938.05309734528</v>
      </c>
      <c r="AC1871" s="130">
        <f t="shared" si="551"/>
        <v>83372.176991150453</v>
      </c>
      <c r="AD1871" s="169">
        <v>9.4E-2</v>
      </c>
      <c r="AE1871" s="154">
        <f t="shared" si="552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60"/>
        <v>31017966.201968137</v>
      </c>
      <c r="AJ1871" s="19">
        <f t="shared" si="561"/>
        <v>4704250.3347305888</v>
      </c>
      <c r="AK1871" s="20">
        <f t="shared" si="553"/>
        <v>0.15166211427595458</v>
      </c>
      <c r="AL1871" s="17"/>
      <c r="AM1871" s="17"/>
      <c r="AN1871" s="17"/>
      <c r="AO1871" s="17"/>
      <c r="AP1871" s="28" t="str">
        <f t="shared" si="554"/>
        <v>202211</v>
      </c>
      <c r="AQ1871" s="28" t="str">
        <f t="shared" si="555"/>
        <v>202211RMB</v>
      </c>
      <c r="AR1871" s="206" t="str">
        <f t="shared" si="556"/>
        <v>PEMTRON</v>
      </c>
      <c r="AS1871" s="22">
        <f t="shared" si="557"/>
        <v>2</v>
      </c>
      <c r="AT1871" s="24" t="str">
        <f t="shared" si="558"/>
        <v>0-3 months</v>
      </c>
    </row>
    <row r="1872" spans="1:46" s="12" customFormat="1">
      <c r="A1872" s="33" t="str">
        <f t="shared" si="546"/>
        <v>FY 20/21</v>
      </c>
      <c r="B1872" s="152">
        <v>2020</v>
      </c>
      <c r="C1872" s="152">
        <v>12</v>
      </c>
      <c r="D1872" s="33" t="str">
        <f t="shared" si="547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48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49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59"/>
        <v>580000</v>
      </c>
      <c r="AA1872" s="13">
        <v>1.1850000000000001</v>
      </c>
      <c r="AB1872" s="21">
        <f t="shared" si="550"/>
        <v>608230.08849557524</v>
      </c>
      <c r="AC1872" s="130">
        <f t="shared" si="551"/>
        <v>74325.716814159299</v>
      </c>
      <c r="AD1872" s="169">
        <v>0.1222</v>
      </c>
      <c r="AE1872" s="154">
        <f t="shared" si="552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60"/>
        <v>45803245.025628321</v>
      </c>
      <c r="AJ1872" s="19">
        <f t="shared" si="561"/>
        <v>5664636.2584379362</v>
      </c>
      <c r="AK1872" s="20">
        <f t="shared" si="553"/>
        <v>0.12367325186825515</v>
      </c>
      <c r="AL1872" s="17"/>
      <c r="AM1872" s="17"/>
      <c r="AN1872" s="17"/>
      <c r="AO1872" s="17"/>
      <c r="AP1872" s="28" t="str">
        <f t="shared" si="554"/>
        <v>20211</v>
      </c>
      <c r="AQ1872" s="28" t="str">
        <f t="shared" si="555"/>
        <v>20211RMB</v>
      </c>
      <c r="AR1872" s="206" t="str">
        <f t="shared" si="556"/>
        <v>YAMAHA_Mounter</v>
      </c>
      <c r="AS1872" s="22">
        <f t="shared" si="557"/>
        <v>1</v>
      </c>
      <c r="AT1872" s="24" t="str">
        <f t="shared" si="558"/>
        <v>0-3 months</v>
      </c>
    </row>
    <row r="1873" spans="1:46" s="12" customFormat="1">
      <c r="A1873" s="33" t="str">
        <f t="shared" si="546"/>
        <v>FY 22/23</v>
      </c>
      <c r="B1873" s="152">
        <v>2022</v>
      </c>
      <c r="C1873" s="152">
        <v>6</v>
      </c>
      <c r="D1873" s="33" t="str">
        <f t="shared" si="547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48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49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59"/>
        <v>500000</v>
      </c>
      <c r="AA1873" s="13">
        <v>1.17</v>
      </c>
      <c r="AB1873" s="21">
        <f t="shared" si="550"/>
        <v>517699.11504424782</v>
      </c>
      <c r="AC1873" s="130">
        <f t="shared" si="551"/>
        <v>75687.610619469036</v>
      </c>
      <c r="AD1873" s="169">
        <v>0.1462</v>
      </c>
      <c r="AE1873" s="154">
        <f t="shared" si="552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60"/>
        <v>36480247.665929198</v>
      </c>
      <c r="AJ1873" s="19">
        <f t="shared" si="561"/>
        <v>5330996.6372757526</v>
      </c>
      <c r="AK1873" s="20">
        <f t="shared" si="553"/>
        <v>0.14613378412599562</v>
      </c>
      <c r="AL1873" s="17"/>
      <c r="AM1873" s="17"/>
      <c r="AN1873" s="17"/>
      <c r="AO1873" s="17"/>
      <c r="AP1873" s="28" t="str">
        <f t="shared" si="554"/>
        <v>20227</v>
      </c>
      <c r="AQ1873" s="28" t="str">
        <f t="shared" si="555"/>
        <v>20227RMB</v>
      </c>
      <c r="AR1873" s="206" t="str">
        <f t="shared" si="556"/>
        <v>YAMAHA_Mounter</v>
      </c>
      <c r="AS1873" s="22">
        <f t="shared" si="557"/>
        <v>1</v>
      </c>
      <c r="AT1873" s="24" t="str">
        <f t="shared" si="558"/>
        <v>0-3 months</v>
      </c>
    </row>
    <row r="1874" spans="1:46" s="12" customFormat="1">
      <c r="A1874" s="33" t="str">
        <f t="shared" si="546"/>
        <v>FY 19/20</v>
      </c>
      <c r="B1874" s="152">
        <v>2019</v>
      </c>
      <c r="C1874" s="152">
        <v>10</v>
      </c>
      <c r="D1874" s="33" t="str">
        <f t="shared" si="547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48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49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59"/>
        <v>550000</v>
      </c>
      <c r="AA1874" s="13">
        <v>1.095</v>
      </c>
      <c r="AB1874" s="21">
        <f t="shared" si="550"/>
        <v>532964.60176991147</v>
      </c>
      <c r="AC1874" s="130">
        <f t="shared" si="551"/>
        <v>54149.203539823</v>
      </c>
      <c r="AD1874" s="169">
        <v>0.1016</v>
      </c>
      <c r="AE1874" s="154">
        <f t="shared" si="552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60"/>
        <v>28647263.974455759</v>
      </c>
      <c r="AJ1874" s="19">
        <f t="shared" si="561"/>
        <v>3219855.6912513468</v>
      </c>
      <c r="AK1874" s="20">
        <f t="shared" si="553"/>
        <v>0.11239662168514358</v>
      </c>
      <c r="AL1874" s="17"/>
      <c r="AM1874" s="17"/>
      <c r="AN1874" s="17"/>
      <c r="AO1874" s="17"/>
      <c r="AP1874" s="28" t="str">
        <f t="shared" si="554"/>
        <v>201910</v>
      </c>
      <c r="AQ1874" s="28" t="str">
        <f t="shared" si="555"/>
        <v>201910RMB</v>
      </c>
      <c r="AR1874" s="206" t="str">
        <f t="shared" si="556"/>
        <v>YAMAHA_Mounter</v>
      </c>
      <c r="AS1874" s="22">
        <f t="shared" si="557"/>
        <v>0</v>
      </c>
      <c r="AT1874" s="24" t="str">
        <f t="shared" si="558"/>
        <v>0-3 months</v>
      </c>
    </row>
    <row r="1875" spans="1:46" s="12" customFormat="1">
      <c r="A1875" s="33" t="str">
        <f t="shared" si="546"/>
        <v>FY 23/24</v>
      </c>
      <c r="B1875" s="152">
        <v>2023</v>
      </c>
      <c r="C1875" s="152">
        <v>10</v>
      </c>
      <c r="D1875" s="33" t="str">
        <f t="shared" si="547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48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49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59"/>
        <v>525000</v>
      </c>
      <c r="AA1875" s="13">
        <v>1.07</v>
      </c>
      <c r="AB1875" s="21">
        <f t="shared" si="550"/>
        <v>497123.89380530978</v>
      </c>
      <c r="AC1875" s="130">
        <f t="shared" si="551"/>
        <v>51253.473451327438</v>
      </c>
      <c r="AD1875" s="169">
        <v>0.1031</v>
      </c>
      <c r="AE1875" s="154">
        <f t="shared" si="552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60"/>
        <v>11730565.00042478</v>
      </c>
      <c r="AJ1875" s="19">
        <f t="shared" si="561"/>
        <v>1439625.5685810833</v>
      </c>
      <c r="AK1875" s="20">
        <f t="shared" si="553"/>
        <v>0.12272431622253084</v>
      </c>
      <c r="AL1875" s="17"/>
      <c r="AM1875" s="17"/>
      <c r="AN1875" s="17"/>
      <c r="AO1875" s="17"/>
      <c r="AP1875" s="28" t="str">
        <f t="shared" si="554"/>
        <v>202311</v>
      </c>
      <c r="AQ1875" s="28" t="str">
        <f t="shared" si="555"/>
        <v>202311RMB</v>
      </c>
      <c r="AR1875" s="206" t="str">
        <f t="shared" si="556"/>
        <v>YAMAHA_Mounter</v>
      </c>
      <c r="AS1875" s="22">
        <f t="shared" si="557"/>
        <v>1</v>
      </c>
      <c r="AT1875" s="24" t="str">
        <f t="shared" si="558"/>
        <v>0-3 months</v>
      </c>
    </row>
    <row r="1876" spans="1:46" s="12" customFormat="1">
      <c r="A1876" s="33" t="str">
        <f t="shared" si="546"/>
        <v>FY 23/24</v>
      </c>
      <c r="B1876" s="152">
        <v>2023</v>
      </c>
      <c r="C1876" s="152">
        <v>10</v>
      </c>
      <c r="D1876" s="33" t="str">
        <f t="shared" si="547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48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49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59"/>
        <v>525000</v>
      </c>
      <c r="AA1876" s="13">
        <v>1.07</v>
      </c>
      <c r="AB1876" s="21">
        <f t="shared" si="550"/>
        <v>497123.89380530978</v>
      </c>
      <c r="AC1876" s="130">
        <f t="shared" si="551"/>
        <v>51253.473451327438</v>
      </c>
      <c r="AD1876" s="169">
        <v>0.1031</v>
      </c>
      <c r="AE1876" s="154">
        <f t="shared" si="552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60"/>
        <v>11730565.00042478</v>
      </c>
      <c r="AJ1876" s="19">
        <f t="shared" si="561"/>
        <v>1439625.5685810833</v>
      </c>
      <c r="AK1876" s="20">
        <f t="shared" si="553"/>
        <v>0.12272431622253084</v>
      </c>
      <c r="AL1876" s="17"/>
      <c r="AM1876" s="17"/>
      <c r="AN1876" s="17"/>
      <c r="AO1876" s="17"/>
      <c r="AP1876" s="28" t="str">
        <f t="shared" si="554"/>
        <v>202311</v>
      </c>
      <c r="AQ1876" s="28" t="str">
        <f t="shared" si="555"/>
        <v>202311RMB</v>
      </c>
      <c r="AR1876" s="206" t="str">
        <f t="shared" si="556"/>
        <v>YAMAHA_Mounter</v>
      </c>
      <c r="AS1876" s="22">
        <f t="shared" si="557"/>
        <v>1</v>
      </c>
      <c r="AT1876" s="24" t="str">
        <f t="shared" si="558"/>
        <v>0-3 months</v>
      </c>
    </row>
    <row r="1877" spans="1:46" s="12" customFormat="1">
      <c r="A1877" s="33" t="str">
        <f t="shared" si="546"/>
        <v>FY 20/21</v>
      </c>
      <c r="B1877" s="152">
        <v>2021</v>
      </c>
      <c r="C1877" s="152">
        <v>1</v>
      </c>
      <c r="D1877" s="33" t="str">
        <f t="shared" si="547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48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49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59"/>
        <v>475000</v>
      </c>
      <c r="AA1877" s="13">
        <v>1.18</v>
      </c>
      <c r="AB1877" s="21">
        <f t="shared" si="550"/>
        <v>496017.69911504432</v>
      </c>
      <c r="AC1877" s="130">
        <f t="shared" si="551"/>
        <v>72021.769911504438</v>
      </c>
      <c r="AD1877" s="169">
        <v>0.1452</v>
      </c>
      <c r="AE1877" s="154">
        <f t="shared" si="552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60"/>
        <v>43684091.636631854</v>
      </c>
      <c r="AJ1877" s="19">
        <f t="shared" si="561"/>
        <v>6483951.8242071122</v>
      </c>
      <c r="AK1877" s="20">
        <f t="shared" si="553"/>
        <v>0.14842821680123736</v>
      </c>
      <c r="AL1877" s="17"/>
      <c r="AM1877" s="17"/>
      <c r="AN1877" s="17"/>
      <c r="AO1877" s="17"/>
      <c r="AP1877" s="28" t="str">
        <f t="shared" si="554"/>
        <v>20214</v>
      </c>
      <c r="AQ1877" s="28" t="str">
        <f t="shared" si="555"/>
        <v>20214RMB</v>
      </c>
      <c r="AR1877" s="206" t="str">
        <f t="shared" si="556"/>
        <v>YAMAHA_Mounter</v>
      </c>
      <c r="AS1877" s="22">
        <f t="shared" si="557"/>
        <v>3</v>
      </c>
      <c r="AT1877" s="24" t="str">
        <f t="shared" si="558"/>
        <v>0-3 months</v>
      </c>
    </row>
    <row r="1878" spans="1:46" s="12" customFormat="1">
      <c r="A1878" s="33" t="str">
        <f t="shared" si="546"/>
        <v>FY 21/22</v>
      </c>
      <c r="B1878" s="152">
        <v>2021</v>
      </c>
      <c r="C1878" s="152">
        <v>10</v>
      </c>
      <c r="D1878" s="33" t="str">
        <f t="shared" si="547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48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49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59"/>
        <v>1110000</v>
      </c>
      <c r="AA1878" s="13">
        <v>1.21</v>
      </c>
      <c r="AB1878" s="21">
        <f t="shared" si="550"/>
        <v>1188584.0707964601</v>
      </c>
      <c r="AC1878" s="130">
        <f t="shared" si="551"/>
        <v>205981.61946902654</v>
      </c>
      <c r="AD1878" s="169">
        <v>0.17330000000000001</v>
      </c>
      <c r="AE1878" s="154">
        <f t="shared" si="552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60"/>
        <v>29500529.005044252</v>
      </c>
      <c r="AJ1878" s="19">
        <f t="shared" si="561"/>
        <v>3253064.846231177</v>
      </c>
      <c r="AK1878" s="20">
        <f t="shared" si="553"/>
        <v>0.11027140718984871</v>
      </c>
      <c r="AL1878" s="17"/>
      <c r="AM1878" s="17"/>
      <c r="AN1878" s="17"/>
      <c r="AO1878" s="17"/>
      <c r="AP1878" s="28" t="str">
        <f t="shared" si="554"/>
        <v>202111</v>
      </c>
      <c r="AQ1878" s="28" t="str">
        <f t="shared" si="555"/>
        <v>202111RMB</v>
      </c>
      <c r="AR1878" s="206" t="str">
        <f t="shared" si="556"/>
        <v>YAMAHA_Mounter</v>
      </c>
      <c r="AS1878" s="22">
        <f t="shared" si="557"/>
        <v>1</v>
      </c>
      <c r="AT1878" s="24" t="str">
        <f t="shared" si="558"/>
        <v>0-3 months</v>
      </c>
    </row>
    <row r="1879" spans="1:46" s="12" customFormat="1">
      <c r="A1879" s="33" t="str">
        <f t="shared" si="546"/>
        <v>FY 21/22</v>
      </c>
      <c r="B1879" s="152">
        <v>2021</v>
      </c>
      <c r="C1879" s="152">
        <v>10</v>
      </c>
      <c r="D1879" s="33" t="str">
        <f t="shared" si="547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48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49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59"/>
        <v>1110000</v>
      </c>
      <c r="AA1879" s="13">
        <v>1.21</v>
      </c>
      <c r="AB1879" s="21">
        <f t="shared" si="550"/>
        <v>1188584.0707964601</v>
      </c>
      <c r="AC1879" s="130">
        <f t="shared" si="551"/>
        <v>205981.61946902654</v>
      </c>
      <c r="AD1879" s="169">
        <v>0.17330000000000001</v>
      </c>
      <c r="AE1879" s="154">
        <f t="shared" si="552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60"/>
        <v>29500529.005044252</v>
      </c>
      <c r="AJ1879" s="19">
        <f t="shared" si="561"/>
        <v>3253064.846231177</v>
      </c>
      <c r="AK1879" s="20">
        <f t="shared" si="553"/>
        <v>0.11027140718984871</v>
      </c>
      <c r="AL1879" s="17"/>
      <c r="AM1879" s="17"/>
      <c r="AN1879" s="17"/>
      <c r="AO1879" s="17"/>
      <c r="AP1879" s="28" t="str">
        <f t="shared" si="554"/>
        <v>202111</v>
      </c>
      <c r="AQ1879" s="28" t="str">
        <f t="shared" si="555"/>
        <v>202111RMB</v>
      </c>
      <c r="AR1879" s="206" t="str">
        <f t="shared" si="556"/>
        <v>YAMAHA_Mounter</v>
      </c>
      <c r="AS1879" s="22">
        <f t="shared" si="557"/>
        <v>1</v>
      </c>
      <c r="AT1879" s="24" t="str">
        <f t="shared" si="558"/>
        <v>0-3 months</v>
      </c>
    </row>
    <row r="1880" spans="1:46" s="12" customFormat="1">
      <c r="A1880" s="33" t="str">
        <f t="shared" si="546"/>
        <v>FY 23/24</v>
      </c>
      <c r="B1880" s="23">
        <v>2024</v>
      </c>
      <c r="C1880" s="152">
        <v>3</v>
      </c>
      <c r="D1880" s="33" t="str">
        <f t="shared" si="547"/>
        <v>Q4</v>
      </c>
      <c r="E1880" s="33" t="str">
        <f t="shared" ref="E1880:E1885" si="562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4</v>
      </c>
      <c r="H1880" s="29"/>
      <c r="I1880" s="33" t="str">
        <f t="shared" si="548"/>
        <v>Q1</v>
      </c>
      <c r="J1880" s="188" t="s">
        <v>3370</v>
      </c>
      <c r="K1880" s="29" t="s">
        <v>1906</v>
      </c>
      <c r="L1880" s="17" t="s">
        <v>68</v>
      </c>
      <c r="M1880" s="22" t="s">
        <v>61</v>
      </c>
      <c r="N1880" s="22">
        <v>1</v>
      </c>
      <c r="O1880" s="22"/>
      <c r="P1880" s="33" t="str">
        <f t="shared" si="549"/>
        <v>MAIN UNIT</v>
      </c>
      <c r="Q1880" s="13" t="s">
        <v>62</v>
      </c>
      <c r="R1880" s="22" t="s">
        <v>63</v>
      </c>
      <c r="S1880" s="22" t="s">
        <v>53</v>
      </c>
      <c r="T1880" s="22" t="s">
        <v>177</v>
      </c>
      <c r="U1880" s="22" t="s">
        <v>178</v>
      </c>
      <c r="V1880" s="22" t="s">
        <v>179</v>
      </c>
      <c r="W1880" s="22" t="s">
        <v>65</v>
      </c>
      <c r="X1880" s="30">
        <v>590000</v>
      </c>
      <c r="Y1880" s="31" t="str">
        <f t="shared" ref="Y1880:Y1886" si="563">IF(W1880="","",IF(W1880="RMB","1.13", "1"))</f>
        <v>1.13</v>
      </c>
      <c r="Z1880" s="18">
        <f t="shared" si="559"/>
        <v>590000</v>
      </c>
      <c r="AA1880" s="22">
        <v>1.083</v>
      </c>
      <c r="AB1880" s="21">
        <f t="shared" si="550"/>
        <v>565460.17699115048</v>
      </c>
      <c r="AC1880" s="25">
        <f t="shared" si="551"/>
        <v>45519.544247787613</v>
      </c>
      <c r="AD1880" s="169">
        <v>8.0500000000000002E-2</v>
      </c>
      <c r="AE1880" s="26">
        <f t="shared" si="552"/>
        <v>0</v>
      </c>
      <c r="AF1880" s="26" t="str">
        <f>IF(AND(COUNTIFS($J$18:J1880,J1880)=1,AE1880=1),1,"")</f>
        <v/>
      </c>
      <c r="AG1880" s="26">
        <f>IF(C1880="","",IF(AND(COUNTIFS($J$18:J1880,J1880)=1,C1880&lt;&gt;""),1,""))</f>
        <v>1</v>
      </c>
      <c r="AH1880" s="26">
        <f>IF(G1880="","",IF(AND(COUNTIFS($J$18:J1880,J1880)=1,G1880&lt;&gt;""),1,""))</f>
        <v>1</v>
      </c>
      <c r="AI1880" s="27">
        <f t="shared" si="560"/>
        <v>20319282.700884953</v>
      </c>
      <c r="AJ1880" s="27">
        <f t="shared" si="561"/>
        <v>2408851.9638623013</v>
      </c>
      <c r="AK1880" s="28">
        <f t="shared" si="553"/>
        <v>0.11855004919821259</v>
      </c>
      <c r="AL1880" s="24"/>
      <c r="AM1880" s="24"/>
      <c r="AN1880" s="24"/>
      <c r="AO1880" s="24"/>
      <c r="AP1880" s="28" t="str">
        <f t="shared" si="554"/>
        <v>20244</v>
      </c>
      <c r="AQ1880" s="28" t="str">
        <f t="shared" si="555"/>
        <v>20244RMB</v>
      </c>
      <c r="AR1880" s="206" t="str">
        <f t="shared" si="556"/>
        <v>YAMAHA_Mounter</v>
      </c>
      <c r="AS1880" s="22">
        <f t="shared" si="557"/>
        <v>1</v>
      </c>
      <c r="AT1880" s="24" t="str">
        <f t="shared" si="558"/>
        <v>0-3 months</v>
      </c>
    </row>
    <row r="1881" spans="1:46" s="12" customFormat="1">
      <c r="A1881" s="33" t="str">
        <f t="shared" si="546"/>
        <v>FY 23/24</v>
      </c>
      <c r="B1881" s="23">
        <v>2024</v>
      </c>
      <c r="C1881" s="152">
        <v>3</v>
      </c>
      <c r="D1881" s="33" t="str">
        <f t="shared" si="547"/>
        <v>Q4</v>
      </c>
      <c r="E1881" s="33" t="str">
        <f t="shared" si="562"/>
        <v>FY 24/25</v>
      </c>
      <c r="F1881" s="23">
        <v>2024</v>
      </c>
      <c r="G1881" s="23">
        <v>4</v>
      </c>
      <c r="H1881" s="29"/>
      <c r="I1881" s="33" t="str">
        <f t="shared" si="548"/>
        <v>Q1</v>
      </c>
      <c r="J1881" s="188" t="s">
        <v>3370</v>
      </c>
      <c r="K1881" s="29" t="s">
        <v>1906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49"/>
        <v>MAIN UNIT</v>
      </c>
      <c r="Q1881" s="13" t="s">
        <v>62</v>
      </c>
      <c r="R1881" s="22" t="s">
        <v>63</v>
      </c>
      <c r="S1881" s="22" t="s">
        <v>53</v>
      </c>
      <c r="T1881" s="22" t="s">
        <v>177</v>
      </c>
      <c r="U1881" s="22" t="s">
        <v>178</v>
      </c>
      <c r="V1881" s="22" t="s">
        <v>179</v>
      </c>
      <c r="W1881" s="22" t="s">
        <v>65</v>
      </c>
      <c r="X1881" s="30">
        <v>750000</v>
      </c>
      <c r="Y1881" s="31" t="str">
        <f t="shared" si="563"/>
        <v>1.13</v>
      </c>
      <c r="Z1881" s="18">
        <f t="shared" si="559"/>
        <v>750000</v>
      </c>
      <c r="AA1881" s="22">
        <v>1.083</v>
      </c>
      <c r="AB1881" s="21">
        <f t="shared" si="550"/>
        <v>718805.3097345134</v>
      </c>
      <c r="AC1881" s="25">
        <f t="shared" si="551"/>
        <v>57863.827433628328</v>
      </c>
      <c r="AD1881" s="169">
        <v>8.0500000000000002E-2</v>
      </c>
      <c r="AE1881" s="26">
        <f t="shared" si="552"/>
        <v>0</v>
      </c>
      <c r="AF1881" s="26" t="str">
        <f>IF(AND(COUNTIFS($J$18:J1881,J1881)=1,AE1881=1),1,"")</f>
        <v/>
      </c>
      <c r="AG1881" s="26" t="str">
        <f>IF(C1881="","",IF(AND(COUNTIFS($J$18:J1881,J1881)=1,C1881&lt;&gt;""),1,""))</f>
        <v/>
      </c>
      <c r="AH1881" s="26" t="str">
        <f>IF(G1881="","",IF(AND(COUNTIFS($J$18:J1881,J1881)=1,G1881&lt;&gt;""),1,""))</f>
        <v/>
      </c>
      <c r="AI1881" s="27">
        <f t="shared" si="560"/>
        <v>20319282.700884953</v>
      </c>
      <c r="AJ1881" s="27">
        <f t="shared" si="561"/>
        <v>2408851.9638623013</v>
      </c>
      <c r="AK1881" s="28">
        <f t="shared" si="553"/>
        <v>0.11855004919821259</v>
      </c>
      <c r="AL1881" s="24"/>
      <c r="AM1881" s="24"/>
      <c r="AN1881" s="24"/>
      <c r="AO1881" s="24"/>
      <c r="AP1881" s="28" t="str">
        <f t="shared" si="554"/>
        <v>20244</v>
      </c>
      <c r="AQ1881" s="28" t="str">
        <f t="shared" si="555"/>
        <v>20244RMB</v>
      </c>
      <c r="AR1881" s="206" t="str">
        <f t="shared" si="556"/>
        <v>YAMAHA_Mounter</v>
      </c>
      <c r="AS1881" s="22">
        <f t="shared" si="557"/>
        <v>1</v>
      </c>
      <c r="AT1881" s="24" t="str">
        <f t="shared" si="558"/>
        <v>0-3 months</v>
      </c>
    </row>
    <row r="1882" spans="1:46" s="12" customFormat="1">
      <c r="A1882" s="33" t="str">
        <f t="shared" si="546"/>
        <v>FY 23/24</v>
      </c>
      <c r="B1882" s="23">
        <v>2024</v>
      </c>
      <c r="C1882" s="152">
        <v>3</v>
      </c>
      <c r="D1882" s="33" t="str">
        <f t="shared" si="547"/>
        <v>Q4</v>
      </c>
      <c r="E1882" s="33" t="str">
        <f t="shared" si="562"/>
        <v>FY 24/25</v>
      </c>
      <c r="F1882" s="23">
        <v>2024</v>
      </c>
      <c r="G1882" s="23">
        <v>4</v>
      </c>
      <c r="H1882" s="29"/>
      <c r="I1882" s="33" t="str">
        <f t="shared" si="548"/>
        <v>Q1</v>
      </c>
      <c r="J1882" s="188" t="s">
        <v>3370</v>
      </c>
      <c r="K1882" s="29" t="s">
        <v>1906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49"/>
        <v>MAIN UNIT</v>
      </c>
      <c r="Q1882" s="13" t="s">
        <v>62</v>
      </c>
      <c r="R1882" s="22" t="s">
        <v>63</v>
      </c>
      <c r="S1882" s="22" t="s">
        <v>53</v>
      </c>
      <c r="T1882" s="22" t="s">
        <v>177</v>
      </c>
      <c r="U1882" s="22" t="s">
        <v>178</v>
      </c>
      <c r="V1882" s="22" t="s">
        <v>179</v>
      </c>
      <c r="W1882" s="22" t="s">
        <v>65</v>
      </c>
      <c r="X1882" s="30">
        <v>750000</v>
      </c>
      <c r="Y1882" s="31" t="str">
        <f t="shared" si="563"/>
        <v>1.13</v>
      </c>
      <c r="Z1882" s="18">
        <f t="shared" si="559"/>
        <v>750000</v>
      </c>
      <c r="AA1882" s="22">
        <v>1.083</v>
      </c>
      <c r="AB1882" s="21">
        <f t="shared" si="550"/>
        <v>718805.3097345134</v>
      </c>
      <c r="AC1882" s="25">
        <f t="shared" si="551"/>
        <v>57863.827433628328</v>
      </c>
      <c r="AD1882" s="169">
        <v>8.0500000000000002E-2</v>
      </c>
      <c r="AE1882" s="26">
        <f t="shared" si="552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60"/>
        <v>20319282.700884953</v>
      </c>
      <c r="AJ1882" s="27">
        <f t="shared" si="561"/>
        <v>2408851.9638623013</v>
      </c>
      <c r="AK1882" s="28">
        <f t="shared" si="553"/>
        <v>0.11855004919821259</v>
      </c>
      <c r="AL1882" s="24"/>
      <c r="AM1882" s="24"/>
      <c r="AN1882" s="24"/>
      <c r="AO1882" s="24"/>
      <c r="AP1882" s="28" t="str">
        <f t="shared" si="554"/>
        <v>20244</v>
      </c>
      <c r="AQ1882" s="28" t="str">
        <f t="shared" si="555"/>
        <v>20244RMB</v>
      </c>
      <c r="AR1882" s="206" t="str">
        <f t="shared" si="556"/>
        <v>YAMAHA_Mounter</v>
      </c>
      <c r="AS1882" s="22">
        <f t="shared" si="557"/>
        <v>1</v>
      </c>
      <c r="AT1882" s="24" t="str">
        <f t="shared" si="558"/>
        <v>0-3 months</v>
      </c>
    </row>
    <row r="1883" spans="1:46" s="12" customFormat="1">
      <c r="A1883" s="33" t="str">
        <f t="shared" si="546"/>
        <v>FY 23/24</v>
      </c>
      <c r="B1883" s="23">
        <v>2024</v>
      </c>
      <c r="C1883" s="152">
        <v>3</v>
      </c>
      <c r="D1883" s="33" t="str">
        <f t="shared" si="547"/>
        <v>Q4</v>
      </c>
      <c r="E1883" s="33" t="str">
        <f t="shared" si="562"/>
        <v>FY 24/25</v>
      </c>
      <c r="F1883" s="23">
        <v>2024</v>
      </c>
      <c r="G1883" s="23">
        <v>4</v>
      </c>
      <c r="H1883" s="29"/>
      <c r="I1883" s="33" t="str">
        <f t="shared" si="548"/>
        <v>Q1</v>
      </c>
      <c r="J1883" s="188" t="s">
        <v>3370</v>
      </c>
      <c r="K1883" s="29" t="s">
        <v>1906</v>
      </c>
      <c r="L1883" s="17" t="s">
        <v>93</v>
      </c>
      <c r="M1883" s="22" t="s">
        <v>61</v>
      </c>
      <c r="N1883" s="22">
        <v>1</v>
      </c>
      <c r="O1883" s="22"/>
      <c r="P1883" s="33" t="str">
        <f t="shared" si="549"/>
        <v>MAIN UNIT</v>
      </c>
      <c r="Q1883" s="13" t="s">
        <v>62</v>
      </c>
      <c r="R1883" s="22" t="s">
        <v>63</v>
      </c>
      <c r="S1883" s="22" t="s">
        <v>53</v>
      </c>
      <c r="T1883" s="22" t="s">
        <v>177</v>
      </c>
      <c r="U1883" s="22" t="s">
        <v>178</v>
      </c>
      <c r="V1883" s="22" t="s">
        <v>179</v>
      </c>
      <c r="W1883" s="22" t="s">
        <v>65</v>
      </c>
      <c r="X1883" s="30">
        <v>750000</v>
      </c>
      <c r="Y1883" s="31" t="str">
        <f t="shared" si="563"/>
        <v>1.13</v>
      </c>
      <c r="Z1883" s="18">
        <f t="shared" si="559"/>
        <v>750000</v>
      </c>
      <c r="AA1883" s="22">
        <v>1.083</v>
      </c>
      <c r="AB1883" s="21">
        <f t="shared" si="550"/>
        <v>718805.3097345134</v>
      </c>
      <c r="AC1883" s="25">
        <f t="shared" si="551"/>
        <v>57863.827433628328</v>
      </c>
      <c r="AD1883" s="169">
        <v>8.0500000000000002E-2</v>
      </c>
      <c r="AE1883" s="26">
        <f t="shared" si="552"/>
        <v>0</v>
      </c>
      <c r="AF1883" s="26" t="str">
        <f>IF(AND(COUNTIFS($J$18:J1883,J1883)=1,AE1883=1),1,"")</f>
        <v/>
      </c>
      <c r="AG1883" s="26" t="str">
        <f>IF(C1883="","",IF(AND(COUNTIFS($J$18:J1883,J1883)=1,C1883&lt;&gt;""),1,""))</f>
        <v/>
      </c>
      <c r="AH1883" s="26" t="str">
        <f>IF(G1883="","",IF(AND(COUNTIFS($J$18:J1883,J1883)=1,G1883&lt;&gt;""),1,""))</f>
        <v/>
      </c>
      <c r="AI1883" s="27">
        <f t="shared" si="560"/>
        <v>20319282.700884953</v>
      </c>
      <c r="AJ1883" s="27">
        <f t="shared" si="561"/>
        <v>2408851.9638623013</v>
      </c>
      <c r="AK1883" s="28">
        <f t="shared" si="553"/>
        <v>0.11855004919821259</v>
      </c>
      <c r="AL1883" s="24"/>
      <c r="AM1883" s="24"/>
      <c r="AN1883" s="24"/>
      <c r="AO1883" s="24"/>
      <c r="AP1883" s="28" t="str">
        <f t="shared" si="554"/>
        <v>20244</v>
      </c>
      <c r="AQ1883" s="28" t="str">
        <f t="shared" si="555"/>
        <v>20244RMB</v>
      </c>
      <c r="AR1883" s="206" t="str">
        <f t="shared" si="556"/>
        <v>YAMAHA_Mounter</v>
      </c>
      <c r="AS1883" s="22">
        <f t="shared" si="557"/>
        <v>1</v>
      </c>
      <c r="AT1883" s="24" t="str">
        <f t="shared" si="558"/>
        <v>0-3 months</v>
      </c>
    </row>
    <row r="1884" spans="1:46" s="12" customFormat="1">
      <c r="A1884" s="33" t="str">
        <f t="shared" si="546"/>
        <v>FY 23/24</v>
      </c>
      <c r="B1884" s="23">
        <v>2024</v>
      </c>
      <c r="C1884" s="152">
        <v>3</v>
      </c>
      <c r="D1884" s="33" t="str">
        <f t="shared" si="547"/>
        <v>Q4</v>
      </c>
      <c r="E1884" s="33" t="str">
        <f t="shared" si="562"/>
        <v>FY 24/25</v>
      </c>
      <c r="F1884" s="23">
        <v>2024</v>
      </c>
      <c r="G1884" s="23">
        <v>4</v>
      </c>
      <c r="H1884" s="29"/>
      <c r="I1884" s="33" t="str">
        <f t="shared" si="548"/>
        <v>Q1</v>
      </c>
      <c r="J1884" s="188" t="s">
        <v>3370</v>
      </c>
      <c r="K1884" s="29" t="s">
        <v>1906</v>
      </c>
      <c r="L1884" s="17" t="s">
        <v>93</v>
      </c>
      <c r="M1884" s="22" t="s">
        <v>61</v>
      </c>
      <c r="N1884" s="22">
        <v>1</v>
      </c>
      <c r="O1884" s="22"/>
      <c r="P1884" s="33" t="str">
        <f t="shared" si="549"/>
        <v>MAIN UNIT</v>
      </c>
      <c r="Q1884" s="13" t="s">
        <v>62</v>
      </c>
      <c r="R1884" s="22" t="s">
        <v>63</v>
      </c>
      <c r="S1884" s="22" t="s">
        <v>53</v>
      </c>
      <c r="T1884" s="22" t="s">
        <v>177</v>
      </c>
      <c r="U1884" s="22" t="s">
        <v>178</v>
      </c>
      <c r="V1884" s="22" t="s">
        <v>179</v>
      </c>
      <c r="W1884" s="22" t="s">
        <v>65</v>
      </c>
      <c r="X1884" s="30">
        <v>750000</v>
      </c>
      <c r="Y1884" s="31" t="str">
        <f t="shared" si="563"/>
        <v>1.13</v>
      </c>
      <c r="Z1884" s="18">
        <f t="shared" si="559"/>
        <v>750000</v>
      </c>
      <c r="AA1884" s="22">
        <v>1.083</v>
      </c>
      <c r="AB1884" s="21">
        <f t="shared" si="550"/>
        <v>718805.3097345134</v>
      </c>
      <c r="AC1884" s="25">
        <f t="shared" si="551"/>
        <v>57863.827433628328</v>
      </c>
      <c r="AD1884" s="169">
        <v>8.0500000000000002E-2</v>
      </c>
      <c r="AE1884" s="26">
        <f t="shared" si="552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60"/>
        <v>20319282.700884953</v>
      </c>
      <c r="AJ1884" s="27">
        <f t="shared" si="561"/>
        <v>2408851.9638623013</v>
      </c>
      <c r="AK1884" s="28">
        <f t="shared" si="553"/>
        <v>0.11855004919821259</v>
      </c>
      <c r="AL1884" s="24"/>
      <c r="AM1884" s="24"/>
      <c r="AN1884" s="24"/>
      <c r="AO1884" s="24"/>
      <c r="AP1884" s="28" t="str">
        <f t="shared" si="554"/>
        <v>20244</v>
      </c>
      <c r="AQ1884" s="28" t="str">
        <f t="shared" si="555"/>
        <v>20244RMB</v>
      </c>
      <c r="AR1884" s="206" t="str">
        <f t="shared" si="556"/>
        <v>YAMAHA_Mounter</v>
      </c>
      <c r="AS1884" s="22">
        <f t="shared" si="557"/>
        <v>1</v>
      </c>
      <c r="AT1884" s="24" t="str">
        <f t="shared" si="558"/>
        <v>0-3 months</v>
      </c>
    </row>
    <row r="1885" spans="1:46" s="12" customFormat="1">
      <c r="A1885" s="33" t="str">
        <f t="shared" si="546"/>
        <v>FY 24/25</v>
      </c>
      <c r="B1885" s="23">
        <v>2024</v>
      </c>
      <c r="C1885" s="152">
        <v>4</v>
      </c>
      <c r="D1885" s="33" t="str">
        <f t="shared" si="547"/>
        <v>Q1</v>
      </c>
      <c r="E1885" s="33" t="str">
        <f t="shared" si="562"/>
        <v>FY 24/25</v>
      </c>
      <c r="F1885" s="23">
        <v>2024</v>
      </c>
      <c r="G1885" s="23">
        <v>6</v>
      </c>
      <c r="H1885" s="29"/>
      <c r="I1885" s="33" t="str">
        <f t="shared" si="548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49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3"/>
        <v>1</v>
      </c>
      <c r="Z1885" s="18">
        <f t="shared" si="559"/>
        <v>6891220</v>
      </c>
      <c r="AA1885" s="22">
        <v>5.0999999999999997E-2</v>
      </c>
      <c r="AB1885" s="21">
        <f t="shared" si="550"/>
        <v>351452.22</v>
      </c>
      <c r="AC1885" s="25">
        <f t="shared" si="551"/>
        <v>30295.181363999996</v>
      </c>
      <c r="AD1885" s="170">
        <v>8.6199999999999999E-2</v>
      </c>
      <c r="AE1885" s="26">
        <f t="shared" si="552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60"/>
        <v>27308925.887079656</v>
      </c>
      <c r="AJ1885" s="27">
        <f t="shared" si="561"/>
        <v>3319273.860338124</v>
      </c>
      <c r="AK1885" s="28">
        <f t="shared" si="553"/>
        <v>0.12154538314919709</v>
      </c>
      <c r="AL1885" s="24"/>
      <c r="AM1885" s="24"/>
      <c r="AN1885" s="24"/>
      <c r="AO1885" s="24"/>
      <c r="AP1885" s="28" t="str">
        <f t="shared" si="554"/>
        <v>20246</v>
      </c>
      <c r="AQ1885" s="28" t="str">
        <f t="shared" si="555"/>
        <v>20246JPY</v>
      </c>
      <c r="AR1885" s="206" t="str">
        <f t="shared" si="556"/>
        <v>YAMAHA_Mounter</v>
      </c>
      <c r="AS1885" s="22">
        <f t="shared" si="557"/>
        <v>2</v>
      </c>
      <c r="AT1885" s="24" t="str">
        <f t="shared" si="558"/>
        <v>0-3 months</v>
      </c>
    </row>
    <row r="1886" spans="1:46" s="12" customFormat="1">
      <c r="A1886" s="33" t="str">
        <f t="shared" si="546"/>
        <v>FY 24/25</v>
      </c>
      <c r="B1886" s="23">
        <v>2024</v>
      </c>
      <c r="C1886" s="152">
        <v>5</v>
      </c>
      <c r="D1886" s="202" t="str">
        <f t="shared" si="547"/>
        <v>Q1</v>
      </c>
      <c r="E1886" s="33" t="s">
        <v>3173</v>
      </c>
      <c r="F1886" s="23">
        <v>2024</v>
      </c>
      <c r="G1886" s="23">
        <v>6</v>
      </c>
      <c r="H1886" s="29"/>
      <c r="I1886" s="202" t="str">
        <f t="shared" si="548"/>
        <v>Q1</v>
      </c>
      <c r="J1886" s="188" t="s">
        <v>3424</v>
      </c>
      <c r="K1886" s="29" t="s">
        <v>2292</v>
      </c>
      <c r="L1886" s="17" t="s">
        <v>93</v>
      </c>
      <c r="M1886" s="22" t="s">
        <v>61</v>
      </c>
      <c r="N1886" s="22">
        <v>1</v>
      </c>
      <c r="O1886" s="22"/>
      <c r="P1886" s="33" t="str">
        <f t="shared" si="549"/>
        <v>MAIN UNIT</v>
      </c>
      <c r="Q1886" s="13" t="s">
        <v>62</v>
      </c>
      <c r="R1886" s="22" t="s">
        <v>63</v>
      </c>
      <c r="S1886" s="22" t="s">
        <v>50</v>
      </c>
      <c r="T1886" s="22" t="s">
        <v>79</v>
      </c>
      <c r="U1886" s="22" t="s">
        <v>79</v>
      </c>
      <c r="V1886" s="22" t="s">
        <v>127</v>
      </c>
      <c r="W1886" s="22" t="s">
        <v>110</v>
      </c>
      <c r="X1886" s="94">
        <v>12800000</v>
      </c>
      <c r="Y1886" s="195" t="str">
        <f t="shared" si="563"/>
        <v>1</v>
      </c>
      <c r="Z1886" s="196">
        <f t="shared" si="559"/>
        <v>12800000</v>
      </c>
      <c r="AA1886" s="22">
        <v>5.0999999999999997E-2</v>
      </c>
      <c r="AB1886" s="197">
        <f t="shared" si="550"/>
        <v>652800</v>
      </c>
      <c r="AC1886" s="198">
        <f t="shared" si="551"/>
        <v>73766.400000000009</v>
      </c>
      <c r="AD1886" s="170">
        <v>0.113</v>
      </c>
      <c r="AE1886" s="199">
        <f t="shared" si="552"/>
        <v>0</v>
      </c>
      <c r="AF1886" s="199" t="str">
        <f>IF(AND(COUNTIFS($J$18:J1886,J1886)=1,AE1886=1),1,"")</f>
        <v/>
      </c>
      <c r="AG1886" s="199">
        <f>IF(C1886="","",IF(AND(COUNTIFS($J$18:J1886,J1886)=1,C1886&lt;&gt;""),1,""))</f>
        <v>1</v>
      </c>
      <c r="AH1886" s="199">
        <f>IF(G1886="","",IF(AND(COUNTIFS($J$18:J1886,J1886)=1,G1886&lt;&gt;""),1,""))</f>
        <v>1</v>
      </c>
      <c r="AI1886" s="200">
        <f t="shared" si="560"/>
        <v>27308925.887079656</v>
      </c>
      <c r="AJ1886" s="200">
        <f t="shared" si="561"/>
        <v>3319273.860338124</v>
      </c>
      <c r="AK1886" s="201">
        <f t="shared" si="553"/>
        <v>0.12154538314919709</v>
      </c>
      <c r="AL1886" s="24"/>
      <c r="AM1886" s="24"/>
      <c r="AN1886" s="24"/>
      <c r="AO1886" s="24"/>
      <c r="AP1886" s="28" t="str">
        <f t="shared" si="554"/>
        <v>20246</v>
      </c>
      <c r="AQ1886" s="28" t="str">
        <f t="shared" si="555"/>
        <v>20246JPY</v>
      </c>
      <c r="AR1886" s="206" t="str">
        <f t="shared" si="556"/>
        <v>YAMAHA_Mounter</v>
      </c>
      <c r="AS1886" s="22">
        <f t="shared" si="557"/>
        <v>1</v>
      </c>
      <c r="AT1886" s="24" t="str">
        <f t="shared" si="558"/>
        <v>0-3 months</v>
      </c>
    </row>
    <row r="1887" spans="1:46" s="12" customFormat="1">
      <c r="A1887" s="33" t="str">
        <f t="shared" si="546"/>
        <v>FY 17/18</v>
      </c>
      <c r="B1887" s="152">
        <v>2017</v>
      </c>
      <c r="C1887" s="152">
        <v>11</v>
      </c>
      <c r="D1887" s="33" t="str">
        <f t="shared" si="547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48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49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59"/>
        <v>800000</v>
      </c>
      <c r="AA1887" s="13">
        <v>1.23</v>
      </c>
      <c r="AB1887" s="21">
        <f t="shared" si="550"/>
        <v>848275.86206896557</v>
      </c>
      <c r="AC1887" s="130">
        <f t="shared" si="551"/>
        <v>149975.17241379313</v>
      </c>
      <c r="AD1887" s="169">
        <v>0.17680000000000001</v>
      </c>
      <c r="AE1887" s="154">
        <f t="shared" si="552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60"/>
        <v>34109166.105589926</v>
      </c>
      <c r="AJ1887" s="19">
        <f t="shared" si="561"/>
        <v>4642032.7199573703</v>
      </c>
      <c r="AK1887" s="20">
        <f t="shared" si="553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4"/>
        <v>20185</v>
      </c>
      <c r="AQ1887" s="28" t="str">
        <f t="shared" si="555"/>
        <v>20185RMB</v>
      </c>
      <c r="AR1887" s="206" t="str">
        <f t="shared" si="556"/>
        <v>YAMAHA_Mounter</v>
      </c>
      <c r="AS1887" s="22">
        <f t="shared" si="557"/>
        <v>6</v>
      </c>
      <c r="AT1887" s="24" t="str">
        <f t="shared" si="558"/>
        <v>4-6 months</v>
      </c>
    </row>
    <row r="1888" spans="1:46" s="12" customFormat="1">
      <c r="A1888" s="33" t="str">
        <f t="shared" ref="A1888:A1951" si="564">IF(C1888="cancel","cancel",IFERROR(IF(D1888="Q4","FY "&amp;RIGHT(B1888,2)-1&amp;"/"&amp;RIGHT(B1888,2),"FY "&amp;RIGHT(B1888,2)&amp;"/"&amp;RIGHT(B1888,2)+1),""))</f>
        <v>FY 17/18</v>
      </c>
      <c r="B1888" s="152">
        <v>2017</v>
      </c>
      <c r="C1888" s="152">
        <v>11</v>
      </c>
      <c r="D1888" s="33" t="str">
        <f t="shared" ref="D1888:D1951" si="565">IF(B1888="","",IF(AND(C1888&gt;=10,C1888&lt;=12),"Q3",IF(AND(C1888&gt;=1,C1888&lt;=3),"Q4",IF(AND(C1888&gt;=7,C1888&lt;=9),"Q2",IF(AND(C1888&gt;=4,C1888&lt;=6),"Q1")))))</f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ref="I1888:I1951" si="566">IFERROR(IF(F1888="","",IF(F1888="TBA","TBA",IF(F1888="Cancel","Cancel",IF(AND(G1888&gt;=10,G1888&lt;=12),"Q3",IF(AND(G1888&gt;=1,G1888&lt;=3),"Q4",IF(AND(G1888&gt;=7,G1888&lt;=9),"Q2",IF(AND(G1888&gt;=4,G1888&lt;=6),"Q1"))))))),"")</f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ref="P1888:P1951" si="567">IF(M1888="","",IF(AND(N1888&gt;0,L1888&lt;&gt;""),"MAIN UNIT",IF(AND(O1888&gt;0,L1888&lt;&gt;""),"SERVICE/ PARTS","C66 SERVICE/OTHERS")))</f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59"/>
        <v>710000</v>
      </c>
      <c r="AA1888" s="13">
        <v>1.23</v>
      </c>
      <c r="AB1888" s="21">
        <f t="shared" ref="AB1888:AB1951" si="568">IF(AND(R1888&lt;&gt;"C66",R1888&lt;&gt;""),Z1888/Y1888*AA1888,"")</f>
        <v>752844.82758620696</v>
      </c>
      <c r="AC1888" s="130">
        <f t="shared" ref="AC1888:AC1951" si="569">IF(R1888&lt;&gt;"",AB1888*AD1888,"")</f>
        <v>133102.96551724139</v>
      </c>
      <c r="AD1888" s="169">
        <v>0.17680000000000001</v>
      </c>
      <c r="AE1888" s="154">
        <f t="shared" ref="AE1888:AE1951" si="570">IF(Q1888="","",IF(Q1888="Yes",1,0))</f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60"/>
        <v>34109166.105589926</v>
      </c>
      <c r="AJ1888" s="19">
        <f t="shared" si="561"/>
        <v>4642032.7199573703</v>
      </c>
      <c r="AK1888" s="20">
        <f t="shared" ref="AK1888:AK1951" si="571">IF(AJ1888&gt;0,AJ1888/AI1888,"")</f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ref="AP1888:AP1951" si="572">IF(F1888="","",F1888&amp;G1888)</f>
        <v>20185</v>
      </c>
      <c r="AQ1888" s="28" t="str">
        <f t="shared" ref="AQ1888:AQ1951" si="573">IF(W1888="","",F1888&amp;G1888&amp;W1888)</f>
        <v>20185RMB</v>
      </c>
      <c r="AR1888" s="206" t="str">
        <f t="shared" ref="AR1888:AR1951" si="574">IFERROR(IF(AND(M1888="YAMAHA", R1888="C28"), "YAMAHA_Non_Mounter", IF(AND(M1888="YAMAHA", R1888="C49"), "YAMAHA_Mounter", M1888)),"")</f>
        <v>YAMAHA_Mounter</v>
      </c>
      <c r="AS1888" s="22">
        <f t="shared" ref="AS1888:AS1951" si="575">IFERROR(IF(OR(G1888="TBA", G1888=""), "", DATEDIF(DATE(B1888, C1888, 1), DATE(F1888, G1888, 1), "M")),"")</f>
        <v>6</v>
      </c>
      <c r="AT1888" s="24" t="str">
        <f t="shared" ref="AT1888:AT1951" si="576">IF(ISNUMBER(AS1888), IF(AS1888&gt;=0, IF(AS1888&lt;=3, "0-3 months", IF(AS1888&lt;=6, "4-6 months", "&gt; 6 months"))), "")</f>
        <v>4-6 months</v>
      </c>
    </row>
    <row r="1889" spans="1:46" s="12" customFormat="1">
      <c r="A1889" s="33" t="str">
        <f t="shared" si="564"/>
        <v>FY 21/22</v>
      </c>
      <c r="B1889" s="152">
        <v>2021</v>
      </c>
      <c r="C1889" s="152">
        <v>11</v>
      </c>
      <c r="D1889" s="33" t="str">
        <f t="shared" si="565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66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67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59"/>
        <v>630000</v>
      </c>
      <c r="AA1889" s="13">
        <v>1.22</v>
      </c>
      <c r="AB1889" s="21">
        <f t="shared" si="568"/>
        <v>680176.99115044251</v>
      </c>
      <c r="AC1889" s="130">
        <f t="shared" si="569"/>
        <v>116106.21238938053</v>
      </c>
      <c r="AD1889" s="169">
        <v>0.17069999999999999</v>
      </c>
      <c r="AE1889" s="154">
        <f t="shared" si="570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60"/>
        <v>26407088.359292038</v>
      </c>
      <c r="AJ1889" s="19">
        <f t="shared" si="561"/>
        <v>3424510.6998470789</v>
      </c>
      <c r="AK1889" s="20">
        <f t="shared" si="571"/>
        <v>0.12968149510667554</v>
      </c>
      <c r="AL1889" s="17"/>
      <c r="AM1889" s="17"/>
      <c r="AN1889" s="17"/>
      <c r="AO1889" s="17"/>
      <c r="AP1889" s="28" t="str">
        <f t="shared" si="572"/>
        <v>20221</v>
      </c>
      <c r="AQ1889" s="28" t="str">
        <f t="shared" si="573"/>
        <v>20221RMB</v>
      </c>
      <c r="AR1889" s="206" t="str">
        <f t="shared" si="574"/>
        <v>YAMAHA_Mounter</v>
      </c>
      <c r="AS1889" s="22">
        <f t="shared" si="575"/>
        <v>2</v>
      </c>
      <c r="AT1889" s="24" t="str">
        <f t="shared" si="576"/>
        <v>0-3 months</v>
      </c>
    </row>
    <row r="1890" spans="1:46" s="12" customFormat="1">
      <c r="A1890" s="33" t="str">
        <f t="shared" si="564"/>
        <v>FY 21/22</v>
      </c>
      <c r="B1890" s="152">
        <v>2021</v>
      </c>
      <c r="C1890" s="152">
        <v>11</v>
      </c>
      <c r="D1890" s="33" t="str">
        <f t="shared" si="565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66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67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59"/>
        <v>1000000</v>
      </c>
      <c r="AA1890" s="13">
        <v>1.22</v>
      </c>
      <c r="AB1890" s="21">
        <f t="shared" si="568"/>
        <v>1079646.0176991152</v>
      </c>
      <c r="AC1890" s="130">
        <f t="shared" si="569"/>
        <v>184295.57522123895</v>
      </c>
      <c r="AD1890" s="169">
        <v>0.17069999999999999</v>
      </c>
      <c r="AE1890" s="154">
        <f t="shared" si="570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60"/>
        <v>26407088.359292038</v>
      </c>
      <c r="AJ1890" s="19">
        <f t="shared" si="561"/>
        <v>3424510.6998470789</v>
      </c>
      <c r="AK1890" s="20">
        <f t="shared" si="571"/>
        <v>0.12968149510667554</v>
      </c>
      <c r="AL1890" s="17"/>
      <c r="AM1890" s="17"/>
      <c r="AN1890" s="17"/>
      <c r="AO1890" s="17"/>
      <c r="AP1890" s="28" t="str">
        <f t="shared" si="572"/>
        <v>20221</v>
      </c>
      <c r="AQ1890" s="28" t="str">
        <f t="shared" si="573"/>
        <v>20221RMB</v>
      </c>
      <c r="AR1890" s="206" t="str">
        <f t="shared" si="574"/>
        <v>YAMAHA_Mounter</v>
      </c>
      <c r="AS1890" s="22">
        <f t="shared" si="575"/>
        <v>2</v>
      </c>
      <c r="AT1890" s="24" t="str">
        <f t="shared" si="576"/>
        <v>0-3 months</v>
      </c>
    </row>
    <row r="1891" spans="1:46" s="12" customFormat="1">
      <c r="A1891" s="33" t="str">
        <f t="shared" si="564"/>
        <v>FY 21/22</v>
      </c>
      <c r="B1891" s="152">
        <v>2022</v>
      </c>
      <c r="C1891" s="152">
        <v>3</v>
      </c>
      <c r="D1891" s="33" t="str">
        <f t="shared" si="565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66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67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59"/>
        <v>1000000</v>
      </c>
      <c r="AA1891" s="13">
        <v>1.175</v>
      </c>
      <c r="AB1891" s="21">
        <f t="shared" si="568"/>
        <v>1039823.0088495577</v>
      </c>
      <c r="AC1891" s="130">
        <f t="shared" si="569"/>
        <v>185296.46017699118</v>
      </c>
      <c r="AD1891" s="169">
        <v>0.1782</v>
      </c>
      <c r="AE1891" s="154">
        <f t="shared" si="570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60"/>
        <v>35682787.057522126</v>
      </c>
      <c r="AJ1891" s="19">
        <f t="shared" si="561"/>
        <v>5833368.3789623892</v>
      </c>
      <c r="AK1891" s="20">
        <f t="shared" si="571"/>
        <v>0.16347849649632912</v>
      </c>
      <c r="AL1891" s="17"/>
      <c r="AM1891" s="17"/>
      <c r="AN1891" s="17"/>
      <c r="AO1891" s="17"/>
      <c r="AP1891" s="28" t="str">
        <f t="shared" si="572"/>
        <v>20226</v>
      </c>
      <c r="AQ1891" s="28" t="str">
        <f t="shared" si="573"/>
        <v>20226RMB</v>
      </c>
      <c r="AR1891" s="206" t="str">
        <f t="shared" si="574"/>
        <v>YAMAHA_Mounter</v>
      </c>
      <c r="AS1891" s="22">
        <f t="shared" si="575"/>
        <v>3</v>
      </c>
      <c r="AT1891" s="24" t="str">
        <f t="shared" si="576"/>
        <v>0-3 months</v>
      </c>
    </row>
    <row r="1892" spans="1:46" s="12" customFormat="1">
      <c r="A1892" s="33" t="str">
        <f t="shared" si="564"/>
        <v>FY 21/22</v>
      </c>
      <c r="B1892" s="152">
        <v>2022</v>
      </c>
      <c r="C1892" s="152">
        <v>3</v>
      </c>
      <c r="D1892" s="33" t="str">
        <f t="shared" si="565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66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67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59"/>
        <v>610000</v>
      </c>
      <c r="AA1892" s="13">
        <v>1.175</v>
      </c>
      <c r="AB1892" s="21">
        <f t="shared" si="568"/>
        <v>634292.03539823019</v>
      </c>
      <c r="AC1892" s="130">
        <f t="shared" si="569"/>
        <v>113030.84070796461</v>
      </c>
      <c r="AD1892" s="169">
        <v>0.1782</v>
      </c>
      <c r="AE1892" s="154">
        <f t="shared" si="570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60"/>
        <v>35682787.057522126</v>
      </c>
      <c r="AJ1892" s="19">
        <f t="shared" si="561"/>
        <v>5833368.3789623892</v>
      </c>
      <c r="AK1892" s="20">
        <f t="shared" si="571"/>
        <v>0.16347849649632912</v>
      </c>
      <c r="AL1892" s="17"/>
      <c r="AM1892" s="17"/>
      <c r="AN1892" s="17"/>
      <c r="AO1892" s="17"/>
      <c r="AP1892" s="28" t="str">
        <f t="shared" si="572"/>
        <v>20226</v>
      </c>
      <c r="AQ1892" s="28" t="str">
        <f t="shared" si="573"/>
        <v>20226RMB</v>
      </c>
      <c r="AR1892" s="206" t="str">
        <f t="shared" si="574"/>
        <v>YAMAHA_Mounter</v>
      </c>
      <c r="AS1892" s="22">
        <f t="shared" si="575"/>
        <v>3</v>
      </c>
      <c r="AT1892" s="24" t="str">
        <f t="shared" si="576"/>
        <v>0-3 months</v>
      </c>
    </row>
    <row r="1893" spans="1:46" s="12" customFormat="1">
      <c r="A1893" s="33" t="str">
        <f t="shared" si="564"/>
        <v>cancel</v>
      </c>
      <c r="B1893" s="152"/>
      <c r="C1893" s="152" t="s">
        <v>186</v>
      </c>
      <c r="D1893" s="33" t="str">
        <f t="shared" si="565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66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67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59"/>
        <v>7200000</v>
      </c>
      <c r="AA1893" s="13">
        <v>7.2800000000000004E-2</v>
      </c>
      <c r="AB1893" s="21">
        <f t="shared" si="568"/>
        <v>524160</v>
      </c>
      <c r="AC1893" s="130">
        <f t="shared" si="569"/>
        <v>62899.199999999997</v>
      </c>
      <c r="AD1893" s="169">
        <v>0.12</v>
      </c>
      <c r="AE1893" s="154">
        <f t="shared" si="570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60"/>
        <v>477651199.57437885</v>
      </c>
      <c r="AJ1893" s="19">
        <f t="shared" si="561"/>
        <v>56918800.518691957</v>
      </c>
      <c r="AK1893" s="20">
        <f t="shared" si="571"/>
        <v>0.11916394341605475</v>
      </c>
      <c r="AL1893" s="17"/>
      <c r="AM1893" s="17"/>
      <c r="AN1893" s="17"/>
      <c r="AO1893" s="17"/>
      <c r="AP1893" s="28" t="str">
        <f t="shared" si="572"/>
        <v>CancelCANCEL</v>
      </c>
      <c r="AQ1893" s="28" t="str">
        <f t="shared" si="573"/>
        <v>CancelCANCELJPY</v>
      </c>
      <c r="AR1893" s="206" t="str">
        <f t="shared" si="574"/>
        <v>YAMAHA_Mounter</v>
      </c>
      <c r="AS1893" s="22" t="str">
        <f t="shared" si="575"/>
        <v/>
      </c>
      <c r="AT1893" s="24" t="str">
        <f t="shared" si="576"/>
        <v/>
      </c>
    </row>
    <row r="1894" spans="1:46" s="12" customFormat="1">
      <c r="A1894" s="33" t="str">
        <f t="shared" si="564"/>
        <v>FY 19/20</v>
      </c>
      <c r="B1894" s="152">
        <v>2020</v>
      </c>
      <c r="C1894" s="152">
        <v>3</v>
      </c>
      <c r="D1894" s="33" t="str">
        <f t="shared" si="565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66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67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59"/>
        <v>11000000</v>
      </c>
      <c r="AA1894" s="13">
        <v>7.3400000000000007E-2</v>
      </c>
      <c r="AB1894" s="21">
        <f t="shared" si="568"/>
        <v>807400.00000000012</v>
      </c>
      <c r="AC1894" s="130">
        <f t="shared" si="569"/>
        <v>81466.660000000018</v>
      </c>
      <c r="AD1894" s="169">
        <v>0.1009</v>
      </c>
      <c r="AE1894" s="154">
        <f t="shared" si="570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60"/>
        <v>35384300.169380538</v>
      </c>
      <c r="AJ1894" s="19">
        <f t="shared" si="561"/>
        <v>5044538.8896988509</v>
      </c>
      <c r="AK1894" s="20">
        <f t="shared" si="571"/>
        <v>0.14256432557804533</v>
      </c>
      <c r="AL1894" s="17"/>
      <c r="AM1894" s="17"/>
      <c r="AN1894" s="17"/>
      <c r="AO1894" s="17"/>
      <c r="AP1894" s="28" t="str">
        <f t="shared" si="572"/>
        <v>20207</v>
      </c>
      <c r="AQ1894" s="28" t="str">
        <f t="shared" si="573"/>
        <v>20207JPY</v>
      </c>
      <c r="AR1894" s="206" t="str">
        <f t="shared" si="574"/>
        <v>YAMAHA_Mounter</v>
      </c>
      <c r="AS1894" s="22">
        <f t="shared" si="575"/>
        <v>4</v>
      </c>
      <c r="AT1894" s="24" t="str">
        <f t="shared" si="576"/>
        <v>4-6 months</v>
      </c>
    </row>
    <row r="1895" spans="1:46" s="12" customFormat="1">
      <c r="A1895" s="33" t="str">
        <f t="shared" si="564"/>
        <v>FY 19/20</v>
      </c>
      <c r="B1895" s="152">
        <v>2020</v>
      </c>
      <c r="C1895" s="152">
        <v>3</v>
      </c>
      <c r="D1895" s="33" t="str">
        <f t="shared" si="565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66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67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59"/>
        <v>9800000</v>
      </c>
      <c r="AA1895" s="13">
        <v>7.4300000000000005E-2</v>
      </c>
      <c r="AB1895" s="21">
        <f t="shared" si="568"/>
        <v>728140</v>
      </c>
      <c r="AC1895" s="130">
        <f t="shared" si="569"/>
        <v>73469.326000000001</v>
      </c>
      <c r="AD1895" s="169">
        <v>0.1009</v>
      </c>
      <c r="AE1895" s="154">
        <f t="shared" si="570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60"/>
        <v>28065694.408805311</v>
      </c>
      <c r="AJ1895" s="19">
        <f t="shared" si="561"/>
        <v>4157433.2906989697</v>
      </c>
      <c r="AK1895" s="20">
        <f t="shared" si="571"/>
        <v>0.14813220831602228</v>
      </c>
      <c r="AL1895" s="17"/>
      <c r="AM1895" s="17"/>
      <c r="AN1895" s="17"/>
      <c r="AO1895" s="17"/>
      <c r="AP1895" s="28" t="str">
        <f t="shared" si="572"/>
        <v>20205</v>
      </c>
      <c r="AQ1895" s="28" t="str">
        <f t="shared" si="573"/>
        <v>20205JPY</v>
      </c>
      <c r="AR1895" s="206" t="str">
        <f t="shared" si="574"/>
        <v>YAMAHA_Mounter</v>
      </c>
      <c r="AS1895" s="22">
        <f t="shared" si="575"/>
        <v>2</v>
      </c>
      <c r="AT1895" s="24" t="str">
        <f t="shared" si="576"/>
        <v>0-3 months</v>
      </c>
    </row>
    <row r="1896" spans="1:46" s="12" customFormat="1">
      <c r="A1896" s="33" t="str">
        <f t="shared" si="564"/>
        <v>FY 20/21</v>
      </c>
      <c r="B1896" s="152">
        <v>2020</v>
      </c>
      <c r="C1896" s="152">
        <v>7</v>
      </c>
      <c r="D1896" s="33" t="str">
        <f t="shared" si="565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66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67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59"/>
        <v>11834000</v>
      </c>
      <c r="AA1896" s="13">
        <v>7.4899999999999994E-2</v>
      </c>
      <c r="AB1896" s="21">
        <f t="shared" si="568"/>
        <v>886366.6</v>
      </c>
      <c r="AC1896" s="130">
        <f t="shared" si="569"/>
        <v>109377.63844</v>
      </c>
      <c r="AD1896" s="169">
        <v>0.1234</v>
      </c>
      <c r="AE1896" s="154">
        <f t="shared" si="570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60"/>
        <v>47907808.356810622</v>
      </c>
      <c r="AJ1896" s="19">
        <f t="shared" si="561"/>
        <v>6027384.8806384448</v>
      </c>
      <c r="AK1896" s="20">
        <f t="shared" si="571"/>
        <v>0.12581216063459488</v>
      </c>
      <c r="AL1896" s="17"/>
      <c r="AM1896" s="17"/>
      <c r="AN1896" s="17"/>
      <c r="AO1896" s="17"/>
      <c r="AP1896" s="28" t="str">
        <f t="shared" si="572"/>
        <v>20209</v>
      </c>
      <c r="AQ1896" s="28" t="str">
        <f t="shared" si="573"/>
        <v>20209JPY</v>
      </c>
      <c r="AR1896" s="206" t="str">
        <f t="shared" si="574"/>
        <v>YAMAHA_Mounter</v>
      </c>
      <c r="AS1896" s="22">
        <f t="shared" si="575"/>
        <v>2</v>
      </c>
      <c r="AT1896" s="24" t="str">
        <f t="shared" si="576"/>
        <v>0-3 months</v>
      </c>
    </row>
    <row r="1897" spans="1:46" s="12" customFormat="1">
      <c r="A1897" s="33" t="str">
        <f t="shared" si="564"/>
        <v>FY 20/21</v>
      </c>
      <c r="B1897" s="152">
        <v>2020</v>
      </c>
      <c r="C1897" s="152">
        <v>7</v>
      </c>
      <c r="D1897" s="33" t="str">
        <f t="shared" si="565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66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67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59"/>
        <v>7942000</v>
      </c>
      <c r="AA1897" s="13">
        <v>7.4899999999999994E-2</v>
      </c>
      <c r="AB1897" s="21">
        <f t="shared" si="568"/>
        <v>594855.79999999993</v>
      </c>
      <c r="AC1897" s="130">
        <f t="shared" si="569"/>
        <v>87146.374699999986</v>
      </c>
      <c r="AD1897" s="169">
        <v>0.14649999999999999</v>
      </c>
      <c r="AE1897" s="154">
        <f t="shared" si="570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60"/>
        <v>47907808.356810622</v>
      </c>
      <c r="AJ1897" s="19">
        <f t="shared" si="561"/>
        <v>6027384.8806384448</v>
      </c>
      <c r="AK1897" s="20">
        <f t="shared" si="571"/>
        <v>0.12581216063459488</v>
      </c>
      <c r="AL1897" s="17"/>
      <c r="AM1897" s="17"/>
      <c r="AN1897" s="17"/>
      <c r="AO1897" s="17"/>
      <c r="AP1897" s="28" t="str">
        <f t="shared" si="572"/>
        <v>20209</v>
      </c>
      <c r="AQ1897" s="28" t="str">
        <f t="shared" si="573"/>
        <v>20209JPY</v>
      </c>
      <c r="AR1897" s="206" t="str">
        <f t="shared" si="574"/>
        <v>YAMAHA_Mounter</v>
      </c>
      <c r="AS1897" s="22">
        <f t="shared" si="575"/>
        <v>2</v>
      </c>
      <c r="AT1897" s="24" t="str">
        <f t="shared" si="576"/>
        <v>0-3 months</v>
      </c>
    </row>
    <row r="1898" spans="1:46" s="12" customFormat="1">
      <c r="A1898" s="33" t="str">
        <f t="shared" si="564"/>
        <v>FY 20/21</v>
      </c>
      <c r="B1898" s="152">
        <v>2020</v>
      </c>
      <c r="C1898" s="152">
        <v>11</v>
      </c>
      <c r="D1898" s="33" t="str">
        <f t="shared" si="565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66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67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59"/>
        <v>7186000</v>
      </c>
      <c r="AA1898" s="13">
        <v>7.6799999999999993E-2</v>
      </c>
      <c r="AB1898" s="21">
        <f t="shared" si="568"/>
        <v>551884.79999999993</v>
      </c>
      <c r="AC1898" s="130">
        <f t="shared" si="569"/>
        <v>76325.667839999995</v>
      </c>
      <c r="AD1898" s="169">
        <v>0.13830000000000001</v>
      </c>
      <c r="AE1898" s="154">
        <f t="shared" si="570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60"/>
        <v>45803245.025628321</v>
      </c>
      <c r="AJ1898" s="19">
        <f t="shared" si="561"/>
        <v>5664636.2584379362</v>
      </c>
      <c r="AK1898" s="20">
        <f t="shared" si="571"/>
        <v>0.12367325186825515</v>
      </c>
      <c r="AL1898" s="17"/>
      <c r="AM1898" s="17"/>
      <c r="AN1898" s="17"/>
      <c r="AO1898" s="17"/>
      <c r="AP1898" s="28" t="str">
        <f t="shared" si="572"/>
        <v>20211</v>
      </c>
      <c r="AQ1898" s="28" t="str">
        <f t="shared" si="573"/>
        <v>20211JPY</v>
      </c>
      <c r="AR1898" s="206" t="str">
        <f t="shared" si="574"/>
        <v>YAMAHA_Mounter</v>
      </c>
      <c r="AS1898" s="22">
        <f t="shared" si="575"/>
        <v>2</v>
      </c>
      <c r="AT1898" s="24" t="str">
        <f t="shared" si="576"/>
        <v>0-3 months</v>
      </c>
    </row>
    <row r="1899" spans="1:46" s="12" customFormat="1">
      <c r="A1899" s="33" t="str">
        <f t="shared" si="564"/>
        <v>FY 20/21</v>
      </c>
      <c r="B1899" s="152">
        <v>2020</v>
      </c>
      <c r="C1899" s="152">
        <v>11</v>
      </c>
      <c r="D1899" s="33" t="str">
        <f t="shared" si="565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66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67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59"/>
        <v>7340000</v>
      </c>
      <c r="AA1899" s="13">
        <v>7.2400000000000006E-2</v>
      </c>
      <c r="AB1899" s="21">
        <f t="shared" si="568"/>
        <v>531416</v>
      </c>
      <c r="AC1899" s="130">
        <f t="shared" si="569"/>
        <v>63769.919999999998</v>
      </c>
      <c r="AD1899" s="169">
        <v>0.12</v>
      </c>
      <c r="AE1899" s="154">
        <f t="shared" si="570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60"/>
        <v>477651199.57437885</v>
      </c>
      <c r="AJ1899" s="19">
        <f t="shared" si="561"/>
        <v>56918800.518691957</v>
      </c>
      <c r="AK1899" s="20">
        <f t="shared" si="571"/>
        <v>0.11916394341605475</v>
      </c>
      <c r="AL1899" s="17"/>
      <c r="AM1899" s="17"/>
      <c r="AN1899" s="17"/>
      <c r="AO1899" s="17"/>
      <c r="AP1899" s="28" t="str">
        <f t="shared" si="572"/>
        <v>CancelCancel</v>
      </c>
      <c r="AQ1899" s="28" t="str">
        <f t="shared" si="573"/>
        <v>CancelCancelJPY</v>
      </c>
      <c r="AR1899" s="206" t="str">
        <f t="shared" si="574"/>
        <v>YAMAHA_Mounter</v>
      </c>
      <c r="AS1899" s="22" t="str">
        <f t="shared" si="575"/>
        <v/>
      </c>
      <c r="AT1899" s="24" t="str">
        <f t="shared" si="576"/>
        <v/>
      </c>
    </row>
    <row r="1900" spans="1:46" s="12" customFormat="1">
      <c r="A1900" s="33" t="str">
        <f t="shared" si="564"/>
        <v>FY 21/22</v>
      </c>
      <c r="B1900" s="152">
        <v>2022</v>
      </c>
      <c r="C1900" s="152">
        <v>2</v>
      </c>
      <c r="D1900" s="33" t="str">
        <f t="shared" si="565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66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67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59"/>
        <v>14190000</v>
      </c>
      <c r="AA1900" s="13">
        <v>6.25E-2</v>
      </c>
      <c r="AB1900" s="21">
        <f t="shared" si="568"/>
        <v>886875</v>
      </c>
      <c r="AC1900" s="130">
        <f t="shared" si="569"/>
        <v>108996.9375</v>
      </c>
      <c r="AD1900" s="169">
        <v>0.1229</v>
      </c>
      <c r="AE1900" s="154">
        <f t="shared" si="570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60"/>
        <v>35682787.057522126</v>
      </c>
      <c r="AJ1900" s="19">
        <f t="shared" si="561"/>
        <v>5833368.3789623892</v>
      </c>
      <c r="AK1900" s="20">
        <f t="shared" si="571"/>
        <v>0.16347849649632912</v>
      </c>
      <c r="AL1900" s="17"/>
      <c r="AM1900" s="17"/>
      <c r="AN1900" s="17"/>
      <c r="AO1900" s="17"/>
      <c r="AP1900" s="28" t="str">
        <f t="shared" si="572"/>
        <v>20226</v>
      </c>
      <c r="AQ1900" s="28" t="str">
        <f t="shared" si="573"/>
        <v>20226JPY</v>
      </c>
      <c r="AR1900" s="206" t="str">
        <f t="shared" si="574"/>
        <v>YAMAHA_Mounter</v>
      </c>
      <c r="AS1900" s="22">
        <f t="shared" si="575"/>
        <v>4</v>
      </c>
      <c r="AT1900" s="24" t="str">
        <f t="shared" si="576"/>
        <v>4-6 months</v>
      </c>
    </row>
    <row r="1901" spans="1:46" s="12" customFormat="1">
      <c r="A1901" s="33" t="str">
        <f t="shared" si="564"/>
        <v>cancel</v>
      </c>
      <c r="B1901" s="152"/>
      <c r="C1901" s="152" t="s">
        <v>186</v>
      </c>
      <c r="D1901" s="33" t="str">
        <f t="shared" si="565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66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67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59"/>
        <v>12274000</v>
      </c>
      <c r="AA1901" s="13">
        <v>7.2999999999999995E-2</v>
      </c>
      <c r="AB1901" s="21">
        <f t="shared" si="568"/>
        <v>896002</v>
      </c>
      <c r="AC1901" s="130">
        <f t="shared" si="569"/>
        <v>107520.23999999999</v>
      </c>
      <c r="AD1901" s="169">
        <v>0.12</v>
      </c>
      <c r="AE1901" s="154">
        <f t="shared" si="570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60"/>
        <v>477651199.57437885</v>
      </c>
      <c r="AJ1901" s="19">
        <f t="shared" si="561"/>
        <v>56918800.518691957</v>
      </c>
      <c r="AK1901" s="20">
        <f t="shared" si="571"/>
        <v>0.11916394341605475</v>
      </c>
      <c r="AL1901" s="17"/>
      <c r="AM1901" s="17"/>
      <c r="AN1901" s="17"/>
      <c r="AO1901" s="17"/>
      <c r="AP1901" s="28" t="str">
        <f t="shared" si="572"/>
        <v>CancelCancel</v>
      </c>
      <c r="AQ1901" s="28" t="str">
        <f t="shared" si="573"/>
        <v>CancelCancelJPY</v>
      </c>
      <c r="AR1901" s="206" t="str">
        <f t="shared" si="574"/>
        <v>YAMAHA_Mounter</v>
      </c>
      <c r="AS1901" s="22" t="str">
        <f t="shared" si="575"/>
        <v/>
      </c>
      <c r="AT1901" s="24" t="str">
        <f t="shared" si="576"/>
        <v/>
      </c>
    </row>
    <row r="1902" spans="1:46" s="12" customFormat="1">
      <c r="A1902" s="33" t="str">
        <f t="shared" si="564"/>
        <v>cancel</v>
      </c>
      <c r="B1902" s="152"/>
      <c r="C1902" s="152" t="s">
        <v>186</v>
      </c>
      <c r="D1902" s="33" t="str">
        <f t="shared" si="565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66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67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59"/>
        <v>14356000</v>
      </c>
      <c r="AA1902" s="13">
        <v>7.3400000000000007E-2</v>
      </c>
      <c r="AB1902" s="21">
        <f t="shared" si="568"/>
        <v>1053730.4000000001</v>
      </c>
      <c r="AC1902" s="130">
        <f t="shared" si="569"/>
        <v>126447.64800000002</v>
      </c>
      <c r="AD1902" s="169">
        <v>0.12</v>
      </c>
      <c r="AE1902" s="154">
        <f t="shared" si="570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60"/>
        <v>477651199.57437885</v>
      </c>
      <c r="AJ1902" s="19">
        <f t="shared" si="561"/>
        <v>56918800.518691957</v>
      </c>
      <c r="AK1902" s="20">
        <f t="shared" si="571"/>
        <v>0.11916394341605475</v>
      </c>
      <c r="AL1902" s="17"/>
      <c r="AM1902" s="17"/>
      <c r="AN1902" s="17"/>
      <c r="AO1902" s="17"/>
      <c r="AP1902" s="28" t="str">
        <f t="shared" si="572"/>
        <v>CancelCancel</v>
      </c>
      <c r="AQ1902" s="28" t="str">
        <f t="shared" si="573"/>
        <v>CancelCancelJPY</v>
      </c>
      <c r="AR1902" s="206" t="str">
        <f t="shared" si="574"/>
        <v>YAMAHA_Mounter</v>
      </c>
      <c r="AS1902" s="22" t="str">
        <f t="shared" si="575"/>
        <v/>
      </c>
      <c r="AT1902" s="24" t="str">
        <f t="shared" si="576"/>
        <v/>
      </c>
    </row>
    <row r="1903" spans="1:46" s="12" customFormat="1">
      <c r="A1903" s="33" t="str">
        <f t="shared" si="564"/>
        <v>cancel</v>
      </c>
      <c r="B1903" s="152"/>
      <c r="C1903" s="152" t="s">
        <v>186</v>
      </c>
      <c r="D1903" s="33" t="str">
        <f t="shared" si="565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66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67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59"/>
        <v>8758000</v>
      </c>
      <c r="AA1903" s="13">
        <v>7.5700000000000003E-2</v>
      </c>
      <c r="AB1903" s="21">
        <f t="shared" si="568"/>
        <v>662980.6</v>
      </c>
      <c r="AC1903" s="130">
        <f t="shared" si="569"/>
        <v>79557.671999999991</v>
      </c>
      <c r="AD1903" s="169">
        <v>0.12</v>
      </c>
      <c r="AE1903" s="154">
        <f t="shared" si="570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60"/>
        <v>477651199.57437885</v>
      </c>
      <c r="AJ1903" s="19">
        <f t="shared" si="561"/>
        <v>56918800.518691957</v>
      </c>
      <c r="AK1903" s="20">
        <f t="shared" si="571"/>
        <v>0.11916394341605475</v>
      </c>
      <c r="AL1903" s="17"/>
      <c r="AM1903" s="17"/>
      <c r="AN1903" s="17"/>
      <c r="AO1903" s="17"/>
      <c r="AP1903" s="28" t="str">
        <f t="shared" si="572"/>
        <v>CancelCancel</v>
      </c>
      <c r="AQ1903" s="28" t="str">
        <f t="shared" si="573"/>
        <v>CancelCancelJPY</v>
      </c>
      <c r="AR1903" s="206" t="str">
        <f t="shared" si="574"/>
        <v>YAMAHA_Mounter</v>
      </c>
      <c r="AS1903" s="22" t="str">
        <f t="shared" si="575"/>
        <v/>
      </c>
      <c r="AT1903" s="24" t="str">
        <f t="shared" si="576"/>
        <v/>
      </c>
    </row>
    <row r="1904" spans="1:46" s="12" customFormat="1">
      <c r="A1904" s="33" t="str">
        <f t="shared" si="564"/>
        <v>cancel</v>
      </c>
      <c r="B1904" s="152"/>
      <c r="C1904" s="152" t="s">
        <v>186</v>
      </c>
      <c r="D1904" s="33" t="str">
        <f t="shared" si="565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66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67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59"/>
        <v>7932000</v>
      </c>
      <c r="AA1904" s="13">
        <v>7.4899999999999994E-2</v>
      </c>
      <c r="AB1904" s="21">
        <f t="shared" si="568"/>
        <v>594106.79999999993</v>
      </c>
      <c r="AC1904" s="130">
        <f t="shared" si="569"/>
        <v>71292.815999999992</v>
      </c>
      <c r="AD1904" s="169">
        <v>0.12</v>
      </c>
      <c r="AE1904" s="154">
        <f t="shared" si="570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60"/>
        <v>477651199.57437885</v>
      </c>
      <c r="AJ1904" s="19">
        <f t="shared" si="561"/>
        <v>56918800.518691957</v>
      </c>
      <c r="AK1904" s="20">
        <f t="shared" si="571"/>
        <v>0.11916394341605475</v>
      </c>
      <c r="AL1904" s="17"/>
      <c r="AM1904" s="17"/>
      <c r="AN1904" s="17"/>
      <c r="AO1904" s="17"/>
      <c r="AP1904" s="28" t="str">
        <f t="shared" si="572"/>
        <v>CancelCancel</v>
      </c>
      <c r="AQ1904" s="28" t="str">
        <f t="shared" si="573"/>
        <v>CancelCancelJPY</v>
      </c>
      <c r="AR1904" s="206" t="str">
        <f t="shared" si="574"/>
        <v>YAMAHA_Mounter</v>
      </c>
      <c r="AS1904" s="22" t="str">
        <f t="shared" si="575"/>
        <v/>
      </c>
      <c r="AT1904" s="24" t="str">
        <f t="shared" si="576"/>
        <v/>
      </c>
    </row>
    <row r="1905" spans="1:46" s="12" customFormat="1">
      <c r="A1905" s="33" t="str">
        <f t="shared" si="564"/>
        <v>cancel</v>
      </c>
      <c r="B1905" s="152"/>
      <c r="C1905" s="152" t="s">
        <v>186</v>
      </c>
      <c r="D1905" s="33" t="str">
        <f t="shared" si="565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66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67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59"/>
        <v>12306000</v>
      </c>
      <c r="AA1905" s="13">
        <v>7.4899999999999994E-2</v>
      </c>
      <c r="AB1905" s="21">
        <f t="shared" si="568"/>
        <v>921719.39999999991</v>
      </c>
      <c r="AC1905" s="130">
        <f t="shared" si="569"/>
        <v>110606.32799999998</v>
      </c>
      <c r="AD1905" s="169">
        <v>0.12</v>
      </c>
      <c r="AE1905" s="154">
        <f t="shared" si="570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60"/>
        <v>477651199.57437885</v>
      </c>
      <c r="AJ1905" s="19">
        <f t="shared" si="561"/>
        <v>56918800.518691957</v>
      </c>
      <c r="AK1905" s="20">
        <f t="shared" si="571"/>
        <v>0.11916394341605475</v>
      </c>
      <c r="AL1905" s="17"/>
      <c r="AM1905" s="17"/>
      <c r="AN1905" s="17"/>
      <c r="AO1905" s="17"/>
      <c r="AP1905" s="28" t="str">
        <f t="shared" si="572"/>
        <v>CancelCancel</v>
      </c>
      <c r="AQ1905" s="28" t="str">
        <f t="shared" si="573"/>
        <v>CancelCancelJPY</v>
      </c>
      <c r="AR1905" s="206" t="str">
        <f t="shared" si="574"/>
        <v>YAMAHA_Mounter</v>
      </c>
      <c r="AS1905" s="22" t="str">
        <f t="shared" si="575"/>
        <v/>
      </c>
      <c r="AT1905" s="24" t="str">
        <f t="shared" si="576"/>
        <v/>
      </c>
    </row>
    <row r="1906" spans="1:46" s="12" customFormat="1">
      <c r="A1906" s="33" t="str">
        <f t="shared" si="564"/>
        <v>FY 18/19</v>
      </c>
      <c r="B1906" s="152">
        <v>2018</v>
      </c>
      <c r="C1906" s="152">
        <v>9</v>
      </c>
      <c r="D1906" s="33" t="str">
        <f t="shared" si="565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66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67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59"/>
        <v>708000</v>
      </c>
      <c r="AA1906" s="13">
        <v>1.1399999999999999</v>
      </c>
      <c r="AB1906" s="21">
        <f t="shared" si="568"/>
        <v>695793.10344827583</v>
      </c>
      <c r="AC1906" s="130">
        <f t="shared" si="569"/>
        <v>83495.172413793101</v>
      </c>
      <c r="AD1906" s="169">
        <v>0.12</v>
      </c>
      <c r="AE1906" s="154">
        <f t="shared" si="570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60"/>
        <v>29840797.698275864</v>
      </c>
      <c r="AJ1906" s="19">
        <f t="shared" si="561"/>
        <v>3940167.6555448272</v>
      </c>
      <c r="AK1906" s="20">
        <f t="shared" si="571"/>
        <v>0.13203962224416277</v>
      </c>
      <c r="AL1906" s="17"/>
      <c r="AM1906" s="17"/>
      <c r="AN1906" s="17"/>
      <c r="AO1906" s="17" t="s">
        <v>62</v>
      </c>
      <c r="AP1906" s="28" t="str">
        <f t="shared" si="572"/>
        <v>201812</v>
      </c>
      <c r="AQ1906" s="28" t="str">
        <f t="shared" si="573"/>
        <v>201812RMB</v>
      </c>
      <c r="AR1906" s="206" t="str">
        <f t="shared" si="574"/>
        <v>YAMAHA_Mounter</v>
      </c>
      <c r="AS1906" s="22">
        <f t="shared" si="575"/>
        <v>3</v>
      </c>
      <c r="AT1906" s="24" t="str">
        <f t="shared" si="576"/>
        <v>0-3 months</v>
      </c>
    </row>
    <row r="1907" spans="1:46" s="12" customFormat="1">
      <c r="A1907" s="33" t="str">
        <f t="shared" si="564"/>
        <v>FY 22/23</v>
      </c>
      <c r="B1907" s="152">
        <v>2022</v>
      </c>
      <c r="C1907" s="152">
        <v>10</v>
      </c>
      <c r="D1907" s="33" t="str">
        <f t="shared" si="565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66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67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59"/>
        <v>1020000</v>
      </c>
      <c r="AA1907" s="13">
        <v>1.077</v>
      </c>
      <c r="AB1907" s="21">
        <f t="shared" si="568"/>
        <v>972159.29203539819</v>
      </c>
      <c r="AC1907" s="130">
        <f t="shared" si="569"/>
        <v>136199.51681415929</v>
      </c>
      <c r="AD1907" s="169">
        <v>0.1401</v>
      </c>
      <c r="AE1907" s="154">
        <f t="shared" si="570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60"/>
        <v>26078226.463097349</v>
      </c>
      <c r="AJ1907" s="19">
        <f t="shared" si="561"/>
        <v>3137870.4427774516</v>
      </c>
      <c r="AK1907" s="20">
        <f t="shared" si="571"/>
        <v>0.12032530077218917</v>
      </c>
      <c r="AL1907" s="17"/>
      <c r="AM1907" s="17"/>
      <c r="AN1907" s="17"/>
      <c r="AO1907" s="17"/>
      <c r="AP1907" s="28" t="str">
        <f t="shared" si="572"/>
        <v>20239</v>
      </c>
      <c r="AQ1907" s="28" t="str">
        <f t="shared" si="573"/>
        <v>20239RMB</v>
      </c>
      <c r="AR1907" s="206" t="str">
        <f t="shared" si="574"/>
        <v>YAMAHA_Mounter</v>
      </c>
      <c r="AS1907" s="22">
        <f t="shared" si="575"/>
        <v>11</v>
      </c>
      <c r="AT1907" s="24" t="str">
        <f t="shared" si="576"/>
        <v>&gt; 6 months</v>
      </c>
    </row>
    <row r="1908" spans="1:46" s="12" customFormat="1">
      <c r="A1908" s="33" t="str">
        <f t="shared" si="564"/>
        <v>FY 22/23</v>
      </c>
      <c r="B1908" s="152">
        <v>2022</v>
      </c>
      <c r="C1908" s="152">
        <v>10</v>
      </c>
      <c r="D1908" s="33" t="str">
        <f t="shared" si="565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66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67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59"/>
        <v>450000</v>
      </c>
      <c r="AA1908" s="13">
        <v>1.077</v>
      </c>
      <c r="AB1908" s="21">
        <f t="shared" si="568"/>
        <v>428893.80530973454</v>
      </c>
      <c r="AC1908" s="130">
        <f t="shared" si="569"/>
        <v>45376.96460176992</v>
      </c>
      <c r="AD1908" s="169">
        <v>0.10580000000000001</v>
      </c>
      <c r="AE1908" s="154">
        <f t="shared" si="570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60"/>
        <v>26078226.463097349</v>
      </c>
      <c r="AJ1908" s="19">
        <f t="shared" si="561"/>
        <v>3137870.4427774516</v>
      </c>
      <c r="AK1908" s="20">
        <f t="shared" si="571"/>
        <v>0.12032530077218917</v>
      </c>
      <c r="AL1908" s="17"/>
      <c r="AM1908" s="17"/>
      <c r="AN1908" s="17"/>
      <c r="AO1908" s="17"/>
      <c r="AP1908" s="28" t="str">
        <f t="shared" si="572"/>
        <v>20239</v>
      </c>
      <c r="AQ1908" s="28" t="str">
        <f t="shared" si="573"/>
        <v>20239RMB</v>
      </c>
      <c r="AR1908" s="206" t="str">
        <f t="shared" si="574"/>
        <v>YAMAHA_Non_Mounter</v>
      </c>
      <c r="AS1908" s="22">
        <f t="shared" si="575"/>
        <v>11</v>
      </c>
      <c r="AT1908" s="24" t="str">
        <f t="shared" si="576"/>
        <v>&gt; 6 months</v>
      </c>
    </row>
    <row r="1909" spans="1:46" s="12" customFormat="1">
      <c r="A1909" s="33" t="str">
        <f t="shared" si="564"/>
        <v>FY 22/23</v>
      </c>
      <c r="B1909" s="152">
        <v>2022</v>
      </c>
      <c r="C1909" s="152">
        <v>12</v>
      </c>
      <c r="D1909" s="33" t="str">
        <f t="shared" si="565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66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67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77">IF(W1909="RMB","1.13", "1")</f>
        <v>1.13</v>
      </c>
      <c r="Z1909" s="18">
        <f t="shared" si="559"/>
        <v>600000</v>
      </c>
      <c r="AA1909" s="13">
        <v>1.0900000000000001</v>
      </c>
      <c r="AB1909" s="21">
        <f t="shared" si="568"/>
        <v>578761.06194690277</v>
      </c>
      <c r="AC1909" s="130">
        <f t="shared" si="569"/>
        <v>95553.45132743365</v>
      </c>
      <c r="AD1909" s="169">
        <v>0.1651</v>
      </c>
      <c r="AE1909" s="154">
        <f t="shared" si="570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60"/>
        <v>17329060.066371687</v>
      </c>
      <c r="AJ1909" s="19">
        <f t="shared" si="561"/>
        <v>2472600.2142256643</v>
      </c>
      <c r="AK1909" s="20">
        <f t="shared" si="571"/>
        <v>0.14268518919984163</v>
      </c>
      <c r="AL1909" s="17"/>
      <c r="AM1909" s="17"/>
      <c r="AN1909" s="17"/>
      <c r="AO1909" s="17"/>
      <c r="AP1909" s="28" t="str">
        <f t="shared" si="572"/>
        <v>202212</v>
      </c>
      <c r="AQ1909" s="28" t="str">
        <f t="shared" si="573"/>
        <v>202212RMB</v>
      </c>
      <c r="AR1909" s="206" t="str">
        <f t="shared" si="574"/>
        <v>YAMAHA_Mounter</v>
      </c>
      <c r="AS1909" s="22">
        <f t="shared" si="575"/>
        <v>0</v>
      </c>
      <c r="AT1909" s="24" t="str">
        <f t="shared" si="576"/>
        <v>0-3 months</v>
      </c>
    </row>
    <row r="1910" spans="1:46" s="12" customFormat="1">
      <c r="A1910" s="33" t="str">
        <f t="shared" si="564"/>
        <v>FY 20/21</v>
      </c>
      <c r="B1910" s="152">
        <v>2020</v>
      </c>
      <c r="C1910" s="152">
        <v>11</v>
      </c>
      <c r="D1910" s="33" t="str">
        <f t="shared" si="565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66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67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77"/>
        <v>1</v>
      </c>
      <c r="Z1910" s="18">
        <f t="shared" si="559"/>
        <v>10550000</v>
      </c>
      <c r="AA1910" s="13">
        <v>7.5700000000000003E-2</v>
      </c>
      <c r="AB1910" s="21">
        <f t="shared" si="568"/>
        <v>798635</v>
      </c>
      <c r="AC1910" s="130">
        <f t="shared" si="569"/>
        <v>57341.993000000002</v>
      </c>
      <c r="AD1910" s="169">
        <v>7.1800000000000003E-2</v>
      </c>
      <c r="AE1910" s="154">
        <f t="shared" si="570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60"/>
        <v>31097187.02948761</v>
      </c>
      <c r="AJ1910" s="19">
        <f t="shared" si="561"/>
        <v>3892353.6644401965</v>
      </c>
      <c r="AK1910" s="20">
        <f t="shared" si="571"/>
        <v>0.12516738767237401</v>
      </c>
      <c r="AL1910" s="17"/>
      <c r="AM1910" s="17"/>
      <c r="AN1910" s="17"/>
      <c r="AO1910" s="17"/>
      <c r="AP1910" s="28" t="str">
        <f t="shared" si="572"/>
        <v>20212</v>
      </c>
      <c r="AQ1910" s="28" t="str">
        <f t="shared" si="573"/>
        <v>20212JPY</v>
      </c>
      <c r="AR1910" s="206" t="str">
        <f t="shared" si="574"/>
        <v>YAMAHA_Mounter</v>
      </c>
      <c r="AS1910" s="22">
        <f t="shared" si="575"/>
        <v>3</v>
      </c>
      <c r="AT1910" s="24" t="str">
        <f t="shared" si="576"/>
        <v>0-3 months</v>
      </c>
    </row>
    <row r="1911" spans="1:46" s="12" customFormat="1">
      <c r="A1911" s="33" t="str">
        <f t="shared" si="564"/>
        <v>FY 20/21</v>
      </c>
      <c r="B1911" s="152">
        <v>2020</v>
      </c>
      <c r="C1911" s="152">
        <v>11</v>
      </c>
      <c r="D1911" s="33" t="str">
        <f t="shared" si="565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66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67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77"/>
        <v>1</v>
      </c>
      <c r="Z1911" s="18">
        <f t="shared" si="559"/>
        <v>6400000</v>
      </c>
      <c r="AA1911" s="13">
        <v>7.5700000000000003E-2</v>
      </c>
      <c r="AB1911" s="21">
        <f t="shared" si="568"/>
        <v>484480</v>
      </c>
      <c r="AC1911" s="130">
        <f t="shared" si="569"/>
        <v>34785.664000000004</v>
      </c>
      <c r="AD1911" s="169">
        <v>7.1800000000000003E-2</v>
      </c>
      <c r="AE1911" s="154">
        <f t="shared" si="570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60"/>
        <v>31097187.02948761</v>
      </c>
      <c r="AJ1911" s="19">
        <f t="shared" si="561"/>
        <v>3892353.6644401965</v>
      </c>
      <c r="AK1911" s="20">
        <f t="shared" si="571"/>
        <v>0.12516738767237401</v>
      </c>
      <c r="AL1911" s="17"/>
      <c r="AM1911" s="17"/>
      <c r="AN1911" s="17"/>
      <c r="AO1911" s="17" t="s">
        <v>1541</v>
      </c>
      <c r="AP1911" s="28" t="str">
        <f t="shared" si="572"/>
        <v>20212</v>
      </c>
      <c r="AQ1911" s="28" t="str">
        <f t="shared" si="573"/>
        <v>20212JPY</v>
      </c>
      <c r="AR1911" s="206" t="str">
        <f t="shared" si="574"/>
        <v>YAMAHA_Mounter</v>
      </c>
      <c r="AS1911" s="22">
        <f t="shared" si="575"/>
        <v>3</v>
      </c>
      <c r="AT1911" s="24" t="str">
        <f t="shared" si="576"/>
        <v>0-3 months</v>
      </c>
    </row>
    <row r="1912" spans="1:46" s="12" customFormat="1">
      <c r="A1912" s="33" t="str">
        <f t="shared" si="564"/>
        <v>FY 20/21</v>
      </c>
      <c r="B1912" s="152">
        <v>2020</v>
      </c>
      <c r="C1912" s="152">
        <v>11</v>
      </c>
      <c r="D1912" s="33" t="str">
        <f t="shared" si="565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66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67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77"/>
        <v>1</v>
      </c>
      <c r="Z1912" s="18">
        <f t="shared" si="559"/>
        <v>6400000</v>
      </c>
      <c r="AA1912" s="13">
        <v>7.5700000000000003E-2</v>
      </c>
      <c r="AB1912" s="21">
        <f t="shared" si="568"/>
        <v>484480</v>
      </c>
      <c r="AC1912" s="130">
        <f t="shared" si="569"/>
        <v>34785.664000000004</v>
      </c>
      <c r="AD1912" s="169">
        <v>7.1800000000000003E-2</v>
      </c>
      <c r="AE1912" s="154">
        <f t="shared" si="570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60"/>
        <v>31097187.02948761</v>
      </c>
      <c r="AJ1912" s="19">
        <f t="shared" si="561"/>
        <v>3892353.6644401965</v>
      </c>
      <c r="AK1912" s="20">
        <f t="shared" si="571"/>
        <v>0.12516738767237401</v>
      </c>
      <c r="AL1912" s="17"/>
      <c r="AM1912" s="17"/>
      <c r="AN1912" s="17"/>
      <c r="AO1912" s="17" t="s">
        <v>1541</v>
      </c>
      <c r="AP1912" s="28" t="str">
        <f t="shared" si="572"/>
        <v>20212</v>
      </c>
      <c r="AQ1912" s="28" t="str">
        <f t="shared" si="573"/>
        <v>20212JPY</v>
      </c>
      <c r="AR1912" s="206" t="str">
        <f t="shared" si="574"/>
        <v>YAMAHA_Mounter</v>
      </c>
      <c r="AS1912" s="22">
        <f t="shared" si="575"/>
        <v>3</v>
      </c>
      <c r="AT1912" s="24" t="str">
        <f t="shared" si="576"/>
        <v>0-3 months</v>
      </c>
    </row>
    <row r="1913" spans="1:46" s="12" customFormat="1">
      <c r="A1913" s="33" t="str">
        <f t="shared" si="564"/>
        <v>FY 20/21</v>
      </c>
      <c r="B1913" s="152">
        <v>2020</v>
      </c>
      <c r="C1913" s="152">
        <v>11</v>
      </c>
      <c r="D1913" s="33" t="str">
        <f t="shared" si="565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66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67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77"/>
        <v>1</v>
      </c>
      <c r="Z1913" s="18">
        <f t="shared" si="559"/>
        <v>10550000</v>
      </c>
      <c r="AA1913" s="13">
        <v>7.2099999999999997E-2</v>
      </c>
      <c r="AB1913" s="21">
        <f t="shared" si="568"/>
        <v>760655</v>
      </c>
      <c r="AC1913" s="130">
        <f t="shared" si="569"/>
        <v>54615.029000000002</v>
      </c>
      <c r="AD1913" s="169">
        <v>7.1800000000000003E-2</v>
      </c>
      <c r="AE1913" s="154">
        <f t="shared" si="570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60"/>
        <v>54700260.692079648</v>
      </c>
      <c r="AJ1913" s="19">
        <f t="shared" si="561"/>
        <v>7482899.5749188727</v>
      </c>
      <c r="AK1913" s="20">
        <f t="shared" si="571"/>
        <v>0.13679824337660537</v>
      </c>
      <c r="AL1913" s="17"/>
      <c r="AM1913" s="17"/>
      <c r="AN1913" s="17"/>
      <c r="AO1913" s="17"/>
      <c r="AP1913" s="28" t="str">
        <f t="shared" si="572"/>
        <v>20216</v>
      </c>
      <c r="AQ1913" s="28" t="str">
        <f t="shared" si="573"/>
        <v>20216JPY</v>
      </c>
      <c r="AR1913" s="206" t="str">
        <f t="shared" si="574"/>
        <v>YAMAHA_Mounter</v>
      </c>
      <c r="AS1913" s="22">
        <f t="shared" si="575"/>
        <v>7</v>
      </c>
      <c r="AT1913" s="24" t="str">
        <f t="shared" si="576"/>
        <v>&gt; 6 months</v>
      </c>
    </row>
    <row r="1914" spans="1:46" s="12" customFormat="1">
      <c r="A1914" s="33" t="str">
        <f t="shared" si="564"/>
        <v>FY 20/21</v>
      </c>
      <c r="B1914" s="152">
        <v>2020</v>
      </c>
      <c r="C1914" s="152">
        <v>11</v>
      </c>
      <c r="D1914" s="33" t="str">
        <f t="shared" si="565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66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67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77"/>
        <v>1</v>
      </c>
      <c r="Z1914" s="18">
        <f t="shared" si="559"/>
        <v>10550000</v>
      </c>
      <c r="AA1914" s="13">
        <v>7.2400000000000006E-2</v>
      </c>
      <c r="AB1914" s="21">
        <f t="shared" si="568"/>
        <v>763820.00000000012</v>
      </c>
      <c r="AC1914" s="130">
        <f t="shared" si="569"/>
        <v>54842.276000000013</v>
      </c>
      <c r="AD1914" s="169">
        <v>7.1800000000000003E-2</v>
      </c>
      <c r="AE1914" s="154">
        <f t="shared" si="570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60"/>
        <v>47458373.787610628</v>
      </c>
      <c r="AJ1914" s="19">
        <f t="shared" si="561"/>
        <v>7436880.1411522133</v>
      </c>
      <c r="AK1914" s="20">
        <f t="shared" si="571"/>
        <v>0.15670322321692506</v>
      </c>
      <c r="AL1914" s="17"/>
      <c r="AM1914" s="17"/>
      <c r="AN1914" s="17"/>
      <c r="AO1914" s="17"/>
      <c r="AP1914" s="28" t="str">
        <f t="shared" si="572"/>
        <v>20218</v>
      </c>
      <c r="AQ1914" s="28" t="str">
        <f t="shared" si="573"/>
        <v>20218JPY</v>
      </c>
      <c r="AR1914" s="206" t="str">
        <f t="shared" si="574"/>
        <v>YAMAHA_Mounter</v>
      </c>
      <c r="AS1914" s="22">
        <f t="shared" si="575"/>
        <v>9</v>
      </c>
      <c r="AT1914" s="24" t="str">
        <f t="shared" si="576"/>
        <v>&gt; 6 months</v>
      </c>
    </row>
    <row r="1915" spans="1:46" s="12" customFormat="1">
      <c r="A1915" s="33" t="str">
        <f t="shared" si="564"/>
        <v>FY 20/21</v>
      </c>
      <c r="B1915" s="152">
        <v>2020</v>
      </c>
      <c r="C1915" s="152">
        <v>11</v>
      </c>
      <c r="D1915" s="33" t="str">
        <f t="shared" si="565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66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67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77"/>
        <v>1</v>
      </c>
      <c r="Z1915" s="18">
        <f t="shared" si="559"/>
        <v>10550000</v>
      </c>
      <c r="AA1915" s="13">
        <v>7.2400000000000006E-2</v>
      </c>
      <c r="AB1915" s="21">
        <f t="shared" si="568"/>
        <v>763820.00000000012</v>
      </c>
      <c r="AC1915" s="130">
        <f t="shared" si="569"/>
        <v>54842.276000000013</v>
      </c>
      <c r="AD1915" s="169">
        <v>7.1800000000000003E-2</v>
      </c>
      <c r="AE1915" s="154">
        <f t="shared" si="570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60"/>
        <v>477651199.57437885</v>
      </c>
      <c r="AJ1915" s="19">
        <f t="shared" si="561"/>
        <v>56918800.518691957</v>
      </c>
      <c r="AK1915" s="20">
        <f t="shared" si="571"/>
        <v>0.11916394341605475</v>
      </c>
      <c r="AL1915" s="17"/>
      <c r="AM1915" s="17"/>
      <c r="AN1915" s="17"/>
      <c r="AO1915" s="17"/>
      <c r="AP1915" s="28" t="str">
        <f t="shared" si="572"/>
        <v>CancelCancel</v>
      </c>
      <c r="AQ1915" s="28" t="str">
        <f t="shared" si="573"/>
        <v>CancelCancelJPY</v>
      </c>
      <c r="AR1915" s="206" t="str">
        <f t="shared" si="574"/>
        <v>YAMAHA_Mounter</v>
      </c>
      <c r="AS1915" s="22" t="str">
        <f t="shared" si="575"/>
        <v/>
      </c>
      <c r="AT1915" s="24" t="str">
        <f t="shared" si="576"/>
        <v/>
      </c>
    </row>
    <row r="1916" spans="1:46" s="12" customFormat="1">
      <c r="A1916" s="33" t="str">
        <f t="shared" si="564"/>
        <v>FY 20/21</v>
      </c>
      <c r="B1916" s="152">
        <v>2020</v>
      </c>
      <c r="C1916" s="152">
        <v>11</v>
      </c>
      <c r="D1916" s="33" t="str">
        <f t="shared" si="565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66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67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77"/>
        <v>1</v>
      </c>
      <c r="Z1916" s="18">
        <f t="shared" ref="Z1916:Z1979" si="578">IF(X1916="","",X1916*MAX(O1916,N1916))</f>
        <v>10550000</v>
      </c>
      <c r="AA1916" s="13">
        <v>7.2400000000000006E-2</v>
      </c>
      <c r="AB1916" s="21">
        <f t="shared" si="568"/>
        <v>763820.00000000012</v>
      </c>
      <c r="AC1916" s="130">
        <f t="shared" si="569"/>
        <v>54842.276000000013</v>
      </c>
      <c r="AD1916" s="169">
        <v>7.1800000000000003E-2</v>
      </c>
      <c r="AE1916" s="154">
        <f t="shared" si="570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60"/>
        <v>477651199.57437885</v>
      </c>
      <c r="AJ1916" s="19">
        <f t="shared" si="561"/>
        <v>56918800.518691957</v>
      </c>
      <c r="AK1916" s="20">
        <f t="shared" si="571"/>
        <v>0.11916394341605475</v>
      </c>
      <c r="AL1916" s="17"/>
      <c r="AM1916" s="17"/>
      <c r="AN1916" s="17"/>
      <c r="AO1916" s="17"/>
      <c r="AP1916" s="28" t="str">
        <f t="shared" si="572"/>
        <v>CancelCancel</v>
      </c>
      <c r="AQ1916" s="28" t="str">
        <f t="shared" si="573"/>
        <v>CancelCancelJPY</v>
      </c>
      <c r="AR1916" s="206" t="str">
        <f t="shared" si="574"/>
        <v>YAMAHA_Mounter</v>
      </c>
      <c r="AS1916" s="22" t="str">
        <f t="shared" si="575"/>
        <v/>
      </c>
      <c r="AT1916" s="24" t="str">
        <f t="shared" si="576"/>
        <v/>
      </c>
    </row>
    <row r="1917" spans="1:46" s="12" customFormat="1">
      <c r="A1917" s="33" t="str">
        <f t="shared" si="564"/>
        <v>FY 20/21</v>
      </c>
      <c r="B1917" s="152">
        <v>2020</v>
      </c>
      <c r="C1917" s="152">
        <v>11</v>
      </c>
      <c r="D1917" s="33" t="str">
        <f t="shared" si="565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66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67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77"/>
        <v>1</v>
      </c>
      <c r="Z1917" s="18">
        <f t="shared" si="578"/>
        <v>10550000</v>
      </c>
      <c r="AA1917" s="13">
        <v>7.2400000000000006E-2</v>
      </c>
      <c r="AB1917" s="21">
        <f t="shared" si="568"/>
        <v>763820.00000000012</v>
      </c>
      <c r="AC1917" s="130">
        <f t="shared" si="569"/>
        <v>54842.276000000013</v>
      </c>
      <c r="AD1917" s="169">
        <v>7.1800000000000003E-2</v>
      </c>
      <c r="AE1917" s="154">
        <f t="shared" si="570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60"/>
        <v>477651199.57437885</v>
      </c>
      <c r="AJ1917" s="19">
        <f t="shared" si="561"/>
        <v>56918800.518691957</v>
      </c>
      <c r="AK1917" s="20">
        <f t="shared" si="571"/>
        <v>0.11916394341605475</v>
      </c>
      <c r="AL1917" s="17"/>
      <c r="AM1917" s="17"/>
      <c r="AN1917" s="17"/>
      <c r="AO1917" s="17"/>
      <c r="AP1917" s="28" t="str">
        <f t="shared" si="572"/>
        <v>CancelCancel</v>
      </c>
      <c r="AQ1917" s="28" t="str">
        <f t="shared" si="573"/>
        <v>CancelCancelJPY</v>
      </c>
      <c r="AR1917" s="206" t="str">
        <f t="shared" si="574"/>
        <v>YAMAHA_Mounter</v>
      </c>
      <c r="AS1917" s="22" t="str">
        <f t="shared" si="575"/>
        <v/>
      </c>
      <c r="AT1917" s="24" t="str">
        <f t="shared" si="576"/>
        <v/>
      </c>
    </row>
    <row r="1918" spans="1:46" s="12" customFormat="1">
      <c r="A1918" s="33" t="str">
        <f t="shared" si="564"/>
        <v>FY 20/21</v>
      </c>
      <c r="B1918" s="152">
        <v>2020</v>
      </c>
      <c r="C1918" s="152">
        <v>11</v>
      </c>
      <c r="D1918" s="33" t="str">
        <f t="shared" si="565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66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67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77"/>
        <v>1</v>
      </c>
      <c r="Z1918" s="18">
        <f t="shared" si="578"/>
        <v>10550000</v>
      </c>
      <c r="AA1918" s="13">
        <v>7.2400000000000006E-2</v>
      </c>
      <c r="AB1918" s="21">
        <f t="shared" si="568"/>
        <v>763820.00000000012</v>
      </c>
      <c r="AC1918" s="130">
        <f t="shared" si="569"/>
        <v>54842.276000000013</v>
      </c>
      <c r="AD1918" s="169">
        <v>7.1800000000000003E-2</v>
      </c>
      <c r="AE1918" s="154">
        <f t="shared" si="570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60"/>
        <v>477651199.57437885</v>
      </c>
      <c r="AJ1918" s="19">
        <f t="shared" si="561"/>
        <v>56918800.518691957</v>
      </c>
      <c r="AK1918" s="20">
        <f t="shared" si="571"/>
        <v>0.11916394341605475</v>
      </c>
      <c r="AL1918" s="17"/>
      <c r="AM1918" s="17"/>
      <c r="AN1918" s="17"/>
      <c r="AO1918" s="17"/>
      <c r="AP1918" s="28" t="str">
        <f t="shared" si="572"/>
        <v>CancelCancel</v>
      </c>
      <c r="AQ1918" s="28" t="str">
        <f t="shared" si="573"/>
        <v>CancelCancelJPY</v>
      </c>
      <c r="AR1918" s="206" t="str">
        <f t="shared" si="574"/>
        <v>YAMAHA_Mounter</v>
      </c>
      <c r="AS1918" s="22" t="str">
        <f t="shared" si="575"/>
        <v/>
      </c>
      <c r="AT1918" s="24" t="str">
        <f t="shared" si="576"/>
        <v/>
      </c>
    </row>
    <row r="1919" spans="1:46" s="12" customFormat="1">
      <c r="A1919" s="33" t="str">
        <f t="shared" si="564"/>
        <v>FY 20/21</v>
      </c>
      <c r="B1919" s="152">
        <v>2020</v>
      </c>
      <c r="C1919" s="152">
        <v>11</v>
      </c>
      <c r="D1919" s="33" t="str">
        <f t="shared" si="565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66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67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77"/>
        <v>1</v>
      </c>
      <c r="Z1919" s="18">
        <f t="shared" si="578"/>
        <v>10550000</v>
      </c>
      <c r="AA1919" s="13">
        <v>7.2400000000000006E-2</v>
      </c>
      <c r="AB1919" s="21">
        <f t="shared" si="568"/>
        <v>763820.00000000012</v>
      </c>
      <c r="AC1919" s="130">
        <f t="shared" si="569"/>
        <v>54842.276000000013</v>
      </c>
      <c r="AD1919" s="169">
        <v>7.1800000000000003E-2</v>
      </c>
      <c r="AE1919" s="154">
        <f t="shared" si="570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60"/>
        <v>477651199.57437885</v>
      </c>
      <c r="AJ1919" s="19">
        <f t="shared" si="561"/>
        <v>56918800.518691957</v>
      </c>
      <c r="AK1919" s="20">
        <f t="shared" si="571"/>
        <v>0.11916394341605475</v>
      </c>
      <c r="AL1919" s="17"/>
      <c r="AM1919" s="17"/>
      <c r="AN1919" s="17"/>
      <c r="AO1919" s="17"/>
      <c r="AP1919" s="28" t="str">
        <f t="shared" si="572"/>
        <v>CancelCancel</v>
      </c>
      <c r="AQ1919" s="28" t="str">
        <f t="shared" si="573"/>
        <v>CancelCancelJPY</v>
      </c>
      <c r="AR1919" s="206" t="str">
        <f t="shared" si="574"/>
        <v>YAMAHA_Mounter</v>
      </c>
      <c r="AS1919" s="22" t="str">
        <f t="shared" si="575"/>
        <v/>
      </c>
      <c r="AT1919" s="24" t="str">
        <f t="shared" si="576"/>
        <v/>
      </c>
    </row>
    <row r="1920" spans="1:46" s="12" customFormat="1">
      <c r="A1920" s="33" t="str">
        <f t="shared" si="564"/>
        <v>FY 20/21</v>
      </c>
      <c r="B1920" s="152">
        <v>2020</v>
      </c>
      <c r="C1920" s="152">
        <v>11</v>
      </c>
      <c r="D1920" s="33" t="str">
        <f t="shared" si="565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66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67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77"/>
        <v>1</v>
      </c>
      <c r="Z1920" s="18">
        <f t="shared" si="578"/>
        <v>10550000</v>
      </c>
      <c r="AA1920" s="13">
        <v>7.2400000000000006E-2</v>
      </c>
      <c r="AB1920" s="21">
        <f t="shared" si="568"/>
        <v>763820.00000000012</v>
      </c>
      <c r="AC1920" s="130">
        <f t="shared" si="569"/>
        <v>54842.276000000013</v>
      </c>
      <c r="AD1920" s="169">
        <v>7.1800000000000003E-2</v>
      </c>
      <c r="AE1920" s="154">
        <f t="shared" si="570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60"/>
        <v>477651199.57437885</v>
      </c>
      <c r="AJ1920" s="19">
        <f t="shared" si="561"/>
        <v>56918800.518691957</v>
      </c>
      <c r="AK1920" s="20">
        <f t="shared" si="571"/>
        <v>0.11916394341605475</v>
      </c>
      <c r="AL1920" s="17"/>
      <c r="AM1920" s="17"/>
      <c r="AN1920" s="17"/>
      <c r="AO1920" s="17"/>
      <c r="AP1920" s="28" t="str">
        <f t="shared" si="572"/>
        <v>CancelCancel</v>
      </c>
      <c r="AQ1920" s="28" t="str">
        <f t="shared" si="573"/>
        <v>CancelCancelJPY</v>
      </c>
      <c r="AR1920" s="206" t="str">
        <f t="shared" si="574"/>
        <v>YAMAHA_Mounter</v>
      </c>
      <c r="AS1920" s="22" t="str">
        <f t="shared" si="575"/>
        <v/>
      </c>
      <c r="AT1920" s="24" t="str">
        <f t="shared" si="576"/>
        <v/>
      </c>
    </row>
    <row r="1921" spans="1:46" s="12" customFormat="1">
      <c r="A1921" s="33" t="str">
        <f t="shared" si="564"/>
        <v>FY 20/21</v>
      </c>
      <c r="B1921" s="152">
        <v>2020</v>
      </c>
      <c r="C1921" s="152">
        <v>11</v>
      </c>
      <c r="D1921" s="33" t="str">
        <f t="shared" si="565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66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67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77"/>
        <v>1</v>
      </c>
      <c r="Z1921" s="18">
        <f t="shared" si="578"/>
        <v>10550000</v>
      </c>
      <c r="AA1921" s="13">
        <v>7.2400000000000006E-2</v>
      </c>
      <c r="AB1921" s="21">
        <f t="shared" si="568"/>
        <v>763820.00000000012</v>
      </c>
      <c r="AC1921" s="130">
        <f t="shared" si="569"/>
        <v>54842.276000000013</v>
      </c>
      <c r="AD1921" s="169">
        <v>7.1800000000000003E-2</v>
      </c>
      <c r="AE1921" s="154">
        <f t="shared" si="570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60"/>
        <v>477651199.57437885</v>
      </c>
      <c r="AJ1921" s="19">
        <f t="shared" si="561"/>
        <v>56918800.518691957</v>
      </c>
      <c r="AK1921" s="20">
        <f t="shared" si="571"/>
        <v>0.11916394341605475</v>
      </c>
      <c r="AL1921" s="17"/>
      <c r="AM1921" s="17"/>
      <c r="AN1921" s="17"/>
      <c r="AO1921" s="17"/>
      <c r="AP1921" s="28" t="str">
        <f t="shared" si="572"/>
        <v>CancelCancel</v>
      </c>
      <c r="AQ1921" s="28" t="str">
        <f t="shared" si="573"/>
        <v>CancelCancelJPY</v>
      </c>
      <c r="AR1921" s="206" t="str">
        <f t="shared" si="574"/>
        <v>YAMAHA_Mounter</v>
      </c>
      <c r="AS1921" s="22" t="str">
        <f t="shared" si="575"/>
        <v/>
      </c>
      <c r="AT1921" s="24" t="str">
        <f t="shared" si="576"/>
        <v/>
      </c>
    </row>
    <row r="1922" spans="1:46" s="12" customFormat="1">
      <c r="A1922" s="33" t="str">
        <f t="shared" si="564"/>
        <v>FY 20/21</v>
      </c>
      <c r="B1922" s="152">
        <v>2020</v>
      </c>
      <c r="C1922" s="152">
        <v>11</v>
      </c>
      <c r="D1922" s="33" t="str">
        <f t="shared" si="565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66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67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77"/>
        <v>1</v>
      </c>
      <c r="Z1922" s="18">
        <f t="shared" si="578"/>
        <v>6400000</v>
      </c>
      <c r="AA1922" s="13">
        <v>7.2400000000000006E-2</v>
      </c>
      <c r="AB1922" s="21">
        <f t="shared" si="568"/>
        <v>463360.00000000006</v>
      </c>
      <c r="AC1922" s="130">
        <f t="shared" si="569"/>
        <v>33269.248000000007</v>
      </c>
      <c r="AD1922" s="169">
        <v>7.1800000000000003E-2</v>
      </c>
      <c r="AE1922" s="154">
        <f t="shared" si="570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79">IF(P1922="C66 SERVICE","",SUMIFS(AB:AB,F:F,F1922,G:G,G1922,E:E,E1922))</f>
        <v>477651199.57437885</v>
      </c>
      <c r="AJ1922" s="19">
        <f t="shared" ref="AJ1922:AJ1985" si="580">IF(P1922="C66 SERVICE","",SUMIFS(AC:AC,F:F,F1922,G:G,G1922,E:E,E1922))</f>
        <v>56918800.518691957</v>
      </c>
      <c r="AK1922" s="20">
        <f t="shared" si="571"/>
        <v>0.11916394341605475</v>
      </c>
      <c r="AL1922" s="17"/>
      <c r="AM1922" s="17"/>
      <c r="AN1922" s="17"/>
      <c r="AO1922" s="17"/>
      <c r="AP1922" s="28" t="str">
        <f t="shared" si="572"/>
        <v>CancelCancel</v>
      </c>
      <c r="AQ1922" s="28" t="str">
        <f t="shared" si="573"/>
        <v>CancelCancelJPY</v>
      </c>
      <c r="AR1922" s="206" t="str">
        <f t="shared" si="574"/>
        <v>YAMAHA_Mounter</v>
      </c>
      <c r="AS1922" s="22" t="str">
        <f t="shared" si="575"/>
        <v/>
      </c>
      <c r="AT1922" s="24" t="str">
        <f t="shared" si="576"/>
        <v/>
      </c>
    </row>
    <row r="1923" spans="1:46" s="12" customFormat="1">
      <c r="A1923" s="33" t="str">
        <f t="shared" si="564"/>
        <v>FY 20/21</v>
      </c>
      <c r="B1923" s="152">
        <v>2020</v>
      </c>
      <c r="C1923" s="152">
        <v>11</v>
      </c>
      <c r="D1923" s="33" t="str">
        <f t="shared" si="565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66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67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77"/>
        <v>1</v>
      </c>
      <c r="Z1923" s="18">
        <f t="shared" si="578"/>
        <v>6400000</v>
      </c>
      <c r="AA1923" s="13">
        <v>7.2400000000000006E-2</v>
      </c>
      <c r="AB1923" s="21">
        <f t="shared" si="568"/>
        <v>463360.00000000006</v>
      </c>
      <c r="AC1923" s="130">
        <f t="shared" si="569"/>
        <v>33269.248000000007</v>
      </c>
      <c r="AD1923" s="169">
        <v>7.1800000000000003E-2</v>
      </c>
      <c r="AE1923" s="154">
        <f t="shared" si="570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79"/>
        <v>477651199.57437885</v>
      </c>
      <c r="AJ1923" s="19">
        <f t="shared" si="580"/>
        <v>56918800.518691957</v>
      </c>
      <c r="AK1923" s="20">
        <f t="shared" si="571"/>
        <v>0.11916394341605475</v>
      </c>
      <c r="AL1923" s="17"/>
      <c r="AM1923" s="17"/>
      <c r="AN1923" s="17"/>
      <c r="AO1923" s="17"/>
      <c r="AP1923" s="28" t="str">
        <f t="shared" si="572"/>
        <v>CancelCancel</v>
      </c>
      <c r="AQ1923" s="28" t="str">
        <f t="shared" si="573"/>
        <v>CancelCancelJPY</v>
      </c>
      <c r="AR1923" s="206" t="str">
        <f t="shared" si="574"/>
        <v>YAMAHA_Mounter</v>
      </c>
      <c r="AS1923" s="22" t="str">
        <f t="shared" si="575"/>
        <v/>
      </c>
      <c r="AT1923" s="24" t="str">
        <f t="shared" si="576"/>
        <v/>
      </c>
    </row>
    <row r="1924" spans="1:46" s="12" customFormat="1">
      <c r="A1924" s="33" t="str">
        <f t="shared" si="564"/>
        <v>FY 20/21</v>
      </c>
      <c r="B1924" s="152">
        <v>2020</v>
      </c>
      <c r="C1924" s="152">
        <v>11</v>
      </c>
      <c r="D1924" s="33" t="str">
        <f t="shared" si="565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66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67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77"/>
        <v>1</v>
      </c>
      <c r="Z1924" s="18">
        <f t="shared" si="578"/>
        <v>6400000</v>
      </c>
      <c r="AA1924" s="13">
        <v>7.2400000000000006E-2</v>
      </c>
      <c r="AB1924" s="21">
        <f t="shared" si="568"/>
        <v>463360.00000000006</v>
      </c>
      <c r="AC1924" s="130">
        <f t="shared" si="569"/>
        <v>33269.248000000007</v>
      </c>
      <c r="AD1924" s="169">
        <v>7.1800000000000003E-2</v>
      </c>
      <c r="AE1924" s="154">
        <f t="shared" si="570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79"/>
        <v>477651199.57437885</v>
      </c>
      <c r="AJ1924" s="19">
        <f t="shared" si="580"/>
        <v>56918800.518691957</v>
      </c>
      <c r="AK1924" s="20">
        <f t="shared" si="571"/>
        <v>0.11916394341605475</v>
      </c>
      <c r="AL1924" s="17"/>
      <c r="AM1924" s="17"/>
      <c r="AN1924" s="17"/>
      <c r="AO1924" s="17"/>
      <c r="AP1924" s="28" t="str">
        <f t="shared" si="572"/>
        <v>CancelCancel</v>
      </c>
      <c r="AQ1924" s="28" t="str">
        <f t="shared" si="573"/>
        <v>CancelCancelJPY</v>
      </c>
      <c r="AR1924" s="206" t="str">
        <f t="shared" si="574"/>
        <v>YAMAHA_Mounter</v>
      </c>
      <c r="AS1924" s="22" t="str">
        <f t="shared" si="575"/>
        <v/>
      </c>
      <c r="AT1924" s="24" t="str">
        <f t="shared" si="576"/>
        <v/>
      </c>
    </row>
    <row r="1925" spans="1:46" s="12" customFormat="1">
      <c r="A1925" s="33" t="str">
        <f t="shared" si="564"/>
        <v>FY 17/18</v>
      </c>
      <c r="B1925" s="152">
        <v>2018</v>
      </c>
      <c r="C1925" s="152">
        <v>3</v>
      </c>
      <c r="D1925" s="33" t="str">
        <f t="shared" si="565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66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67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78"/>
        <v>16833680</v>
      </c>
      <c r="AA1925" s="13">
        <v>7.2099999999999997E-2</v>
      </c>
      <c r="AB1925" s="21">
        <f t="shared" si="568"/>
        <v>1213708.328</v>
      </c>
      <c r="AC1925" s="130">
        <f t="shared" si="569"/>
        <v>205602.19076319999</v>
      </c>
      <c r="AD1925" s="169">
        <v>0.1694</v>
      </c>
      <c r="AE1925" s="154">
        <f t="shared" si="570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79"/>
        <v>26754147.763010349</v>
      </c>
      <c r="AJ1925" s="19">
        <f t="shared" si="580"/>
        <v>3429137.9965357962</v>
      </c>
      <c r="AK1925" s="20">
        <f t="shared" si="571"/>
        <v>0.12817220069617921</v>
      </c>
      <c r="AL1925" s="17"/>
      <c r="AM1925" s="17"/>
      <c r="AN1925" s="17"/>
      <c r="AO1925" s="17"/>
      <c r="AP1925" s="28" t="str">
        <f t="shared" si="572"/>
        <v>20188</v>
      </c>
      <c r="AQ1925" s="28" t="str">
        <f t="shared" si="573"/>
        <v>20188JPY</v>
      </c>
      <c r="AR1925" s="206" t="str">
        <f t="shared" si="574"/>
        <v>YAMAHA_Mounter</v>
      </c>
      <c r="AS1925" s="22">
        <f t="shared" si="575"/>
        <v>5</v>
      </c>
      <c r="AT1925" s="24" t="str">
        <f t="shared" si="576"/>
        <v>4-6 months</v>
      </c>
    </row>
    <row r="1926" spans="1:46" s="12" customFormat="1">
      <c r="A1926" s="33" t="str">
        <f t="shared" si="564"/>
        <v>FY 17/18</v>
      </c>
      <c r="B1926" s="152">
        <v>2018</v>
      </c>
      <c r="C1926" s="152">
        <v>3</v>
      </c>
      <c r="D1926" s="33" t="str">
        <f t="shared" si="565"/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si="566"/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si="567"/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78"/>
        <v>14820000</v>
      </c>
      <c r="AA1926" s="13">
        <v>7.2300000000000003E-2</v>
      </c>
      <c r="AB1926" s="21">
        <f t="shared" si="568"/>
        <v>1071486</v>
      </c>
      <c r="AC1926" s="130">
        <f t="shared" si="569"/>
        <v>128578.31999999999</v>
      </c>
      <c r="AD1926" s="169">
        <v>0.12</v>
      </c>
      <c r="AE1926" s="154">
        <f t="shared" si="570"/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79"/>
        <v>477651199.57437885</v>
      </c>
      <c r="AJ1926" s="19">
        <f t="shared" si="580"/>
        <v>56918800.518691957</v>
      </c>
      <c r="AK1926" s="20">
        <f t="shared" si="571"/>
        <v>0.11916394341605475</v>
      </c>
      <c r="AL1926" s="17"/>
      <c r="AM1926" s="17"/>
      <c r="AN1926" s="17"/>
      <c r="AO1926" s="17"/>
      <c r="AP1926" s="28" t="str">
        <f t="shared" si="572"/>
        <v>CancelCancel</v>
      </c>
      <c r="AQ1926" s="28" t="str">
        <f t="shared" si="573"/>
        <v>CancelCancelJPY</v>
      </c>
      <c r="AR1926" s="206" t="str">
        <f t="shared" si="574"/>
        <v>YAMAHA_Mounter</v>
      </c>
      <c r="AS1926" s="22" t="str">
        <f t="shared" si="575"/>
        <v/>
      </c>
      <c r="AT1926" s="24" t="str">
        <f t="shared" si="576"/>
        <v/>
      </c>
    </row>
    <row r="1927" spans="1:46" s="12" customFormat="1">
      <c r="A1927" s="33" t="str">
        <f t="shared" si="564"/>
        <v>FY 19/20</v>
      </c>
      <c r="B1927" s="152">
        <v>2020</v>
      </c>
      <c r="C1927" s="152">
        <v>3</v>
      </c>
      <c r="D1927" s="33" t="str">
        <f t="shared" si="565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66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67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78"/>
        <v>17593685</v>
      </c>
      <c r="AA1927" s="13">
        <v>7.3599999999999999E-2</v>
      </c>
      <c r="AB1927" s="21">
        <f t="shared" si="568"/>
        <v>1294895.216</v>
      </c>
      <c r="AC1927" s="130">
        <f t="shared" si="569"/>
        <v>181414.8197616</v>
      </c>
      <c r="AD1927" s="169">
        <v>0.1401</v>
      </c>
      <c r="AE1927" s="154">
        <f t="shared" si="570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9"/>
        <v>33477255.428389374</v>
      </c>
      <c r="AJ1927" s="19">
        <f t="shared" si="580"/>
        <v>4578663.362915583</v>
      </c>
      <c r="AK1927" s="20">
        <f t="shared" si="571"/>
        <v>0.13676937682988152</v>
      </c>
      <c r="AL1927" s="17"/>
      <c r="AM1927" s="17"/>
      <c r="AN1927" s="17"/>
      <c r="AO1927" s="17"/>
      <c r="AP1927" s="28" t="str">
        <f t="shared" si="572"/>
        <v>20204</v>
      </c>
      <c r="AQ1927" s="28" t="str">
        <f t="shared" si="573"/>
        <v>20204JPY</v>
      </c>
      <c r="AR1927" s="206" t="str">
        <f t="shared" si="574"/>
        <v>YAMAHA_Mounter</v>
      </c>
      <c r="AS1927" s="22">
        <f t="shared" si="575"/>
        <v>1</v>
      </c>
      <c r="AT1927" s="24" t="str">
        <f t="shared" si="576"/>
        <v>0-3 months</v>
      </c>
    </row>
    <row r="1928" spans="1:46" s="12" customFormat="1">
      <c r="A1928" s="33" t="str">
        <f t="shared" si="564"/>
        <v>FY 20/21</v>
      </c>
      <c r="B1928" s="152">
        <v>2021</v>
      </c>
      <c r="C1928" s="152">
        <v>3</v>
      </c>
      <c r="D1928" s="33" t="str">
        <f t="shared" si="565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66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67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78"/>
        <v>11200000</v>
      </c>
      <c r="AA1928" s="13">
        <v>7.2099999999999997E-2</v>
      </c>
      <c r="AB1928" s="21">
        <f t="shared" si="568"/>
        <v>807520</v>
      </c>
      <c r="AC1928" s="130">
        <f t="shared" si="569"/>
        <v>103685.56799999998</v>
      </c>
      <c r="AD1928" s="169">
        <v>0.12839999999999999</v>
      </c>
      <c r="AE1928" s="154">
        <f t="shared" si="570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9"/>
        <v>54700260.692079648</v>
      </c>
      <c r="AJ1928" s="19">
        <f t="shared" si="580"/>
        <v>7482899.5749188727</v>
      </c>
      <c r="AK1928" s="20">
        <f t="shared" si="571"/>
        <v>0.13679824337660537</v>
      </c>
      <c r="AL1928" s="17"/>
      <c r="AM1928" s="17"/>
      <c r="AN1928" s="17"/>
      <c r="AO1928" s="17"/>
      <c r="AP1928" s="28" t="str">
        <f t="shared" si="572"/>
        <v>20216</v>
      </c>
      <c r="AQ1928" s="28" t="str">
        <f t="shared" si="573"/>
        <v>20216JPY</v>
      </c>
      <c r="AR1928" s="206" t="str">
        <f t="shared" si="574"/>
        <v>YAMAHA_Mounter</v>
      </c>
      <c r="AS1928" s="22">
        <f t="shared" si="575"/>
        <v>3</v>
      </c>
      <c r="AT1928" s="24" t="str">
        <f t="shared" si="576"/>
        <v>0-3 months</v>
      </c>
    </row>
    <row r="1929" spans="1:46" s="12" customFormat="1">
      <c r="A1929" s="33" t="str">
        <f t="shared" si="564"/>
        <v>FY 21/22</v>
      </c>
      <c r="B1929" s="152">
        <v>2022</v>
      </c>
      <c r="C1929" s="152">
        <v>3</v>
      </c>
      <c r="D1929" s="33" t="str">
        <f t="shared" si="565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66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67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78"/>
        <v>900000</v>
      </c>
      <c r="AA1929" s="13">
        <v>1.22</v>
      </c>
      <c r="AB1929" s="21">
        <f t="shared" si="568"/>
        <v>971681.41592920362</v>
      </c>
      <c r="AC1929" s="130">
        <f t="shared" si="569"/>
        <v>102415.22123893806</v>
      </c>
      <c r="AD1929" s="169">
        <v>0.10539999999999999</v>
      </c>
      <c r="AE1929" s="154">
        <f t="shared" si="570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9"/>
        <v>46600814.041769907</v>
      </c>
      <c r="AJ1929" s="19">
        <f t="shared" si="580"/>
        <v>5956366.3435927071</v>
      </c>
      <c r="AK1929" s="20">
        <f t="shared" si="571"/>
        <v>0.1278167874546958</v>
      </c>
      <c r="AL1929" s="17"/>
      <c r="AM1929" s="17"/>
      <c r="AN1929" s="17"/>
      <c r="AO1929" s="17" t="s">
        <v>2149</v>
      </c>
      <c r="AP1929" s="28" t="str">
        <f t="shared" si="572"/>
        <v>20224</v>
      </c>
      <c r="AQ1929" s="28" t="str">
        <f t="shared" si="573"/>
        <v>20224RMB</v>
      </c>
      <c r="AR1929" s="206" t="str">
        <f t="shared" si="574"/>
        <v>YAMAHA_Mounter</v>
      </c>
      <c r="AS1929" s="22">
        <f t="shared" si="575"/>
        <v>1</v>
      </c>
      <c r="AT1929" s="24" t="str">
        <f t="shared" si="576"/>
        <v>0-3 months</v>
      </c>
    </row>
    <row r="1930" spans="1:46" s="12" customFormat="1">
      <c r="A1930" s="33" t="str">
        <f t="shared" si="564"/>
        <v>FY 22/23</v>
      </c>
      <c r="B1930" s="152">
        <v>2022</v>
      </c>
      <c r="C1930" s="152">
        <v>7</v>
      </c>
      <c r="D1930" s="33" t="str">
        <f t="shared" si="565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66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67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si="578"/>
        <v>860640</v>
      </c>
      <c r="AA1930" s="13">
        <v>1.163</v>
      </c>
      <c r="AB1930" s="21">
        <f t="shared" si="568"/>
        <v>885773.73451327451</v>
      </c>
      <c r="AC1930" s="130">
        <f t="shared" si="569"/>
        <v>111341.75842831862</v>
      </c>
      <c r="AD1930" s="169">
        <v>0.12570000000000001</v>
      </c>
      <c r="AE1930" s="154">
        <f t="shared" si="570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9"/>
        <v>35073581.838938057</v>
      </c>
      <c r="AJ1930" s="19">
        <f t="shared" si="580"/>
        <v>5034113.9728989396</v>
      </c>
      <c r="AK1930" s="20">
        <f t="shared" si="571"/>
        <v>0.14353007902118958</v>
      </c>
      <c r="AL1930" s="17"/>
      <c r="AM1930" s="17"/>
      <c r="AN1930" s="17"/>
      <c r="AO1930" s="17"/>
      <c r="AP1930" s="28" t="str">
        <f t="shared" si="572"/>
        <v>20228</v>
      </c>
      <c r="AQ1930" s="28" t="str">
        <f t="shared" si="573"/>
        <v>20228RMB</v>
      </c>
      <c r="AR1930" s="206" t="str">
        <f t="shared" si="574"/>
        <v>YAMAHA_Mounter</v>
      </c>
      <c r="AS1930" s="22">
        <f t="shared" si="575"/>
        <v>1</v>
      </c>
      <c r="AT1930" s="24" t="str">
        <f t="shared" si="576"/>
        <v>0-3 months</v>
      </c>
    </row>
    <row r="1931" spans="1:46" s="12" customFormat="1">
      <c r="A1931" s="33" t="str">
        <f t="shared" si="564"/>
        <v>FY 20/21</v>
      </c>
      <c r="B1931" s="152">
        <v>2020</v>
      </c>
      <c r="C1931" s="152">
        <v>9</v>
      </c>
      <c r="D1931" s="33" t="str">
        <f t="shared" si="565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66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67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78"/>
        <v>8500000</v>
      </c>
      <c r="AA1931" s="13">
        <v>7.6100000000000001E-2</v>
      </c>
      <c r="AB1931" s="21">
        <f t="shared" si="568"/>
        <v>646850</v>
      </c>
      <c r="AC1931" s="130">
        <f t="shared" si="569"/>
        <v>68630.785000000003</v>
      </c>
      <c r="AD1931" s="169">
        <v>0.1061</v>
      </c>
      <c r="AE1931" s="154">
        <f t="shared" si="570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9"/>
        <v>48763143.537654862</v>
      </c>
      <c r="AJ1931" s="19">
        <f t="shared" si="580"/>
        <v>5924029.9702154724</v>
      </c>
      <c r="AK1931" s="20">
        <f t="shared" si="571"/>
        <v>0.1214858095774925</v>
      </c>
      <c r="AL1931" s="17"/>
      <c r="AM1931" s="17"/>
      <c r="AN1931" s="17"/>
      <c r="AO1931" s="17" t="s">
        <v>1441</v>
      </c>
      <c r="AP1931" s="28" t="str">
        <f t="shared" si="572"/>
        <v>202012</v>
      </c>
      <c r="AQ1931" s="28" t="str">
        <f t="shared" si="573"/>
        <v>202012JPY</v>
      </c>
      <c r="AR1931" s="206" t="str">
        <f t="shared" si="574"/>
        <v>YAMAHA_Mounter</v>
      </c>
      <c r="AS1931" s="22">
        <f t="shared" si="575"/>
        <v>3</v>
      </c>
      <c r="AT1931" s="24" t="str">
        <f t="shared" si="576"/>
        <v>0-3 months</v>
      </c>
    </row>
    <row r="1932" spans="1:46" s="12" customFormat="1">
      <c r="A1932" s="33" t="str">
        <f t="shared" si="564"/>
        <v>FY 19/20</v>
      </c>
      <c r="B1932" s="152">
        <v>2019</v>
      </c>
      <c r="C1932" s="152">
        <v>8</v>
      </c>
      <c r="D1932" s="33" t="str">
        <f t="shared" si="565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66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67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78"/>
        <v>1200000</v>
      </c>
      <c r="AA1932" s="13">
        <v>1.095</v>
      </c>
      <c r="AB1932" s="21">
        <f t="shared" si="568"/>
        <v>1162831.8584070797</v>
      </c>
      <c r="AC1932" s="130">
        <f t="shared" si="569"/>
        <v>153261.23893805311</v>
      </c>
      <c r="AD1932" s="169">
        <v>0.1318</v>
      </c>
      <c r="AE1932" s="154">
        <f t="shared" si="570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9"/>
        <v>28647263.974455759</v>
      </c>
      <c r="AJ1932" s="19">
        <f t="shared" si="580"/>
        <v>3219855.6912513468</v>
      </c>
      <c r="AK1932" s="20">
        <f t="shared" si="571"/>
        <v>0.11239662168514358</v>
      </c>
      <c r="AL1932" s="17"/>
      <c r="AM1932" s="17"/>
      <c r="AN1932" s="17"/>
      <c r="AO1932" s="17"/>
      <c r="AP1932" s="28" t="str">
        <f t="shared" si="572"/>
        <v>201910</v>
      </c>
      <c r="AQ1932" s="28" t="str">
        <f t="shared" si="573"/>
        <v>201910RMB</v>
      </c>
      <c r="AR1932" s="206" t="str">
        <f t="shared" si="574"/>
        <v>YAMAHA_Mounter</v>
      </c>
      <c r="AS1932" s="22">
        <f t="shared" si="575"/>
        <v>2</v>
      </c>
      <c r="AT1932" s="24" t="str">
        <f t="shared" si="576"/>
        <v>0-3 months</v>
      </c>
    </row>
    <row r="1933" spans="1:46" s="12" customFormat="1">
      <c r="A1933" s="33" t="str">
        <f t="shared" si="564"/>
        <v>FY 19/20</v>
      </c>
      <c r="B1933" s="152">
        <v>2019</v>
      </c>
      <c r="C1933" s="152">
        <v>8</v>
      </c>
      <c r="D1933" s="33" t="str">
        <f t="shared" si="565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66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67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78"/>
        <v>800000</v>
      </c>
      <c r="AA1933" s="13">
        <v>1.095</v>
      </c>
      <c r="AB1933" s="21">
        <f t="shared" si="568"/>
        <v>775221.23893805314</v>
      </c>
      <c r="AC1933" s="130">
        <f t="shared" si="569"/>
        <v>102174.1592920354</v>
      </c>
      <c r="AD1933" s="169">
        <v>0.1318</v>
      </c>
      <c r="AE1933" s="154">
        <f t="shared" si="570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9"/>
        <v>28647263.974455759</v>
      </c>
      <c r="AJ1933" s="19">
        <f t="shared" si="580"/>
        <v>3219855.6912513468</v>
      </c>
      <c r="AK1933" s="20">
        <f t="shared" si="571"/>
        <v>0.11239662168514358</v>
      </c>
      <c r="AL1933" s="17"/>
      <c r="AM1933" s="17"/>
      <c r="AN1933" s="17"/>
      <c r="AO1933" s="17"/>
      <c r="AP1933" s="28" t="str">
        <f t="shared" si="572"/>
        <v>201910</v>
      </c>
      <c r="AQ1933" s="28" t="str">
        <f t="shared" si="573"/>
        <v>201910RMB</v>
      </c>
      <c r="AR1933" s="206" t="str">
        <f t="shared" si="574"/>
        <v>YAMAHA_Mounter</v>
      </c>
      <c r="AS1933" s="22">
        <f t="shared" si="575"/>
        <v>2</v>
      </c>
      <c r="AT1933" s="24" t="str">
        <f t="shared" si="576"/>
        <v>0-3 months</v>
      </c>
    </row>
    <row r="1934" spans="1:46" s="12" customFormat="1">
      <c r="A1934" s="33" t="str">
        <f t="shared" si="564"/>
        <v>FY 19/20</v>
      </c>
      <c r="B1934" s="152">
        <v>2019</v>
      </c>
      <c r="C1934" s="152">
        <v>8</v>
      </c>
      <c r="D1934" s="33" t="str">
        <f t="shared" si="565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66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67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78"/>
        <v>800000</v>
      </c>
      <c r="AA1934" s="13">
        <v>1.095</v>
      </c>
      <c r="AB1934" s="21">
        <f t="shared" si="568"/>
        <v>775221.23893805314</v>
      </c>
      <c r="AC1934" s="130">
        <f t="shared" si="569"/>
        <v>102174.1592920354</v>
      </c>
      <c r="AD1934" s="169">
        <v>0.1318</v>
      </c>
      <c r="AE1934" s="154">
        <f t="shared" si="570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9"/>
        <v>28647263.974455759</v>
      </c>
      <c r="AJ1934" s="19">
        <f t="shared" si="580"/>
        <v>3219855.6912513468</v>
      </c>
      <c r="AK1934" s="20">
        <f t="shared" si="571"/>
        <v>0.11239662168514358</v>
      </c>
      <c r="AL1934" s="17"/>
      <c r="AM1934" s="17"/>
      <c r="AN1934" s="17"/>
      <c r="AO1934" s="17"/>
      <c r="AP1934" s="28" t="str">
        <f t="shared" si="572"/>
        <v>201910</v>
      </c>
      <c r="AQ1934" s="28" t="str">
        <f t="shared" si="573"/>
        <v>201910RMB</v>
      </c>
      <c r="AR1934" s="206" t="str">
        <f t="shared" si="574"/>
        <v>YAMAHA_Mounter</v>
      </c>
      <c r="AS1934" s="22">
        <f t="shared" si="575"/>
        <v>2</v>
      </c>
      <c r="AT1934" s="24" t="str">
        <f t="shared" si="576"/>
        <v>0-3 months</v>
      </c>
    </row>
    <row r="1935" spans="1:46" s="12" customFormat="1">
      <c r="A1935" s="33" t="str">
        <f t="shared" si="564"/>
        <v>FY 24/25</v>
      </c>
      <c r="B1935" s="23">
        <v>2024</v>
      </c>
      <c r="C1935" s="152">
        <v>4</v>
      </c>
      <c r="D1935" s="33" t="str">
        <f t="shared" si="565"/>
        <v>Q1</v>
      </c>
      <c r="E1935" s="33" t="str">
        <f>IF(G1935="Cancel","Cancel",IF(G1935="TBA","TBA",IFERROR(IF(I1935="Q4","FY "&amp;RIGHT(F1935,2)-1&amp;"/"&amp;RIGHT(F1935,2),"FY "&amp;RIGHT(F1935,2)&amp;"/"&amp;RIGHT(F1935,2)+1),"")))</f>
        <v>FY 24/25</v>
      </c>
      <c r="F1935" s="23">
        <v>2024</v>
      </c>
      <c r="G1935" s="23">
        <v>7</v>
      </c>
      <c r="H1935" s="29"/>
      <c r="I1935" s="33" t="str">
        <f t="shared" si="566"/>
        <v>Q2</v>
      </c>
      <c r="J1935" s="188" t="s">
        <v>3413</v>
      </c>
      <c r="K1935" s="29" t="s">
        <v>1831</v>
      </c>
      <c r="L1935" s="17" t="s">
        <v>68</v>
      </c>
      <c r="M1935" s="22" t="s">
        <v>61</v>
      </c>
      <c r="N1935" s="22">
        <v>1</v>
      </c>
      <c r="O1935" s="22"/>
      <c r="P1935" s="33" t="str">
        <f t="shared" si="567"/>
        <v>MAIN UNIT</v>
      </c>
      <c r="Q1935" s="13" t="s">
        <v>62</v>
      </c>
      <c r="R1935" s="22" t="s">
        <v>63</v>
      </c>
      <c r="S1935" s="22" t="s">
        <v>51</v>
      </c>
      <c r="T1935" s="22" t="s">
        <v>94</v>
      </c>
      <c r="U1935" s="22" t="s">
        <v>71</v>
      </c>
      <c r="V1935" s="22" t="s">
        <v>103</v>
      </c>
      <c r="W1935" s="22" t="s">
        <v>65</v>
      </c>
      <c r="X1935" s="30">
        <v>700000</v>
      </c>
      <c r="Y1935" s="31" t="str">
        <f>IF(W1935="","",IF(W1935="RMB","1.13", "1"))</f>
        <v>1.13</v>
      </c>
      <c r="Z1935" s="18">
        <f t="shared" si="578"/>
        <v>700000</v>
      </c>
      <c r="AA1935" s="22">
        <v>1.075</v>
      </c>
      <c r="AB1935" s="21">
        <f t="shared" si="568"/>
        <v>665929.20353982295</v>
      </c>
      <c r="AC1935" s="25">
        <f t="shared" si="569"/>
        <v>165017.25663716812</v>
      </c>
      <c r="AD1935" s="169">
        <v>0.24779999999999999</v>
      </c>
      <c r="AE1935" s="26">
        <f t="shared" si="570"/>
        <v>0</v>
      </c>
      <c r="AF1935" s="26" t="str">
        <f>IF(AND(COUNTIFS($J$18:J1935,J1935)=1,AE1935=1),1,"")</f>
        <v/>
      </c>
      <c r="AG1935" s="26" t="str">
        <f>IF(C1935="","",IF(AND(COUNTIFS($J$18:J1935,J1935)=1,C1935&lt;&gt;""),1,""))</f>
        <v/>
      </c>
      <c r="AH1935" s="26" t="str">
        <f>IF(G1935="","",IF(AND(COUNTIFS($J$18:J1935,J1935)=1,G1935&lt;&gt;""),1,""))</f>
        <v/>
      </c>
      <c r="AI1935" s="27">
        <f t="shared" si="579"/>
        <v>25458266.694690265</v>
      </c>
      <c r="AJ1935" s="27">
        <f t="shared" si="580"/>
        <v>4116526.778578762</v>
      </c>
      <c r="AK1935" s="28">
        <f t="shared" si="571"/>
        <v>0.16169705612508689</v>
      </c>
      <c r="AL1935" s="24"/>
      <c r="AM1935" s="24"/>
      <c r="AN1935" s="24"/>
      <c r="AO1935" s="24"/>
      <c r="AP1935" s="28" t="str">
        <f t="shared" si="572"/>
        <v>20247</v>
      </c>
      <c r="AQ1935" s="28" t="str">
        <f t="shared" si="573"/>
        <v>20247RMB</v>
      </c>
      <c r="AR1935" s="206" t="str">
        <f t="shared" si="574"/>
        <v>YAMAHA_Mounter</v>
      </c>
      <c r="AS1935" s="22">
        <f t="shared" si="575"/>
        <v>3</v>
      </c>
      <c r="AT1935" s="24" t="str">
        <f t="shared" si="576"/>
        <v>0-3 months</v>
      </c>
    </row>
    <row r="1936" spans="1:46" s="12" customFormat="1">
      <c r="A1936" s="33" t="str">
        <f t="shared" si="564"/>
        <v>FY 24/25</v>
      </c>
      <c r="B1936" s="23">
        <v>2024</v>
      </c>
      <c r="C1936" s="152">
        <v>4</v>
      </c>
      <c r="D1936" s="33" t="str">
        <f t="shared" si="565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7</v>
      </c>
      <c r="H1936" s="29"/>
      <c r="I1936" s="33" t="str">
        <f t="shared" si="566"/>
        <v>Q2</v>
      </c>
      <c r="J1936" s="188" t="s">
        <v>3413</v>
      </c>
      <c r="K1936" s="29" t="s">
        <v>1831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67"/>
        <v>MAIN UNIT</v>
      </c>
      <c r="Q1936" s="13" t="s">
        <v>62</v>
      </c>
      <c r="R1936" s="22" t="s">
        <v>63</v>
      </c>
      <c r="S1936" s="22" t="s">
        <v>51</v>
      </c>
      <c r="T1936" s="22" t="s">
        <v>94</v>
      </c>
      <c r="U1936" s="22" t="s">
        <v>71</v>
      </c>
      <c r="V1936" s="22" t="s">
        <v>103</v>
      </c>
      <c r="W1936" s="22" t="s">
        <v>65</v>
      </c>
      <c r="X1936" s="30">
        <v>700000</v>
      </c>
      <c r="Y1936" s="31" t="str">
        <f>IF(W1936="","",IF(W1936="RMB","1.13", "1"))</f>
        <v>1.13</v>
      </c>
      <c r="Z1936" s="18">
        <f t="shared" si="578"/>
        <v>700000</v>
      </c>
      <c r="AA1936" s="22">
        <v>1.075</v>
      </c>
      <c r="AB1936" s="21">
        <f t="shared" si="568"/>
        <v>665929.20353982295</v>
      </c>
      <c r="AC1936" s="25">
        <f t="shared" si="569"/>
        <v>165017.25663716812</v>
      </c>
      <c r="AD1936" s="169">
        <v>0.24779999999999999</v>
      </c>
      <c r="AE1936" s="26">
        <f t="shared" si="570"/>
        <v>0</v>
      </c>
      <c r="AF1936" s="26" t="str">
        <f>IF(AND(COUNTIFS($J$18:J1936,J1936)=1,AE1936=1),1,"")</f>
        <v/>
      </c>
      <c r="AG1936" s="26" t="str">
        <f>IF(C1936="","",IF(AND(COUNTIFS($J$18:J1936,J1936)=1,C1936&lt;&gt;""),1,""))</f>
        <v/>
      </c>
      <c r="AH1936" s="26" t="str">
        <f>IF(G1936="","",IF(AND(COUNTIFS($J$18:J1936,J1936)=1,G1936&lt;&gt;""),1,""))</f>
        <v/>
      </c>
      <c r="AI1936" s="27">
        <f t="shared" si="579"/>
        <v>25458266.694690265</v>
      </c>
      <c r="AJ1936" s="27">
        <f t="shared" si="580"/>
        <v>4116526.778578762</v>
      </c>
      <c r="AK1936" s="28">
        <f t="shared" si="571"/>
        <v>0.16169705612508689</v>
      </c>
      <c r="AL1936" s="24"/>
      <c r="AM1936" s="24"/>
      <c r="AN1936" s="24"/>
      <c r="AO1936" s="24"/>
      <c r="AP1936" s="28" t="str">
        <f t="shared" si="572"/>
        <v>20247</v>
      </c>
      <c r="AQ1936" s="28" t="str">
        <f t="shared" si="573"/>
        <v>20247RMB</v>
      </c>
      <c r="AR1936" s="206" t="str">
        <f t="shared" si="574"/>
        <v>YAMAHA_Mounter</v>
      </c>
      <c r="AS1936" s="22">
        <f t="shared" si="575"/>
        <v>3</v>
      </c>
      <c r="AT1936" s="24" t="str">
        <f t="shared" si="576"/>
        <v>0-3 months</v>
      </c>
    </row>
    <row r="1937" spans="1:46" s="12" customFormat="1">
      <c r="A1937" s="33" t="str">
        <f t="shared" si="564"/>
        <v>FY 23/24</v>
      </c>
      <c r="B1937" s="23">
        <v>2024</v>
      </c>
      <c r="C1937" s="152">
        <v>3</v>
      </c>
      <c r="D1937" s="33" t="str">
        <f t="shared" si="565"/>
        <v>Q4</v>
      </c>
      <c r="E1937" s="33" t="str">
        <f>IF(G1937="Cancel","Cancel",IF(G1937="TBA","TBA",IFERROR(IF(I1937="Q4","FY "&amp;RIGHT(F1937,2)-1&amp;"/"&amp;RIGHT(F1937,2),"FY "&amp;RIGHT(F1937,2)&amp;"/"&amp;RIGHT(F1937,2)+1),"")))</f>
        <v>FY 24/25</v>
      </c>
      <c r="F1937" s="23">
        <v>2024</v>
      </c>
      <c r="G1937" s="23">
        <v>4</v>
      </c>
      <c r="H1937" s="29"/>
      <c r="I1937" s="33" t="str">
        <f t="shared" si="566"/>
        <v>Q1</v>
      </c>
      <c r="J1937" s="188" t="s">
        <v>3365</v>
      </c>
      <c r="K1937" s="29" t="s">
        <v>919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67"/>
        <v>MAIN UNIT</v>
      </c>
      <c r="Q1937" s="13" t="s">
        <v>62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113</v>
      </c>
      <c r="W1937" s="22" t="s">
        <v>65</v>
      </c>
      <c r="X1937" s="30">
        <v>788888</v>
      </c>
      <c r="Y1937" s="31" t="str">
        <f>IF(W1937="","",IF(W1937="RMB","1.13", "1"))</f>
        <v>1.13</v>
      </c>
      <c r="Z1937" s="18">
        <f t="shared" si="578"/>
        <v>788888</v>
      </c>
      <c r="AA1937" s="22">
        <v>1.083</v>
      </c>
      <c r="AB1937" s="21">
        <f t="shared" si="568"/>
        <v>756075.84424778773</v>
      </c>
      <c r="AC1937" s="25">
        <f t="shared" si="569"/>
        <v>96172.847388318609</v>
      </c>
      <c r="AD1937" s="170">
        <v>0.12720000000000001</v>
      </c>
      <c r="AE1937" s="26">
        <f t="shared" si="570"/>
        <v>0</v>
      </c>
      <c r="AF1937" s="26" t="str">
        <f>IF(AND(COUNTIFS($J$18:J1937,J1937)=1,AE1937=1),1,"")</f>
        <v/>
      </c>
      <c r="AG1937" s="26">
        <f>IF(C1937="","",IF(AND(COUNTIFS($J$18:J1937,J1937)=1,C1937&lt;&gt;""),1,""))</f>
        <v>1</v>
      </c>
      <c r="AH1937" s="26">
        <f>IF(G1937="","",IF(AND(COUNTIFS($J$18:J1937,J1937)=1,G1937&lt;&gt;""),1,""))</f>
        <v>1</v>
      </c>
      <c r="AI1937" s="27">
        <f t="shared" si="579"/>
        <v>20319282.700884953</v>
      </c>
      <c r="AJ1937" s="27">
        <f t="shared" si="580"/>
        <v>2408851.9638623013</v>
      </c>
      <c r="AK1937" s="28">
        <f t="shared" si="571"/>
        <v>0.11855004919821259</v>
      </c>
      <c r="AL1937" s="24"/>
      <c r="AM1937" s="24"/>
      <c r="AN1937" s="24"/>
      <c r="AO1937" s="24"/>
      <c r="AP1937" s="28" t="str">
        <f t="shared" si="572"/>
        <v>20244</v>
      </c>
      <c r="AQ1937" s="28" t="str">
        <f t="shared" si="573"/>
        <v>20244RMB</v>
      </c>
      <c r="AR1937" s="206" t="str">
        <f t="shared" si="574"/>
        <v>YAMAHA_Mounter</v>
      </c>
      <c r="AS1937" s="22">
        <f t="shared" si="575"/>
        <v>1</v>
      </c>
      <c r="AT1937" s="24" t="str">
        <f t="shared" si="576"/>
        <v>0-3 months</v>
      </c>
    </row>
    <row r="1938" spans="1:46" s="12" customFormat="1">
      <c r="A1938" s="33" t="str">
        <f t="shared" si="564"/>
        <v>FY 23/24</v>
      </c>
      <c r="B1938" s="23">
        <v>2024</v>
      </c>
      <c r="C1938" s="152">
        <v>3</v>
      </c>
      <c r="D1938" s="33" t="str">
        <f t="shared" si="565"/>
        <v>Q4</v>
      </c>
      <c r="E1938" s="33" t="str">
        <f>IF(G1938="Cancel","Cancel",IF(G1938="TBA","TBA",IFERROR(IF(I1938="Q4","FY "&amp;RIGHT(F1938,2)-1&amp;"/"&amp;RIGHT(F1938,2),"FY "&amp;RIGHT(F1938,2)&amp;"/"&amp;RIGHT(F1938,2)+1),"")))</f>
        <v>FY 24/25</v>
      </c>
      <c r="F1938" s="23">
        <v>2024</v>
      </c>
      <c r="G1938" s="23">
        <v>4</v>
      </c>
      <c r="H1938" s="29"/>
      <c r="I1938" s="33" t="str">
        <f t="shared" si="566"/>
        <v>Q1</v>
      </c>
      <c r="J1938" s="188" t="s">
        <v>3365</v>
      </c>
      <c r="K1938" s="29" t="s">
        <v>919</v>
      </c>
      <c r="L1938" s="17" t="s">
        <v>68</v>
      </c>
      <c r="M1938" s="22" t="s">
        <v>61</v>
      </c>
      <c r="N1938" s="22">
        <v>1</v>
      </c>
      <c r="O1938" s="22"/>
      <c r="P1938" s="33" t="str">
        <f t="shared" si="567"/>
        <v>MAIN UNIT</v>
      </c>
      <c r="Q1938" s="13" t="s">
        <v>62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113</v>
      </c>
      <c r="W1938" s="22" t="s">
        <v>65</v>
      </c>
      <c r="X1938" s="30">
        <v>595556</v>
      </c>
      <c r="Y1938" s="31" t="str">
        <f>IF(W1938="","",IF(W1938="RMB","1.13", "1"))</f>
        <v>1.13</v>
      </c>
      <c r="Z1938" s="18">
        <f t="shared" si="578"/>
        <v>595556</v>
      </c>
      <c r="AA1938" s="22">
        <v>1.083</v>
      </c>
      <c r="AB1938" s="21">
        <f t="shared" si="568"/>
        <v>570785.08672566374</v>
      </c>
      <c r="AC1938" s="25">
        <f t="shared" si="569"/>
        <v>72603.863031504428</v>
      </c>
      <c r="AD1938" s="170">
        <v>0.12720000000000001</v>
      </c>
      <c r="AE1938" s="26">
        <f t="shared" si="570"/>
        <v>0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9"/>
        <v>20319282.700884953</v>
      </c>
      <c r="AJ1938" s="27">
        <f t="shared" si="580"/>
        <v>2408851.9638623013</v>
      </c>
      <c r="AK1938" s="28">
        <f t="shared" si="571"/>
        <v>0.11855004919821259</v>
      </c>
      <c r="AL1938" s="24"/>
      <c r="AM1938" s="24"/>
      <c r="AN1938" s="24"/>
      <c r="AO1938" s="24"/>
      <c r="AP1938" s="28" t="str">
        <f t="shared" si="572"/>
        <v>20244</v>
      </c>
      <c r="AQ1938" s="28" t="str">
        <f t="shared" si="573"/>
        <v>20244RMB</v>
      </c>
      <c r="AR1938" s="206" t="str">
        <f t="shared" si="574"/>
        <v>YAMAHA_Mounter</v>
      </c>
      <c r="AS1938" s="22">
        <f t="shared" si="575"/>
        <v>1</v>
      </c>
      <c r="AT1938" s="24" t="str">
        <f t="shared" si="576"/>
        <v>0-3 months</v>
      </c>
    </row>
    <row r="1939" spans="1:46" s="12" customFormat="1">
      <c r="A1939" s="33" t="str">
        <f t="shared" si="564"/>
        <v>FY 20/21</v>
      </c>
      <c r="B1939" s="152">
        <v>2021</v>
      </c>
      <c r="C1939" s="152">
        <v>3</v>
      </c>
      <c r="D1939" s="33" t="str">
        <f t="shared" si="565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66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67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1">IF(W1939="RMB","1.13", "1")</f>
        <v>1</v>
      </c>
      <c r="Z1939" s="18">
        <f t="shared" si="578"/>
        <v>11800000</v>
      </c>
      <c r="AA1939" s="13">
        <v>6.9199999999999998E-2</v>
      </c>
      <c r="AB1939" s="21">
        <f t="shared" si="568"/>
        <v>816560</v>
      </c>
      <c r="AC1939" s="130">
        <f t="shared" si="569"/>
        <v>80022.880000000005</v>
      </c>
      <c r="AD1939" s="169">
        <v>9.8000000000000004E-2</v>
      </c>
      <c r="AE1939" s="154">
        <f t="shared" si="570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9"/>
        <v>26407088.359292038</v>
      </c>
      <c r="AJ1939" s="19">
        <f t="shared" si="580"/>
        <v>3424510.6998470789</v>
      </c>
      <c r="AK1939" s="20">
        <f t="shared" si="571"/>
        <v>0.12968149510667554</v>
      </c>
      <c r="AL1939" s="17"/>
      <c r="AM1939" s="17"/>
      <c r="AN1939" s="17"/>
      <c r="AO1939" s="17"/>
      <c r="AP1939" s="28" t="str">
        <f t="shared" si="572"/>
        <v>20221</v>
      </c>
      <c r="AQ1939" s="28" t="str">
        <f t="shared" si="573"/>
        <v>20221JPY</v>
      </c>
      <c r="AR1939" s="206" t="str">
        <f t="shared" si="574"/>
        <v>YAMAHA_Mounter</v>
      </c>
      <c r="AS1939" s="22">
        <f t="shared" si="575"/>
        <v>10</v>
      </c>
      <c r="AT1939" s="24" t="str">
        <f t="shared" si="576"/>
        <v>&gt; 6 months</v>
      </c>
    </row>
    <row r="1940" spans="1:46" s="12" customFormat="1">
      <c r="A1940" s="33" t="str">
        <f t="shared" si="564"/>
        <v>FY 20/21</v>
      </c>
      <c r="B1940" s="152">
        <v>2021</v>
      </c>
      <c r="C1940" s="152">
        <v>3</v>
      </c>
      <c r="D1940" s="33" t="str">
        <f t="shared" si="565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66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67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1"/>
        <v>1</v>
      </c>
      <c r="Z1940" s="18">
        <f t="shared" si="578"/>
        <v>8000000</v>
      </c>
      <c r="AA1940" s="13">
        <v>6.9199999999999998E-2</v>
      </c>
      <c r="AB1940" s="21">
        <f t="shared" si="568"/>
        <v>553600</v>
      </c>
      <c r="AC1940" s="130">
        <f t="shared" si="569"/>
        <v>54252.800000000003</v>
      </c>
      <c r="AD1940" s="169">
        <v>9.8000000000000004E-2</v>
      </c>
      <c r="AE1940" s="154">
        <f t="shared" si="570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9"/>
        <v>28726768.133805312</v>
      </c>
      <c r="AJ1940" s="19">
        <f t="shared" si="580"/>
        <v>3853638.1988864429</v>
      </c>
      <c r="AK1940" s="20">
        <f t="shared" si="571"/>
        <v>0.1341479898099476</v>
      </c>
      <c r="AL1940" s="17"/>
      <c r="AM1940" s="17"/>
      <c r="AN1940" s="17"/>
      <c r="AO1940" s="17"/>
      <c r="AP1940" s="28" t="str">
        <f t="shared" si="572"/>
        <v>20223</v>
      </c>
      <c r="AQ1940" s="28" t="str">
        <f t="shared" si="573"/>
        <v>20223JPY</v>
      </c>
      <c r="AR1940" s="206" t="str">
        <f t="shared" si="574"/>
        <v>YAMAHA_Mounter</v>
      </c>
      <c r="AS1940" s="22">
        <f t="shared" si="575"/>
        <v>12</v>
      </c>
      <c r="AT1940" s="24" t="str">
        <f t="shared" si="576"/>
        <v>&gt; 6 months</v>
      </c>
    </row>
    <row r="1941" spans="1:46" s="12" customFormat="1">
      <c r="A1941" s="33" t="str">
        <f t="shared" si="564"/>
        <v>FY 22/23</v>
      </c>
      <c r="B1941" s="152">
        <v>2022</v>
      </c>
      <c r="C1941" s="152">
        <v>9</v>
      </c>
      <c r="D1941" s="33" t="str">
        <f t="shared" si="565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66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67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1"/>
        <v>1</v>
      </c>
      <c r="Z1941" s="18">
        <f t="shared" si="578"/>
        <v>12600000</v>
      </c>
      <c r="AA1941" s="13">
        <v>5.5399999999999998E-2</v>
      </c>
      <c r="AB1941" s="21">
        <f t="shared" si="568"/>
        <v>698040</v>
      </c>
      <c r="AC1941" s="130">
        <f t="shared" si="569"/>
        <v>100029.13200000001</v>
      </c>
      <c r="AD1941" s="169">
        <v>0.14330000000000001</v>
      </c>
      <c r="AE1941" s="154">
        <f t="shared" si="570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9"/>
        <v>22717528.991150443</v>
      </c>
      <c r="AJ1941" s="19">
        <f t="shared" si="580"/>
        <v>3947747.192555753</v>
      </c>
      <c r="AK1941" s="20">
        <f t="shared" si="571"/>
        <v>0.1737753782153679</v>
      </c>
      <c r="AL1941" s="17"/>
      <c r="AM1941" s="17"/>
      <c r="AN1941" s="17"/>
      <c r="AO1941" s="17"/>
      <c r="AP1941" s="28" t="str">
        <f t="shared" si="572"/>
        <v>202210</v>
      </c>
      <c r="AQ1941" s="28" t="str">
        <f t="shared" si="573"/>
        <v>202210JPY</v>
      </c>
      <c r="AR1941" s="206" t="str">
        <f t="shared" si="574"/>
        <v>YAMAHA_Mounter</v>
      </c>
      <c r="AS1941" s="22">
        <f t="shared" si="575"/>
        <v>1</v>
      </c>
      <c r="AT1941" s="24" t="str">
        <f t="shared" si="576"/>
        <v>0-3 months</v>
      </c>
    </row>
    <row r="1942" spans="1:46" s="12" customFormat="1">
      <c r="A1942" s="33" t="str">
        <f t="shared" si="564"/>
        <v>FY 22/23</v>
      </c>
      <c r="B1942" s="152">
        <v>2022</v>
      </c>
      <c r="C1942" s="152">
        <v>9</v>
      </c>
      <c r="D1942" s="33" t="str">
        <f t="shared" si="565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66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67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1"/>
        <v>1</v>
      </c>
      <c r="Z1942" s="18">
        <f t="shared" si="578"/>
        <v>7600000</v>
      </c>
      <c r="AA1942" s="13">
        <v>5.5399999999999998E-2</v>
      </c>
      <c r="AB1942" s="21">
        <f t="shared" si="568"/>
        <v>421040</v>
      </c>
      <c r="AC1942" s="130">
        <f t="shared" si="569"/>
        <v>60335.032000000007</v>
      </c>
      <c r="AD1942" s="169">
        <v>0.14330000000000001</v>
      </c>
      <c r="AE1942" s="154">
        <f t="shared" si="570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9"/>
        <v>22717528.991150443</v>
      </c>
      <c r="AJ1942" s="19">
        <f t="shared" si="580"/>
        <v>3947747.192555753</v>
      </c>
      <c r="AK1942" s="20">
        <f t="shared" si="571"/>
        <v>0.1737753782153679</v>
      </c>
      <c r="AL1942" s="17"/>
      <c r="AM1942" s="17"/>
      <c r="AN1942" s="17"/>
      <c r="AO1942" s="17"/>
      <c r="AP1942" s="28" t="str">
        <f t="shared" si="572"/>
        <v>202210</v>
      </c>
      <c r="AQ1942" s="28" t="str">
        <f t="shared" si="573"/>
        <v>202210JPY</v>
      </c>
      <c r="AR1942" s="206" t="str">
        <f t="shared" si="574"/>
        <v>YAMAHA_Mounter</v>
      </c>
      <c r="AS1942" s="22">
        <f t="shared" si="575"/>
        <v>1</v>
      </c>
      <c r="AT1942" s="24" t="str">
        <f t="shared" si="576"/>
        <v>0-3 months</v>
      </c>
    </row>
    <row r="1943" spans="1:46" s="12" customFormat="1">
      <c r="A1943" s="33" t="str">
        <f t="shared" si="564"/>
        <v>FY 22/23</v>
      </c>
      <c r="B1943" s="152">
        <v>2022</v>
      </c>
      <c r="C1943" s="152">
        <v>9</v>
      </c>
      <c r="D1943" s="33" t="str">
        <f t="shared" si="565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66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67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1"/>
        <v>1</v>
      </c>
      <c r="Z1943" s="18">
        <f t="shared" si="578"/>
        <v>7600000</v>
      </c>
      <c r="AA1943" s="13">
        <v>5.5399999999999998E-2</v>
      </c>
      <c r="AB1943" s="21">
        <f t="shared" si="568"/>
        <v>421040</v>
      </c>
      <c r="AC1943" s="130">
        <f t="shared" si="569"/>
        <v>60335.032000000007</v>
      </c>
      <c r="AD1943" s="169">
        <v>0.14330000000000001</v>
      </c>
      <c r="AE1943" s="154">
        <f t="shared" si="570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9"/>
        <v>22717528.991150443</v>
      </c>
      <c r="AJ1943" s="19">
        <f t="shared" si="580"/>
        <v>3947747.192555753</v>
      </c>
      <c r="AK1943" s="20">
        <f t="shared" si="571"/>
        <v>0.1737753782153679</v>
      </c>
      <c r="AL1943" s="17"/>
      <c r="AM1943" s="17"/>
      <c r="AN1943" s="17"/>
      <c r="AO1943" s="17"/>
      <c r="AP1943" s="28" t="str">
        <f t="shared" si="572"/>
        <v>202210</v>
      </c>
      <c r="AQ1943" s="28" t="str">
        <f t="shared" si="573"/>
        <v>202210JPY</v>
      </c>
      <c r="AR1943" s="206" t="str">
        <f t="shared" si="574"/>
        <v>YAMAHA_Mounter</v>
      </c>
      <c r="AS1943" s="22">
        <f t="shared" si="575"/>
        <v>1</v>
      </c>
      <c r="AT1943" s="24" t="str">
        <f t="shared" si="576"/>
        <v>0-3 months</v>
      </c>
    </row>
    <row r="1944" spans="1:46" s="12" customFormat="1">
      <c r="A1944" s="33" t="str">
        <f t="shared" si="564"/>
        <v>FY 22/23</v>
      </c>
      <c r="B1944" s="152">
        <v>2022</v>
      </c>
      <c r="C1944" s="152">
        <v>9</v>
      </c>
      <c r="D1944" s="33" t="str">
        <f t="shared" si="565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66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67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1"/>
        <v>1</v>
      </c>
      <c r="Z1944" s="18">
        <f t="shared" si="578"/>
        <v>7600000</v>
      </c>
      <c r="AA1944" s="13">
        <v>5.5399999999999998E-2</v>
      </c>
      <c r="AB1944" s="21">
        <f t="shared" si="568"/>
        <v>421040</v>
      </c>
      <c r="AC1944" s="130">
        <f t="shared" si="569"/>
        <v>60335.032000000007</v>
      </c>
      <c r="AD1944" s="169">
        <v>0.14330000000000001</v>
      </c>
      <c r="AE1944" s="154">
        <f t="shared" si="570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9"/>
        <v>22717528.991150443</v>
      </c>
      <c r="AJ1944" s="19">
        <f t="shared" si="580"/>
        <v>3947747.192555753</v>
      </c>
      <c r="AK1944" s="20">
        <f t="shared" si="571"/>
        <v>0.1737753782153679</v>
      </c>
      <c r="AL1944" s="17"/>
      <c r="AM1944" s="17"/>
      <c r="AN1944" s="17"/>
      <c r="AO1944" s="17"/>
      <c r="AP1944" s="28" t="str">
        <f t="shared" si="572"/>
        <v>202210</v>
      </c>
      <c r="AQ1944" s="28" t="str">
        <f t="shared" si="573"/>
        <v>202210JPY</v>
      </c>
      <c r="AR1944" s="206" t="str">
        <f t="shared" si="574"/>
        <v>YAMAHA_Mounter</v>
      </c>
      <c r="AS1944" s="22">
        <f t="shared" si="575"/>
        <v>1</v>
      </c>
      <c r="AT1944" s="24" t="str">
        <f t="shared" si="576"/>
        <v>0-3 months</v>
      </c>
    </row>
    <row r="1945" spans="1:46" s="12" customFormat="1">
      <c r="A1945" s="33" t="str">
        <f t="shared" si="564"/>
        <v>FY 17/18</v>
      </c>
      <c r="B1945" s="152">
        <v>2018</v>
      </c>
      <c r="C1945" s="152">
        <v>3</v>
      </c>
      <c r="D1945" s="33" t="str">
        <f t="shared" si="565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66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67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78"/>
        <v>9098400</v>
      </c>
      <c r="AA1945" s="13">
        <v>7.3200000000000001E-2</v>
      </c>
      <c r="AB1945" s="21">
        <f t="shared" si="568"/>
        <v>666002.88</v>
      </c>
      <c r="AC1945" s="130">
        <f t="shared" si="569"/>
        <v>79920.345600000001</v>
      </c>
      <c r="AD1945" s="169">
        <v>0.12</v>
      </c>
      <c r="AE1945" s="154">
        <f t="shared" si="570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9"/>
        <v>13250187.062905986</v>
      </c>
      <c r="AJ1945" s="19">
        <f t="shared" si="580"/>
        <v>1545643.7555487182</v>
      </c>
      <c r="AK1945" s="20">
        <f t="shared" si="571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2"/>
        <v>20183</v>
      </c>
      <c r="AQ1945" s="28" t="str">
        <f t="shared" si="573"/>
        <v>20183JPY</v>
      </c>
      <c r="AR1945" s="206" t="str">
        <f t="shared" si="574"/>
        <v>YAMAHA_Mounter</v>
      </c>
      <c r="AS1945" s="22">
        <f t="shared" si="575"/>
        <v>0</v>
      </c>
      <c r="AT1945" s="24" t="str">
        <f t="shared" si="576"/>
        <v>0-3 months</v>
      </c>
    </row>
    <row r="1946" spans="1:46" s="12" customFormat="1">
      <c r="A1946" s="33" t="str">
        <f t="shared" si="564"/>
        <v>FY 17/18</v>
      </c>
      <c r="B1946" s="152">
        <v>2018</v>
      </c>
      <c r="C1946" s="152">
        <v>3</v>
      </c>
      <c r="D1946" s="33" t="str">
        <f t="shared" si="565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66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67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78"/>
        <v>9098400</v>
      </c>
      <c r="AA1946" s="13">
        <v>7.3200000000000001E-2</v>
      </c>
      <c r="AB1946" s="21">
        <f t="shared" si="568"/>
        <v>666002.88</v>
      </c>
      <c r="AC1946" s="130">
        <f t="shared" si="569"/>
        <v>79920.345600000001</v>
      </c>
      <c r="AD1946" s="169">
        <v>0.12</v>
      </c>
      <c r="AE1946" s="154">
        <f t="shared" si="570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9"/>
        <v>477651199.57437885</v>
      </c>
      <c r="AJ1946" s="19">
        <f t="shared" si="580"/>
        <v>56918800.518691957</v>
      </c>
      <c r="AK1946" s="20">
        <f t="shared" si="571"/>
        <v>0.11916394341605475</v>
      </c>
      <c r="AL1946" s="17"/>
      <c r="AM1946" s="17"/>
      <c r="AN1946" s="17"/>
      <c r="AO1946" s="17"/>
      <c r="AP1946" s="28" t="str">
        <f t="shared" si="572"/>
        <v>CancelCancel</v>
      </c>
      <c r="AQ1946" s="28" t="str">
        <f t="shared" si="573"/>
        <v>CancelCancelJPY</v>
      </c>
      <c r="AR1946" s="206" t="str">
        <f t="shared" si="574"/>
        <v>YAMAHA_Mounter</v>
      </c>
      <c r="AS1946" s="22" t="str">
        <f t="shared" si="575"/>
        <v/>
      </c>
      <c r="AT1946" s="24" t="str">
        <f t="shared" si="576"/>
        <v/>
      </c>
    </row>
    <row r="1947" spans="1:46" s="12" customFormat="1">
      <c r="A1947" s="33" t="str">
        <f t="shared" si="564"/>
        <v>FY 18/19</v>
      </c>
      <c r="B1947" s="152">
        <v>2019</v>
      </c>
      <c r="C1947" s="152">
        <v>3</v>
      </c>
      <c r="D1947" s="33" t="str">
        <f t="shared" si="565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66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67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78"/>
        <v>12293400</v>
      </c>
      <c r="AA1947" s="13">
        <v>7.22E-2</v>
      </c>
      <c r="AB1947" s="21">
        <f t="shared" si="568"/>
        <v>887583.48</v>
      </c>
      <c r="AC1947" s="130">
        <f t="shared" si="569"/>
        <v>146717.54924399999</v>
      </c>
      <c r="AD1947" s="169">
        <v>0.1653</v>
      </c>
      <c r="AE1947" s="154">
        <f t="shared" si="570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9"/>
        <v>47416008.333399981</v>
      </c>
      <c r="AJ1947" s="19">
        <f t="shared" si="580"/>
        <v>6981738.4465290187</v>
      </c>
      <c r="AK1947" s="20">
        <f t="shared" si="571"/>
        <v>0.14724433143839863</v>
      </c>
      <c r="AL1947" s="17"/>
      <c r="AM1947" s="17"/>
      <c r="AN1947" s="17"/>
      <c r="AO1947" s="17"/>
      <c r="AP1947" s="28" t="str">
        <f t="shared" si="572"/>
        <v>20193</v>
      </c>
      <c r="AQ1947" s="28" t="str">
        <f t="shared" si="573"/>
        <v>20193JPY</v>
      </c>
      <c r="AR1947" s="206" t="str">
        <f t="shared" si="574"/>
        <v>YAMAHA_Mounter</v>
      </c>
      <c r="AS1947" s="22">
        <f t="shared" si="575"/>
        <v>0</v>
      </c>
      <c r="AT1947" s="24" t="str">
        <f t="shared" si="576"/>
        <v>0-3 months</v>
      </c>
    </row>
    <row r="1948" spans="1:46" s="12" customFormat="1">
      <c r="A1948" s="33" t="str">
        <f t="shared" si="564"/>
        <v>FY 18/19</v>
      </c>
      <c r="B1948" s="152">
        <v>2019</v>
      </c>
      <c r="C1948" s="152">
        <v>3</v>
      </c>
      <c r="D1948" s="33" t="str">
        <f t="shared" si="565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66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67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78"/>
        <v>9563000</v>
      </c>
      <c r="AA1948" s="13">
        <v>7.22E-2</v>
      </c>
      <c r="AB1948" s="21">
        <f t="shared" si="568"/>
        <v>690448.6</v>
      </c>
      <c r="AC1948" s="130">
        <f t="shared" si="569"/>
        <v>114131.15358</v>
      </c>
      <c r="AD1948" s="169">
        <v>0.1653</v>
      </c>
      <c r="AE1948" s="154">
        <f t="shared" si="570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9"/>
        <v>47416008.333399981</v>
      </c>
      <c r="AJ1948" s="19">
        <f t="shared" si="580"/>
        <v>6981738.4465290187</v>
      </c>
      <c r="AK1948" s="20">
        <f t="shared" si="571"/>
        <v>0.14724433143839863</v>
      </c>
      <c r="AL1948" s="17"/>
      <c r="AM1948" s="17"/>
      <c r="AN1948" s="17"/>
      <c r="AO1948" s="17"/>
      <c r="AP1948" s="28" t="str">
        <f t="shared" si="572"/>
        <v>20193</v>
      </c>
      <c r="AQ1948" s="28" t="str">
        <f t="shared" si="573"/>
        <v>20193JPY</v>
      </c>
      <c r="AR1948" s="206" t="str">
        <f t="shared" si="574"/>
        <v>YAMAHA_Mounter</v>
      </c>
      <c r="AS1948" s="22">
        <f t="shared" si="575"/>
        <v>0</v>
      </c>
      <c r="AT1948" s="24" t="str">
        <f t="shared" si="576"/>
        <v>0-3 months</v>
      </c>
    </row>
    <row r="1949" spans="1:46" s="12" customFormat="1">
      <c r="A1949" s="33" t="str">
        <f t="shared" si="564"/>
        <v>FY 20/21</v>
      </c>
      <c r="B1949" s="152">
        <v>2020</v>
      </c>
      <c r="C1949" s="152">
        <v>7</v>
      </c>
      <c r="D1949" s="33" t="str">
        <f t="shared" si="565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66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67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78"/>
        <v>9300000</v>
      </c>
      <c r="AA1949" s="13">
        <v>7.6100000000000001E-2</v>
      </c>
      <c r="AB1949" s="21">
        <f t="shared" si="568"/>
        <v>707730</v>
      </c>
      <c r="AC1949" s="130">
        <f t="shared" si="569"/>
        <v>117058.54199999999</v>
      </c>
      <c r="AD1949" s="169">
        <v>0.16539999999999999</v>
      </c>
      <c r="AE1949" s="154">
        <f t="shared" si="570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9"/>
        <v>44078731.611185849</v>
      </c>
      <c r="AJ1949" s="19">
        <f t="shared" si="580"/>
        <v>5508173.2163771465</v>
      </c>
      <c r="AK1949" s="20">
        <f t="shared" si="571"/>
        <v>0.12496215328889679</v>
      </c>
      <c r="AL1949" s="17"/>
      <c r="AM1949" s="17"/>
      <c r="AN1949" s="17"/>
      <c r="AO1949" s="17"/>
      <c r="AP1949" s="28" t="str">
        <f t="shared" si="572"/>
        <v>202011</v>
      </c>
      <c r="AQ1949" s="28" t="str">
        <f t="shared" si="573"/>
        <v>202011JPY</v>
      </c>
      <c r="AR1949" s="206" t="str">
        <f t="shared" si="574"/>
        <v>YAMAHA_Mounter</v>
      </c>
      <c r="AS1949" s="22">
        <f t="shared" si="575"/>
        <v>4</v>
      </c>
      <c r="AT1949" s="24" t="str">
        <f t="shared" si="576"/>
        <v>4-6 months</v>
      </c>
    </row>
    <row r="1950" spans="1:46" s="12" customFormat="1">
      <c r="A1950" s="33" t="str">
        <f t="shared" si="564"/>
        <v>FY 20/21</v>
      </c>
      <c r="B1950" s="152">
        <v>2020</v>
      </c>
      <c r="C1950" s="152">
        <v>12</v>
      </c>
      <c r="D1950" s="33" t="str">
        <f t="shared" si="565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66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67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78"/>
        <v>13000000</v>
      </c>
      <c r="AA1950" s="13">
        <v>7.17E-2</v>
      </c>
      <c r="AB1950" s="21">
        <f t="shared" si="568"/>
        <v>932100</v>
      </c>
      <c r="AC1950" s="130">
        <f t="shared" si="569"/>
        <v>124714.98</v>
      </c>
      <c r="AD1950" s="169">
        <v>0.1338</v>
      </c>
      <c r="AE1950" s="154">
        <f t="shared" si="570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9"/>
        <v>43684091.636631854</v>
      </c>
      <c r="AJ1950" s="19">
        <f t="shared" si="580"/>
        <v>6483951.8242071122</v>
      </c>
      <c r="AK1950" s="20">
        <f t="shared" si="571"/>
        <v>0.14842821680123736</v>
      </c>
      <c r="AL1950" s="17"/>
      <c r="AM1950" s="17"/>
      <c r="AN1950" s="17"/>
      <c r="AO1950" s="17"/>
      <c r="AP1950" s="28" t="str">
        <f t="shared" si="572"/>
        <v>20214</v>
      </c>
      <c r="AQ1950" s="28" t="str">
        <f t="shared" si="573"/>
        <v>20214JPY</v>
      </c>
      <c r="AR1950" s="206" t="str">
        <f t="shared" si="574"/>
        <v>YAMAHA_Mounter</v>
      </c>
      <c r="AS1950" s="22">
        <f t="shared" si="575"/>
        <v>4</v>
      </c>
      <c r="AT1950" s="24" t="str">
        <f t="shared" si="576"/>
        <v>4-6 months</v>
      </c>
    </row>
    <row r="1951" spans="1:46" s="12" customFormat="1">
      <c r="A1951" s="33" t="str">
        <f t="shared" si="564"/>
        <v>FY 19/20</v>
      </c>
      <c r="B1951" s="152">
        <v>2019</v>
      </c>
      <c r="C1951" s="152">
        <v>11</v>
      </c>
      <c r="D1951" s="33" t="str">
        <f t="shared" si="565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66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67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78"/>
        <v>9000000</v>
      </c>
      <c r="AA1951" s="13">
        <v>7.3499999999999996E-2</v>
      </c>
      <c r="AB1951" s="21">
        <f t="shared" si="568"/>
        <v>661500</v>
      </c>
      <c r="AC1951" s="130">
        <f t="shared" si="569"/>
        <v>78321.600000000006</v>
      </c>
      <c r="AD1951" s="169">
        <v>0.11840000000000001</v>
      </c>
      <c r="AE1951" s="154">
        <f t="shared" si="570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9"/>
        <v>26147030.909862842</v>
      </c>
      <c r="AJ1951" s="19">
        <f t="shared" si="580"/>
        <v>2743862.8630715334</v>
      </c>
      <c r="AK1951" s="20">
        <f t="shared" si="571"/>
        <v>0.10493974908778378</v>
      </c>
      <c r="AL1951" s="17"/>
      <c r="AM1951" s="17"/>
      <c r="AN1951" s="17"/>
      <c r="AO1951" s="17"/>
      <c r="AP1951" s="28" t="str">
        <f t="shared" si="572"/>
        <v>201911</v>
      </c>
      <c r="AQ1951" s="28" t="str">
        <f t="shared" si="573"/>
        <v>201911JPY</v>
      </c>
      <c r="AR1951" s="206" t="str">
        <f t="shared" si="574"/>
        <v>YAMAHA_Mounter</v>
      </c>
      <c r="AS1951" s="22">
        <f t="shared" si="575"/>
        <v>0</v>
      </c>
      <c r="AT1951" s="24" t="str">
        <f t="shared" si="576"/>
        <v>0-3 months</v>
      </c>
    </row>
    <row r="1952" spans="1:46" s="12" customFormat="1">
      <c r="A1952" s="33" t="str">
        <f t="shared" ref="A1952:A2015" si="582">IF(C1952="cancel","cancel",IFERROR(IF(D1952="Q4","FY "&amp;RIGHT(B1952,2)-1&amp;"/"&amp;RIGHT(B1952,2),"FY "&amp;RIGHT(B1952,2)&amp;"/"&amp;RIGHT(B1952,2)+1),""))</f>
        <v>FY 19/20</v>
      </c>
      <c r="B1952" s="152">
        <v>2019</v>
      </c>
      <c r="C1952" s="152">
        <v>11</v>
      </c>
      <c r="D1952" s="33" t="str">
        <f t="shared" ref="D1952:D2015" si="583">IF(B1952="","",IF(AND(C1952&gt;=10,C1952&lt;=12),"Q3",IF(AND(C1952&gt;=1,C1952&lt;=3),"Q4",IF(AND(C1952&gt;=7,C1952&lt;=9),"Q2",IF(AND(C1952&gt;=4,C1952&lt;=6),"Q1")))))</f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ref="I1952:I2015" si="584">IFERROR(IF(F1952="","",IF(F1952="TBA","TBA",IF(F1952="Cancel","Cancel",IF(AND(G1952&gt;=10,G1952&lt;=12),"Q3",IF(AND(G1952&gt;=1,G1952&lt;=3),"Q4",IF(AND(G1952&gt;=7,G1952&lt;=9),"Q2",IF(AND(G1952&gt;=4,G1952&lt;=6),"Q1"))))))),"")</f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ref="P1952:P2015" si="585">IF(M1952="","",IF(AND(N1952&gt;0,L1952&lt;&gt;""),"MAIN UNIT",IF(AND(O1952&gt;0,L1952&lt;&gt;""),"SERVICE/ PARTS","C66 SERVICE/OTHERS")))</f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78"/>
        <v>12900000</v>
      </c>
      <c r="AA1952" s="13">
        <v>7.3499999999999996E-2</v>
      </c>
      <c r="AB1952" s="21">
        <f t="shared" ref="AB1952:AB2015" si="586">IF(AND(R1952&lt;&gt;"C66",R1952&lt;&gt;""),Z1952/Y1952*AA1952,"")</f>
        <v>948150</v>
      </c>
      <c r="AC1952" s="130">
        <f t="shared" ref="AC1952:AC2015" si="587">IF(R1952&lt;&gt;"",AB1952*AD1952,"")</f>
        <v>112260.96</v>
      </c>
      <c r="AD1952" s="169">
        <v>0.11840000000000001</v>
      </c>
      <c r="AE1952" s="154">
        <f t="shared" ref="AE1952:AE2015" si="588">IF(Q1952="","",IF(Q1952="Yes",1,0))</f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9"/>
        <v>26147030.909862842</v>
      </c>
      <c r="AJ1952" s="19">
        <f t="shared" si="580"/>
        <v>2743862.8630715334</v>
      </c>
      <c r="AK1952" s="20">
        <f t="shared" ref="AK1952:AK2015" si="589">IF(AJ1952&gt;0,AJ1952/AI1952,"")</f>
        <v>0.10493974908778378</v>
      </c>
      <c r="AL1952" s="17"/>
      <c r="AM1952" s="17"/>
      <c r="AN1952" s="17"/>
      <c r="AO1952" s="17"/>
      <c r="AP1952" s="28" t="str">
        <f t="shared" ref="AP1952:AP2015" si="590">IF(F1952="","",F1952&amp;G1952)</f>
        <v>201911</v>
      </c>
      <c r="AQ1952" s="28" t="str">
        <f t="shared" ref="AQ1952:AQ2015" si="591">IF(W1952="","",F1952&amp;G1952&amp;W1952)</f>
        <v>201911JPY</v>
      </c>
      <c r="AR1952" s="206" t="str">
        <f t="shared" ref="AR1952:AR2015" si="592">IFERROR(IF(AND(M1952="YAMAHA", R1952="C28"), "YAMAHA_Non_Mounter", IF(AND(M1952="YAMAHA", R1952="C49"), "YAMAHA_Mounter", M1952)),"")</f>
        <v>YAMAHA_Mounter</v>
      </c>
      <c r="AS1952" s="22">
        <f t="shared" ref="AS1952:AS2015" si="593">IFERROR(IF(OR(G1952="TBA", G1952=""), "", DATEDIF(DATE(B1952, C1952, 1), DATE(F1952, G1952, 1), "M")),"")</f>
        <v>0</v>
      </c>
      <c r="AT1952" s="24" t="str">
        <f t="shared" ref="AT1952:AT2015" si="594">IF(ISNUMBER(AS1952), IF(AS1952&gt;=0, IF(AS1952&lt;=3, "0-3 months", IF(AS1952&lt;=6, "4-6 months", "&gt; 6 months"))), "")</f>
        <v>0-3 months</v>
      </c>
    </row>
    <row r="1953" spans="1:46" s="12" customFormat="1">
      <c r="A1953" s="33" t="str">
        <f t="shared" si="582"/>
        <v>FY 19/20</v>
      </c>
      <c r="B1953" s="152">
        <v>2019</v>
      </c>
      <c r="C1953" s="152">
        <v>11</v>
      </c>
      <c r="D1953" s="33" t="str">
        <f t="shared" si="583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84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85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78"/>
        <v>12900000</v>
      </c>
      <c r="AA1953" s="13">
        <v>7.3499999999999996E-2</v>
      </c>
      <c r="AB1953" s="21">
        <f t="shared" si="586"/>
        <v>948150</v>
      </c>
      <c r="AC1953" s="130">
        <f t="shared" si="587"/>
        <v>112260.96</v>
      </c>
      <c r="AD1953" s="169">
        <v>0.11840000000000001</v>
      </c>
      <c r="AE1953" s="154">
        <f t="shared" si="588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9"/>
        <v>26147030.909862842</v>
      </c>
      <c r="AJ1953" s="19">
        <f t="shared" si="580"/>
        <v>2743862.8630715334</v>
      </c>
      <c r="AK1953" s="20">
        <f t="shared" si="589"/>
        <v>0.10493974908778378</v>
      </c>
      <c r="AL1953" s="17"/>
      <c r="AM1953" s="17"/>
      <c r="AN1953" s="17"/>
      <c r="AO1953" s="17"/>
      <c r="AP1953" s="28" t="str">
        <f t="shared" si="590"/>
        <v>201911</v>
      </c>
      <c r="AQ1953" s="28" t="str">
        <f t="shared" si="591"/>
        <v>201911JPY</v>
      </c>
      <c r="AR1953" s="206" t="str">
        <f t="shared" si="592"/>
        <v>YAMAHA_Mounter</v>
      </c>
      <c r="AS1953" s="22">
        <f t="shared" si="593"/>
        <v>0</v>
      </c>
      <c r="AT1953" s="24" t="str">
        <f t="shared" si="594"/>
        <v>0-3 months</v>
      </c>
    </row>
    <row r="1954" spans="1:46" s="12" customFormat="1">
      <c r="A1954" s="33" t="str">
        <f t="shared" si="582"/>
        <v>cancel</v>
      </c>
      <c r="B1954" s="152"/>
      <c r="C1954" s="152" t="s">
        <v>186</v>
      </c>
      <c r="D1954" s="33" t="str">
        <f t="shared" si="583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84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85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78"/>
        <v>9000000</v>
      </c>
      <c r="AA1954" s="13">
        <v>7.1599999999999997E-2</v>
      </c>
      <c r="AB1954" s="21">
        <f t="shared" si="586"/>
        <v>644400</v>
      </c>
      <c r="AC1954" s="130">
        <f t="shared" si="587"/>
        <v>77328</v>
      </c>
      <c r="AD1954" s="169">
        <v>0.12</v>
      </c>
      <c r="AE1954" s="154">
        <f t="shared" si="588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9"/>
        <v>477651199.57437885</v>
      </c>
      <c r="AJ1954" s="19">
        <f t="shared" si="580"/>
        <v>56918800.518691957</v>
      </c>
      <c r="AK1954" s="20">
        <f t="shared" si="589"/>
        <v>0.11916394341605475</v>
      </c>
      <c r="AL1954" s="17"/>
      <c r="AM1954" s="17"/>
      <c r="AN1954" s="17"/>
      <c r="AO1954" s="17"/>
      <c r="AP1954" s="28" t="str">
        <f t="shared" si="590"/>
        <v>CancelCancel</v>
      </c>
      <c r="AQ1954" s="28" t="str">
        <f t="shared" si="591"/>
        <v>CancelCancelJPY</v>
      </c>
      <c r="AR1954" s="206" t="str">
        <f t="shared" si="592"/>
        <v>YAMAHA_Mounter</v>
      </c>
      <c r="AS1954" s="22" t="str">
        <f t="shared" si="593"/>
        <v/>
      </c>
      <c r="AT1954" s="24" t="str">
        <f t="shared" si="594"/>
        <v/>
      </c>
    </row>
    <row r="1955" spans="1:46" s="12" customFormat="1">
      <c r="A1955" s="33" t="str">
        <f t="shared" si="582"/>
        <v>cancel</v>
      </c>
      <c r="B1955" s="152"/>
      <c r="C1955" s="152" t="s">
        <v>186</v>
      </c>
      <c r="D1955" s="33" t="str">
        <f t="shared" si="583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84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85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78"/>
        <v>13500000</v>
      </c>
      <c r="AA1955" s="13">
        <v>7.1599999999999997E-2</v>
      </c>
      <c r="AB1955" s="21">
        <f t="shared" si="586"/>
        <v>966600</v>
      </c>
      <c r="AC1955" s="130">
        <f t="shared" si="587"/>
        <v>115992</v>
      </c>
      <c r="AD1955" s="169">
        <v>0.12</v>
      </c>
      <c r="AE1955" s="154">
        <f t="shared" si="588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9"/>
        <v>477651199.57437885</v>
      </c>
      <c r="AJ1955" s="19">
        <f t="shared" si="580"/>
        <v>56918800.518691957</v>
      </c>
      <c r="AK1955" s="20">
        <f t="shared" si="589"/>
        <v>0.11916394341605475</v>
      </c>
      <c r="AL1955" s="17"/>
      <c r="AM1955" s="17"/>
      <c r="AN1955" s="17"/>
      <c r="AO1955" s="17"/>
      <c r="AP1955" s="28" t="str">
        <f t="shared" si="590"/>
        <v>CancelCancel</v>
      </c>
      <c r="AQ1955" s="28" t="str">
        <f t="shared" si="591"/>
        <v>CancelCancelJPY</v>
      </c>
      <c r="AR1955" s="206" t="str">
        <f t="shared" si="592"/>
        <v>YAMAHA_Mounter</v>
      </c>
      <c r="AS1955" s="22" t="str">
        <f t="shared" si="593"/>
        <v/>
      </c>
      <c r="AT1955" s="24" t="str">
        <f t="shared" si="594"/>
        <v/>
      </c>
    </row>
    <row r="1956" spans="1:46" s="12" customFormat="1">
      <c r="A1956" s="33" t="str">
        <f t="shared" si="582"/>
        <v>cancel</v>
      </c>
      <c r="B1956" s="152"/>
      <c r="C1956" s="152" t="s">
        <v>186</v>
      </c>
      <c r="D1956" s="33" t="str">
        <f t="shared" si="583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84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85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78"/>
        <v>13500000</v>
      </c>
      <c r="AA1956" s="13">
        <v>7.1599999999999997E-2</v>
      </c>
      <c r="AB1956" s="21">
        <f t="shared" si="586"/>
        <v>966600</v>
      </c>
      <c r="AC1956" s="130">
        <f t="shared" si="587"/>
        <v>115992</v>
      </c>
      <c r="AD1956" s="169">
        <v>0.12</v>
      </c>
      <c r="AE1956" s="154">
        <f t="shared" si="588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9"/>
        <v>477651199.57437885</v>
      </c>
      <c r="AJ1956" s="19">
        <f t="shared" si="580"/>
        <v>56918800.518691957</v>
      </c>
      <c r="AK1956" s="20">
        <f t="shared" si="589"/>
        <v>0.11916394341605475</v>
      </c>
      <c r="AL1956" s="17"/>
      <c r="AM1956" s="17"/>
      <c r="AN1956" s="17"/>
      <c r="AO1956" s="17"/>
      <c r="AP1956" s="28" t="str">
        <f t="shared" si="590"/>
        <v>CancelCancel</v>
      </c>
      <c r="AQ1956" s="28" t="str">
        <f t="shared" si="591"/>
        <v>CancelCancelJPY</v>
      </c>
      <c r="AR1956" s="206" t="str">
        <f t="shared" si="592"/>
        <v>YAMAHA_Mounter</v>
      </c>
      <c r="AS1956" s="22" t="str">
        <f t="shared" si="593"/>
        <v/>
      </c>
      <c r="AT1956" s="24" t="str">
        <f t="shared" si="594"/>
        <v/>
      </c>
    </row>
    <row r="1957" spans="1:46" s="12" customFormat="1">
      <c r="A1957" s="33" t="str">
        <f t="shared" si="582"/>
        <v>FY 19/20</v>
      </c>
      <c r="B1957" s="152">
        <v>2019</v>
      </c>
      <c r="C1957" s="152">
        <v>5</v>
      </c>
      <c r="D1957" s="33" t="str">
        <f t="shared" si="583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84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85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78"/>
        <v>9000000</v>
      </c>
      <c r="AA1957" s="13">
        <v>7.3400000000000007E-2</v>
      </c>
      <c r="AB1957" s="21">
        <f t="shared" si="586"/>
        <v>660600.00000000012</v>
      </c>
      <c r="AC1957" s="130">
        <f t="shared" si="587"/>
        <v>66060.000000000015</v>
      </c>
      <c r="AD1957" s="169">
        <v>0.1</v>
      </c>
      <c r="AE1957" s="154">
        <f t="shared" si="588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9"/>
        <v>31296887.037898075</v>
      </c>
      <c r="AJ1957" s="19">
        <f t="shared" si="580"/>
        <v>3588873.9502021763</v>
      </c>
      <c r="AK1957" s="20">
        <f t="shared" si="589"/>
        <v>0.11467191436184473</v>
      </c>
      <c r="AL1957" s="17"/>
      <c r="AM1957" s="17"/>
      <c r="AN1957" s="17"/>
      <c r="AO1957" s="17"/>
      <c r="AP1957" s="28" t="str">
        <f t="shared" si="590"/>
        <v>20196</v>
      </c>
      <c r="AQ1957" s="28" t="str">
        <f t="shared" si="591"/>
        <v>20196JPY</v>
      </c>
      <c r="AR1957" s="206" t="str">
        <f t="shared" si="592"/>
        <v>YAMAHA_Mounter</v>
      </c>
      <c r="AS1957" s="22">
        <f t="shared" si="593"/>
        <v>1</v>
      </c>
      <c r="AT1957" s="24" t="str">
        <f t="shared" si="594"/>
        <v>0-3 months</v>
      </c>
    </row>
    <row r="1958" spans="1:46" s="12" customFormat="1">
      <c r="A1958" s="33" t="str">
        <f t="shared" si="582"/>
        <v>FY 19/20</v>
      </c>
      <c r="B1958" s="152">
        <v>2019</v>
      </c>
      <c r="C1958" s="152">
        <v>5</v>
      </c>
      <c r="D1958" s="33" t="str">
        <f t="shared" si="583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84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85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78"/>
        <v>13500000</v>
      </c>
      <c r="AA1958" s="13">
        <v>7.3400000000000007E-2</v>
      </c>
      <c r="AB1958" s="21">
        <f t="shared" si="586"/>
        <v>990900.00000000012</v>
      </c>
      <c r="AC1958" s="130">
        <f t="shared" si="587"/>
        <v>99090.000000000015</v>
      </c>
      <c r="AD1958" s="169">
        <v>0.1</v>
      </c>
      <c r="AE1958" s="154">
        <f t="shared" si="588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9"/>
        <v>31296887.037898075</v>
      </c>
      <c r="AJ1958" s="19">
        <f t="shared" si="580"/>
        <v>3588873.9502021763</v>
      </c>
      <c r="AK1958" s="20">
        <f t="shared" si="589"/>
        <v>0.11467191436184473</v>
      </c>
      <c r="AL1958" s="17"/>
      <c r="AM1958" s="17"/>
      <c r="AN1958" s="17"/>
      <c r="AO1958" s="17"/>
      <c r="AP1958" s="28" t="str">
        <f t="shared" si="590"/>
        <v>20196</v>
      </c>
      <c r="AQ1958" s="28" t="str">
        <f t="shared" si="591"/>
        <v>20196JPY</v>
      </c>
      <c r="AR1958" s="206" t="str">
        <f t="shared" si="592"/>
        <v>YAMAHA_Mounter</v>
      </c>
      <c r="AS1958" s="22">
        <f t="shared" si="593"/>
        <v>1</v>
      </c>
      <c r="AT1958" s="24" t="str">
        <f t="shared" si="594"/>
        <v>0-3 months</v>
      </c>
    </row>
    <row r="1959" spans="1:46" s="12" customFormat="1">
      <c r="A1959" s="33" t="str">
        <f t="shared" si="582"/>
        <v>FY 19/20</v>
      </c>
      <c r="B1959" s="152">
        <v>2019</v>
      </c>
      <c r="C1959" s="152">
        <v>5</v>
      </c>
      <c r="D1959" s="33" t="str">
        <f t="shared" si="583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84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85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78"/>
        <v>13500000</v>
      </c>
      <c r="AA1959" s="13">
        <v>7.3400000000000007E-2</v>
      </c>
      <c r="AB1959" s="21">
        <f t="shared" si="586"/>
        <v>990900.00000000012</v>
      </c>
      <c r="AC1959" s="130">
        <f t="shared" si="587"/>
        <v>99090.000000000015</v>
      </c>
      <c r="AD1959" s="169">
        <v>0.1</v>
      </c>
      <c r="AE1959" s="154">
        <f t="shared" si="588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9"/>
        <v>31296887.037898075</v>
      </c>
      <c r="AJ1959" s="19">
        <f t="shared" si="580"/>
        <v>3588873.9502021763</v>
      </c>
      <c r="AK1959" s="20">
        <f t="shared" si="589"/>
        <v>0.11467191436184473</v>
      </c>
      <c r="AL1959" s="17"/>
      <c r="AM1959" s="17"/>
      <c r="AN1959" s="17"/>
      <c r="AO1959" s="17"/>
      <c r="AP1959" s="28" t="str">
        <f t="shared" si="590"/>
        <v>20196</v>
      </c>
      <c r="AQ1959" s="28" t="str">
        <f t="shared" si="591"/>
        <v>20196JPY</v>
      </c>
      <c r="AR1959" s="206" t="str">
        <f t="shared" si="592"/>
        <v>YAMAHA_Mounter</v>
      </c>
      <c r="AS1959" s="22">
        <f t="shared" si="593"/>
        <v>1</v>
      </c>
      <c r="AT1959" s="24" t="str">
        <f t="shared" si="594"/>
        <v>0-3 months</v>
      </c>
    </row>
    <row r="1960" spans="1:46" s="12" customFormat="1">
      <c r="A1960" s="33" t="str">
        <f t="shared" si="582"/>
        <v>FY 22/23</v>
      </c>
      <c r="B1960" s="152">
        <v>2023</v>
      </c>
      <c r="C1960" s="152">
        <v>3</v>
      </c>
      <c r="D1960" s="33" t="str">
        <f t="shared" si="583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84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85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78"/>
        <v>810000</v>
      </c>
      <c r="AA1960" s="13">
        <v>1.1299999999999999</v>
      </c>
      <c r="AB1960" s="21">
        <f t="shared" si="586"/>
        <v>810000</v>
      </c>
      <c r="AC1960" s="130">
        <f t="shared" si="587"/>
        <v>145314</v>
      </c>
      <c r="AD1960" s="169">
        <v>0.1794</v>
      </c>
      <c r="AE1960" s="154">
        <f t="shared" si="588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9"/>
        <v>33543315.897345133</v>
      </c>
      <c r="AJ1960" s="19">
        <f t="shared" si="580"/>
        <v>4706169.3252984071</v>
      </c>
      <c r="AK1960" s="20">
        <f t="shared" si="589"/>
        <v>0.14030125523967318</v>
      </c>
      <c r="AL1960" s="17"/>
      <c r="AM1960" s="17"/>
      <c r="AN1960" s="17"/>
      <c r="AO1960" s="17"/>
      <c r="AP1960" s="28" t="str">
        <f t="shared" si="590"/>
        <v>20233</v>
      </c>
      <c r="AQ1960" s="28" t="str">
        <f t="shared" si="591"/>
        <v>20233RMB</v>
      </c>
      <c r="AR1960" s="206" t="str">
        <f t="shared" si="592"/>
        <v>YAMAHA_Mounter</v>
      </c>
      <c r="AS1960" s="22">
        <f t="shared" si="593"/>
        <v>0</v>
      </c>
      <c r="AT1960" s="24" t="str">
        <f t="shared" si="594"/>
        <v>0-3 months</v>
      </c>
    </row>
    <row r="1961" spans="1:46" s="12" customFormat="1">
      <c r="A1961" s="33" t="str">
        <f t="shared" si="582"/>
        <v>FY 22/23</v>
      </c>
      <c r="B1961" s="152">
        <v>2023</v>
      </c>
      <c r="C1961" s="152">
        <v>3</v>
      </c>
      <c r="D1961" s="33" t="str">
        <f t="shared" si="583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84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85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78"/>
        <v>490000</v>
      </c>
      <c r="AA1961" s="13">
        <v>1.1299999999999999</v>
      </c>
      <c r="AB1961" s="21">
        <f t="shared" si="586"/>
        <v>490000</v>
      </c>
      <c r="AC1961" s="130">
        <f t="shared" si="587"/>
        <v>87906</v>
      </c>
      <c r="AD1961" s="169">
        <v>0.1794</v>
      </c>
      <c r="AE1961" s="154">
        <f t="shared" si="588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9"/>
        <v>33543315.897345133</v>
      </c>
      <c r="AJ1961" s="19">
        <f t="shared" si="580"/>
        <v>4706169.3252984071</v>
      </c>
      <c r="AK1961" s="20">
        <f t="shared" si="589"/>
        <v>0.14030125523967318</v>
      </c>
      <c r="AL1961" s="17"/>
      <c r="AM1961" s="17"/>
      <c r="AN1961" s="17"/>
      <c r="AO1961" s="17"/>
      <c r="AP1961" s="28" t="str">
        <f t="shared" si="590"/>
        <v>20233</v>
      </c>
      <c r="AQ1961" s="28" t="str">
        <f t="shared" si="591"/>
        <v>20233RMB</v>
      </c>
      <c r="AR1961" s="206" t="str">
        <f t="shared" si="592"/>
        <v>YAMAHA_Mounter</v>
      </c>
      <c r="AS1961" s="22">
        <f t="shared" si="593"/>
        <v>0</v>
      </c>
      <c r="AT1961" s="24" t="str">
        <f t="shared" si="594"/>
        <v>0-3 months</v>
      </c>
    </row>
    <row r="1962" spans="1:46" s="12" customFormat="1">
      <c r="A1962" s="33" t="str">
        <f t="shared" si="582"/>
        <v>FY 22/23</v>
      </c>
      <c r="B1962" s="152">
        <v>2023</v>
      </c>
      <c r="C1962" s="152">
        <v>3</v>
      </c>
      <c r="D1962" s="33" t="str">
        <f t="shared" si="583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84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85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95">IF(W1962="","",IF(W1962="RMB","1.13", "1"))</f>
        <v>1.13</v>
      </c>
      <c r="Z1962" s="18">
        <f t="shared" si="578"/>
        <v>129000</v>
      </c>
      <c r="AA1962" s="13">
        <v>1.1399999999999999</v>
      </c>
      <c r="AB1962" s="21">
        <f t="shared" si="586"/>
        <v>130141.59292035399</v>
      </c>
      <c r="AC1962" s="130">
        <f t="shared" si="587"/>
        <v>4919.3522123893808</v>
      </c>
      <c r="AD1962" s="169">
        <v>3.78E-2</v>
      </c>
      <c r="AE1962" s="154">
        <f t="shared" si="588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9"/>
        <v>30573205.452778768</v>
      </c>
      <c r="AJ1962" s="19">
        <f t="shared" si="580"/>
        <v>3790930.1683151261</v>
      </c>
      <c r="AK1962" s="20">
        <f t="shared" si="589"/>
        <v>0.12399518179964254</v>
      </c>
      <c r="AL1962" s="17"/>
      <c r="AM1962" s="17"/>
      <c r="AN1962" s="17"/>
      <c r="AO1962" s="17"/>
      <c r="AP1962" s="28" t="str">
        <f t="shared" si="590"/>
        <v>20234</v>
      </c>
      <c r="AQ1962" s="28" t="str">
        <f t="shared" si="591"/>
        <v>20234RMB</v>
      </c>
      <c r="AR1962" s="206" t="str">
        <f t="shared" si="592"/>
        <v>LOCAL SUPPLIER</v>
      </c>
      <c r="AS1962" s="22">
        <f t="shared" si="593"/>
        <v>1</v>
      </c>
      <c r="AT1962" s="24" t="str">
        <f t="shared" si="594"/>
        <v>0-3 months</v>
      </c>
    </row>
    <row r="1963" spans="1:46" s="12" customFormat="1">
      <c r="A1963" s="33" t="str">
        <f t="shared" si="582"/>
        <v>FY 22/23</v>
      </c>
      <c r="B1963" s="152">
        <v>2023</v>
      </c>
      <c r="C1963" s="152">
        <v>3</v>
      </c>
      <c r="D1963" s="33" t="str">
        <f t="shared" si="583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84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85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95"/>
        <v>1.13</v>
      </c>
      <c r="Z1963" s="18">
        <f t="shared" si="578"/>
        <v>171000</v>
      </c>
      <c r="AA1963" s="13">
        <v>1.1399999999999999</v>
      </c>
      <c r="AB1963" s="21">
        <f t="shared" si="586"/>
        <v>172513.27433628318</v>
      </c>
      <c r="AC1963" s="130">
        <f t="shared" si="587"/>
        <v>6521.0017699115042</v>
      </c>
      <c r="AD1963" s="169">
        <v>3.78E-2</v>
      </c>
      <c r="AE1963" s="154">
        <f t="shared" si="588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9"/>
        <v>30573205.452778768</v>
      </c>
      <c r="AJ1963" s="19">
        <f t="shared" si="580"/>
        <v>3790930.1683151261</v>
      </c>
      <c r="AK1963" s="20">
        <f t="shared" si="589"/>
        <v>0.12399518179964254</v>
      </c>
      <c r="AL1963" s="17"/>
      <c r="AM1963" s="17"/>
      <c r="AN1963" s="17"/>
      <c r="AO1963" s="17"/>
      <c r="AP1963" s="28" t="str">
        <f t="shared" si="590"/>
        <v>20234</v>
      </c>
      <c r="AQ1963" s="28" t="str">
        <f t="shared" si="591"/>
        <v>20234RMB</v>
      </c>
      <c r="AR1963" s="206" t="str">
        <f t="shared" si="592"/>
        <v>LOCAL SUPPLIER</v>
      </c>
      <c r="AS1963" s="22">
        <f t="shared" si="593"/>
        <v>1</v>
      </c>
      <c r="AT1963" s="24" t="str">
        <f t="shared" si="594"/>
        <v>0-3 months</v>
      </c>
    </row>
    <row r="1964" spans="1:46" s="12" customFormat="1">
      <c r="A1964" s="33" t="str">
        <f t="shared" si="582"/>
        <v>FY 22/23</v>
      </c>
      <c r="B1964" s="152">
        <v>2023</v>
      </c>
      <c r="C1964" s="152">
        <v>3</v>
      </c>
      <c r="D1964" s="33" t="str">
        <f t="shared" si="583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84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85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95"/>
        <v>1.13</v>
      </c>
      <c r="Z1964" s="18">
        <f t="shared" si="578"/>
        <v>171000</v>
      </c>
      <c r="AA1964" s="13">
        <v>1.1399999999999999</v>
      </c>
      <c r="AB1964" s="21">
        <f t="shared" si="586"/>
        <v>172513.27433628318</v>
      </c>
      <c r="AC1964" s="130">
        <f t="shared" si="587"/>
        <v>6521.0017699115042</v>
      </c>
      <c r="AD1964" s="169">
        <v>3.78E-2</v>
      </c>
      <c r="AE1964" s="154">
        <f t="shared" si="588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9"/>
        <v>30573205.452778768</v>
      </c>
      <c r="AJ1964" s="19">
        <f t="shared" si="580"/>
        <v>3790930.1683151261</v>
      </c>
      <c r="AK1964" s="20">
        <f t="shared" si="589"/>
        <v>0.12399518179964254</v>
      </c>
      <c r="AL1964" s="17"/>
      <c r="AM1964" s="17"/>
      <c r="AN1964" s="17"/>
      <c r="AO1964" s="17"/>
      <c r="AP1964" s="28" t="str">
        <f t="shared" si="590"/>
        <v>20234</v>
      </c>
      <c r="AQ1964" s="28" t="str">
        <f t="shared" si="591"/>
        <v>20234RMB</v>
      </c>
      <c r="AR1964" s="206" t="str">
        <f t="shared" si="592"/>
        <v>LOCAL SUPPLIER</v>
      </c>
      <c r="AS1964" s="22">
        <f t="shared" si="593"/>
        <v>1</v>
      </c>
      <c r="AT1964" s="24" t="str">
        <f t="shared" si="594"/>
        <v>0-3 months</v>
      </c>
    </row>
    <row r="1965" spans="1:46" s="12" customFormat="1">
      <c r="A1965" s="33" t="str">
        <f t="shared" si="582"/>
        <v>FY 22/23</v>
      </c>
      <c r="B1965" s="152">
        <v>2023</v>
      </c>
      <c r="C1965" s="152">
        <v>3</v>
      </c>
      <c r="D1965" s="33" t="str">
        <f t="shared" si="583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84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85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95"/>
        <v>1.13</v>
      </c>
      <c r="Z1965" s="18">
        <f t="shared" si="578"/>
        <v>195000</v>
      </c>
      <c r="AA1965" s="13">
        <v>1.1399999999999999</v>
      </c>
      <c r="AB1965" s="21">
        <f t="shared" si="586"/>
        <v>196725.66371681416</v>
      </c>
      <c r="AC1965" s="130">
        <f t="shared" si="587"/>
        <v>7436.2300884955757</v>
      </c>
      <c r="AD1965" s="169">
        <v>3.78E-2</v>
      </c>
      <c r="AE1965" s="154">
        <f t="shared" si="588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9"/>
        <v>30573205.452778768</v>
      </c>
      <c r="AJ1965" s="19">
        <f t="shared" si="580"/>
        <v>3790930.1683151261</v>
      </c>
      <c r="AK1965" s="20">
        <f t="shared" si="589"/>
        <v>0.12399518179964254</v>
      </c>
      <c r="AL1965" s="17"/>
      <c r="AM1965" s="17"/>
      <c r="AN1965" s="17"/>
      <c r="AO1965" s="17"/>
      <c r="AP1965" s="28" t="str">
        <f t="shared" si="590"/>
        <v>20234</v>
      </c>
      <c r="AQ1965" s="28" t="str">
        <f t="shared" si="591"/>
        <v>20234RMB</v>
      </c>
      <c r="AR1965" s="206" t="str">
        <f t="shared" si="592"/>
        <v>LOCAL SUPPLIER</v>
      </c>
      <c r="AS1965" s="22">
        <f t="shared" si="593"/>
        <v>1</v>
      </c>
      <c r="AT1965" s="24" t="str">
        <f t="shared" si="594"/>
        <v>0-3 months</v>
      </c>
    </row>
    <row r="1966" spans="1:46" s="12" customFormat="1">
      <c r="A1966" s="33" t="str">
        <f t="shared" si="582"/>
        <v>FY 22/23</v>
      </c>
      <c r="B1966" s="152">
        <v>2023</v>
      </c>
      <c r="C1966" s="152">
        <v>3</v>
      </c>
      <c r="D1966" s="33" t="str">
        <f t="shared" si="583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84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85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95"/>
        <v>1.13</v>
      </c>
      <c r="Z1966" s="18">
        <f t="shared" si="578"/>
        <v>127000</v>
      </c>
      <c r="AA1966" s="13">
        <v>1.1399999999999999</v>
      </c>
      <c r="AB1966" s="21">
        <f t="shared" si="586"/>
        <v>128123.89380530974</v>
      </c>
      <c r="AC1966" s="130">
        <f t="shared" si="587"/>
        <v>4843.0831858407082</v>
      </c>
      <c r="AD1966" s="169">
        <v>3.78E-2</v>
      </c>
      <c r="AE1966" s="154">
        <f t="shared" si="588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9"/>
        <v>30573205.452778768</v>
      </c>
      <c r="AJ1966" s="19">
        <f t="shared" si="580"/>
        <v>3790930.1683151261</v>
      </c>
      <c r="AK1966" s="20">
        <f t="shared" si="589"/>
        <v>0.12399518179964254</v>
      </c>
      <c r="AL1966" s="17"/>
      <c r="AM1966" s="17"/>
      <c r="AN1966" s="17"/>
      <c r="AO1966" s="17"/>
      <c r="AP1966" s="28" t="str">
        <f t="shared" si="590"/>
        <v>20234</v>
      </c>
      <c r="AQ1966" s="28" t="str">
        <f t="shared" si="591"/>
        <v>20234RMB</v>
      </c>
      <c r="AR1966" s="206" t="str">
        <f t="shared" si="592"/>
        <v>LOCAL SUPPLIER</v>
      </c>
      <c r="AS1966" s="22">
        <f t="shared" si="593"/>
        <v>1</v>
      </c>
      <c r="AT1966" s="24" t="str">
        <f t="shared" si="594"/>
        <v>0-3 months</v>
      </c>
    </row>
    <row r="1967" spans="1:46" s="12" customFormat="1" ht="28">
      <c r="A1967" s="33" t="str">
        <f t="shared" si="582"/>
        <v>FY 22/23</v>
      </c>
      <c r="B1967" s="152">
        <v>2023</v>
      </c>
      <c r="C1967" s="152">
        <v>3</v>
      </c>
      <c r="D1967" s="33" t="str">
        <f t="shared" si="583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84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85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95"/>
        <v>1.13</v>
      </c>
      <c r="Z1967" s="18">
        <f t="shared" si="578"/>
        <v>12600</v>
      </c>
      <c r="AA1967" s="13">
        <v>1.1399999999999999</v>
      </c>
      <c r="AB1967" s="21">
        <f t="shared" si="586"/>
        <v>12711.504424778761</v>
      </c>
      <c r="AC1967" s="130">
        <f t="shared" si="587"/>
        <v>2078.3309734513273</v>
      </c>
      <c r="AD1967" s="169">
        <v>0.16350000000000001</v>
      </c>
      <c r="AE1967" s="154">
        <f t="shared" si="588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9"/>
        <v>30573205.452778768</v>
      </c>
      <c r="AJ1967" s="19">
        <f t="shared" si="580"/>
        <v>3790930.1683151261</v>
      </c>
      <c r="AK1967" s="20">
        <f t="shared" si="589"/>
        <v>0.12399518179964254</v>
      </c>
      <c r="AL1967" s="17"/>
      <c r="AM1967" s="17"/>
      <c r="AN1967" s="17"/>
      <c r="AO1967" s="17"/>
      <c r="AP1967" s="28" t="str">
        <f t="shared" si="590"/>
        <v>20234</v>
      </c>
      <c r="AQ1967" s="28" t="str">
        <f t="shared" si="591"/>
        <v>20234RMB</v>
      </c>
      <c r="AR1967" s="206" t="str">
        <f t="shared" si="592"/>
        <v>LOCAL SUPPLIER</v>
      </c>
      <c r="AS1967" s="22">
        <f t="shared" si="593"/>
        <v>1</v>
      </c>
      <c r="AT1967" s="24" t="str">
        <f t="shared" si="594"/>
        <v>0-3 months</v>
      </c>
    </row>
    <row r="1968" spans="1:46" s="12" customFormat="1" ht="28">
      <c r="A1968" s="33" t="str">
        <f t="shared" si="582"/>
        <v>FY 22/23</v>
      </c>
      <c r="B1968" s="152">
        <v>2023</v>
      </c>
      <c r="C1968" s="152">
        <v>3</v>
      </c>
      <c r="D1968" s="33" t="str">
        <f t="shared" si="583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84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85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95"/>
        <v>1.13</v>
      </c>
      <c r="Z1968" s="18">
        <f t="shared" si="578"/>
        <v>2700</v>
      </c>
      <c r="AA1968" s="13">
        <v>1.1399999999999999</v>
      </c>
      <c r="AB1968" s="21">
        <f t="shared" si="586"/>
        <v>2723.8938053097345</v>
      </c>
      <c r="AC1968" s="130">
        <f t="shared" si="587"/>
        <v>445.35663716814162</v>
      </c>
      <c r="AD1968" s="169">
        <v>0.16350000000000001</v>
      </c>
      <c r="AE1968" s="154">
        <f t="shared" si="588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9"/>
        <v>30573205.452778768</v>
      </c>
      <c r="AJ1968" s="19">
        <f t="shared" si="580"/>
        <v>3790930.1683151261</v>
      </c>
      <c r="AK1968" s="20">
        <f t="shared" si="589"/>
        <v>0.12399518179964254</v>
      </c>
      <c r="AL1968" s="17"/>
      <c r="AM1968" s="17"/>
      <c r="AN1968" s="17"/>
      <c r="AO1968" s="17"/>
      <c r="AP1968" s="28" t="str">
        <f t="shared" si="590"/>
        <v>20234</v>
      </c>
      <c r="AQ1968" s="28" t="str">
        <f t="shared" si="591"/>
        <v>20234RMB</v>
      </c>
      <c r="AR1968" s="206" t="str">
        <f t="shared" si="592"/>
        <v>LOCAL SUPPLIER</v>
      </c>
      <c r="AS1968" s="22">
        <f t="shared" si="593"/>
        <v>1</v>
      </c>
      <c r="AT1968" s="24" t="str">
        <f t="shared" si="594"/>
        <v>0-3 months</v>
      </c>
    </row>
    <row r="1969" spans="1:46" s="12" customFormat="1" ht="28">
      <c r="A1969" s="33" t="str">
        <f t="shared" si="582"/>
        <v>FY 22/23</v>
      </c>
      <c r="B1969" s="152">
        <v>2023</v>
      </c>
      <c r="C1969" s="152">
        <v>3</v>
      </c>
      <c r="D1969" s="33" t="str">
        <f t="shared" si="583"/>
        <v>Q4</v>
      </c>
      <c r="E1969" s="33" t="str">
        <f t="shared" ref="E1969:E1981" si="59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84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85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95"/>
        <v>1.13</v>
      </c>
      <c r="Z1969" s="18">
        <f t="shared" si="578"/>
        <v>32000</v>
      </c>
      <c r="AA1969" s="13">
        <v>1.1399999999999999</v>
      </c>
      <c r="AB1969" s="21">
        <f t="shared" si="586"/>
        <v>32283.185840707967</v>
      </c>
      <c r="AC1969" s="130">
        <f t="shared" si="587"/>
        <v>5278.3008849557527</v>
      </c>
      <c r="AD1969" s="169">
        <v>0.16350000000000001</v>
      </c>
      <c r="AE1969" s="154">
        <f t="shared" si="588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9"/>
        <v>30573205.452778768</v>
      </c>
      <c r="AJ1969" s="19">
        <f t="shared" si="580"/>
        <v>3790930.1683151261</v>
      </c>
      <c r="AK1969" s="20">
        <f t="shared" si="589"/>
        <v>0.12399518179964254</v>
      </c>
      <c r="AL1969" s="17"/>
      <c r="AM1969" s="17"/>
      <c r="AN1969" s="17"/>
      <c r="AO1969" s="17"/>
      <c r="AP1969" s="28" t="str">
        <f t="shared" si="590"/>
        <v>20234</v>
      </c>
      <c r="AQ1969" s="28" t="str">
        <f t="shared" si="591"/>
        <v>20234RMB</v>
      </c>
      <c r="AR1969" s="206" t="str">
        <f t="shared" si="592"/>
        <v>LOCAL SUPPLIER</v>
      </c>
      <c r="AS1969" s="22">
        <f t="shared" si="593"/>
        <v>1</v>
      </c>
      <c r="AT1969" s="24" t="str">
        <f t="shared" si="594"/>
        <v>0-3 months</v>
      </c>
    </row>
    <row r="1970" spans="1:46" s="12" customFormat="1" ht="28">
      <c r="A1970" s="33" t="str">
        <f t="shared" si="582"/>
        <v>FY 22/23</v>
      </c>
      <c r="B1970" s="152">
        <v>2023</v>
      </c>
      <c r="C1970" s="152">
        <v>3</v>
      </c>
      <c r="D1970" s="33" t="str">
        <f t="shared" si="583"/>
        <v>Q4</v>
      </c>
      <c r="E1970" s="33" t="str">
        <f t="shared" si="596"/>
        <v>FY 23/24</v>
      </c>
      <c r="F1970" s="152">
        <v>2023</v>
      </c>
      <c r="G1970" s="152">
        <v>4</v>
      </c>
      <c r="H1970" s="155"/>
      <c r="I1970" s="33" t="str">
        <f t="shared" si="584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85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95"/>
        <v>1.13</v>
      </c>
      <c r="Z1970" s="18">
        <f t="shared" si="578"/>
        <v>4000</v>
      </c>
      <c r="AA1970" s="13">
        <v>1.1399999999999999</v>
      </c>
      <c r="AB1970" s="21">
        <f t="shared" si="586"/>
        <v>4035.3982300884959</v>
      </c>
      <c r="AC1970" s="130">
        <f t="shared" si="587"/>
        <v>659.78761061946909</v>
      </c>
      <c r="AD1970" s="169">
        <v>0.16350000000000001</v>
      </c>
      <c r="AE1970" s="154">
        <f t="shared" si="588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9"/>
        <v>30573205.452778768</v>
      </c>
      <c r="AJ1970" s="19">
        <f t="shared" si="580"/>
        <v>3790930.1683151261</v>
      </c>
      <c r="AK1970" s="20">
        <f t="shared" si="589"/>
        <v>0.12399518179964254</v>
      </c>
      <c r="AL1970" s="17"/>
      <c r="AM1970" s="17"/>
      <c r="AN1970" s="17"/>
      <c r="AO1970" s="17"/>
      <c r="AP1970" s="28" t="str">
        <f t="shared" si="590"/>
        <v>20234</v>
      </c>
      <c r="AQ1970" s="28" t="str">
        <f t="shared" si="591"/>
        <v>20234RMB</v>
      </c>
      <c r="AR1970" s="206" t="str">
        <f t="shared" si="592"/>
        <v>LOCAL SUPPLIER</v>
      </c>
      <c r="AS1970" s="22">
        <f t="shared" si="593"/>
        <v>1</v>
      </c>
      <c r="AT1970" s="24" t="str">
        <f t="shared" si="594"/>
        <v>0-3 months</v>
      </c>
    </row>
    <row r="1971" spans="1:46" s="12" customFormat="1" ht="28">
      <c r="A1971" s="33" t="str">
        <f t="shared" si="582"/>
        <v>FY 22/23</v>
      </c>
      <c r="B1971" s="152">
        <v>2023</v>
      </c>
      <c r="C1971" s="152">
        <v>3</v>
      </c>
      <c r="D1971" s="33" t="str">
        <f t="shared" si="583"/>
        <v>Q4</v>
      </c>
      <c r="E1971" s="33" t="str">
        <f t="shared" si="596"/>
        <v>FY 23/24</v>
      </c>
      <c r="F1971" s="152">
        <v>2023</v>
      </c>
      <c r="G1971" s="152">
        <v>4</v>
      </c>
      <c r="H1971" s="155"/>
      <c r="I1971" s="33" t="str">
        <f t="shared" si="584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85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95"/>
        <v>1.13</v>
      </c>
      <c r="Z1971" s="18">
        <f t="shared" si="578"/>
        <v>6200</v>
      </c>
      <c r="AA1971" s="13">
        <v>1.1399999999999999</v>
      </c>
      <c r="AB1971" s="21">
        <f t="shared" si="586"/>
        <v>6254.8672566371679</v>
      </c>
      <c r="AC1971" s="130">
        <f t="shared" si="587"/>
        <v>1022.670796460177</v>
      </c>
      <c r="AD1971" s="169">
        <v>0.16350000000000001</v>
      </c>
      <c r="AE1971" s="154">
        <f t="shared" si="588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9"/>
        <v>30573205.452778768</v>
      </c>
      <c r="AJ1971" s="19">
        <f t="shared" si="580"/>
        <v>3790930.1683151261</v>
      </c>
      <c r="AK1971" s="20">
        <f t="shared" si="589"/>
        <v>0.12399518179964254</v>
      </c>
      <c r="AL1971" s="17"/>
      <c r="AM1971" s="17"/>
      <c r="AN1971" s="17"/>
      <c r="AO1971" s="17"/>
      <c r="AP1971" s="28" t="str">
        <f t="shared" si="590"/>
        <v>20234</v>
      </c>
      <c r="AQ1971" s="28" t="str">
        <f t="shared" si="591"/>
        <v>20234RMB</v>
      </c>
      <c r="AR1971" s="206" t="str">
        <f t="shared" si="592"/>
        <v>LOCAL SUPPLIER</v>
      </c>
      <c r="AS1971" s="22">
        <f t="shared" si="593"/>
        <v>1</v>
      </c>
      <c r="AT1971" s="24" t="str">
        <f t="shared" si="594"/>
        <v>0-3 months</v>
      </c>
    </row>
    <row r="1972" spans="1:46" s="12" customFormat="1" ht="28">
      <c r="A1972" s="33" t="str">
        <f t="shared" si="582"/>
        <v>FY 22/23</v>
      </c>
      <c r="B1972" s="152">
        <v>2023</v>
      </c>
      <c r="C1972" s="152">
        <v>3</v>
      </c>
      <c r="D1972" s="33" t="str">
        <f t="shared" si="583"/>
        <v>Q4</v>
      </c>
      <c r="E1972" s="33" t="str">
        <f t="shared" si="596"/>
        <v>FY 23/24</v>
      </c>
      <c r="F1972" s="152">
        <v>2023</v>
      </c>
      <c r="G1972" s="152">
        <v>4</v>
      </c>
      <c r="H1972" s="155"/>
      <c r="I1972" s="33" t="str">
        <f t="shared" si="584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85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95"/>
        <v>1.13</v>
      </c>
      <c r="Z1972" s="18">
        <f t="shared" si="578"/>
        <v>30000</v>
      </c>
      <c r="AA1972" s="13">
        <v>1.1399999999999999</v>
      </c>
      <c r="AB1972" s="21">
        <f t="shared" si="586"/>
        <v>30265.486725663715</v>
      </c>
      <c r="AC1972" s="130">
        <f t="shared" si="587"/>
        <v>4948.4070796460173</v>
      </c>
      <c r="AD1972" s="169">
        <v>0.16350000000000001</v>
      </c>
      <c r="AE1972" s="154">
        <f t="shared" si="588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9"/>
        <v>30573205.452778768</v>
      </c>
      <c r="AJ1972" s="19">
        <f t="shared" si="580"/>
        <v>3790930.1683151261</v>
      </c>
      <c r="AK1972" s="20">
        <f t="shared" si="589"/>
        <v>0.12399518179964254</v>
      </c>
      <c r="AL1972" s="17"/>
      <c r="AM1972" s="17"/>
      <c r="AN1972" s="17"/>
      <c r="AO1972" s="17"/>
      <c r="AP1972" s="28" t="str">
        <f t="shared" si="590"/>
        <v>20234</v>
      </c>
      <c r="AQ1972" s="28" t="str">
        <f t="shared" si="591"/>
        <v>20234RMB</v>
      </c>
      <c r="AR1972" s="206" t="str">
        <f t="shared" si="592"/>
        <v>LOCAL SUPPLIER</v>
      </c>
      <c r="AS1972" s="22">
        <f t="shared" si="593"/>
        <v>1</v>
      </c>
      <c r="AT1972" s="24" t="str">
        <f t="shared" si="594"/>
        <v>0-3 months</v>
      </c>
    </row>
    <row r="1973" spans="1:46" s="12" customFormat="1" ht="28">
      <c r="A1973" s="33" t="str">
        <f t="shared" si="582"/>
        <v>FY 22/23</v>
      </c>
      <c r="B1973" s="152">
        <v>2023</v>
      </c>
      <c r="C1973" s="152">
        <v>3</v>
      </c>
      <c r="D1973" s="33" t="str">
        <f t="shared" si="583"/>
        <v>Q4</v>
      </c>
      <c r="E1973" s="33" t="str">
        <f t="shared" si="596"/>
        <v>FY 23/24</v>
      </c>
      <c r="F1973" s="152">
        <v>2023</v>
      </c>
      <c r="G1973" s="152">
        <v>4</v>
      </c>
      <c r="H1973" s="155"/>
      <c r="I1973" s="33" t="str">
        <f t="shared" si="584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85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95"/>
        <v>1.13</v>
      </c>
      <c r="Z1973" s="18">
        <f t="shared" si="578"/>
        <v>12500</v>
      </c>
      <c r="AA1973" s="13">
        <v>1.1399999999999999</v>
      </c>
      <c r="AB1973" s="21">
        <f t="shared" si="586"/>
        <v>12610.619469026549</v>
      </c>
      <c r="AC1973" s="130">
        <f t="shared" si="587"/>
        <v>2061.8362831858408</v>
      </c>
      <c r="AD1973" s="169">
        <v>0.16350000000000001</v>
      </c>
      <c r="AE1973" s="154">
        <f t="shared" si="588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9"/>
        <v>30573205.452778768</v>
      </c>
      <c r="AJ1973" s="19">
        <f t="shared" si="580"/>
        <v>3790930.1683151261</v>
      </c>
      <c r="AK1973" s="20">
        <f t="shared" si="589"/>
        <v>0.12399518179964254</v>
      </c>
      <c r="AL1973" s="17"/>
      <c r="AM1973" s="17"/>
      <c r="AN1973" s="17"/>
      <c r="AO1973" s="17"/>
      <c r="AP1973" s="28" t="str">
        <f t="shared" si="590"/>
        <v>20234</v>
      </c>
      <c r="AQ1973" s="28" t="str">
        <f t="shared" si="591"/>
        <v>20234RMB</v>
      </c>
      <c r="AR1973" s="206" t="str">
        <f t="shared" si="592"/>
        <v>LOCAL SUPPLIER</v>
      </c>
      <c r="AS1973" s="22">
        <f t="shared" si="593"/>
        <v>1</v>
      </c>
      <c r="AT1973" s="24" t="str">
        <f t="shared" si="594"/>
        <v>0-3 months</v>
      </c>
    </row>
    <row r="1974" spans="1:46" s="12" customFormat="1" ht="28">
      <c r="A1974" s="33" t="str">
        <f t="shared" si="582"/>
        <v>FY 22/23</v>
      </c>
      <c r="B1974" s="152">
        <v>2023</v>
      </c>
      <c r="C1974" s="152">
        <v>3</v>
      </c>
      <c r="D1974" s="33" t="str">
        <f t="shared" si="583"/>
        <v>Q4</v>
      </c>
      <c r="E1974" s="33" t="str">
        <f t="shared" si="596"/>
        <v>FY 23/24</v>
      </c>
      <c r="F1974" s="152">
        <v>2023</v>
      </c>
      <c r="G1974" s="152">
        <v>4</v>
      </c>
      <c r="H1974" s="155"/>
      <c r="I1974" s="33" t="str">
        <f t="shared" si="584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85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95"/>
        <v>1.13</v>
      </c>
      <c r="Z1974" s="18">
        <f t="shared" si="578"/>
        <v>12500</v>
      </c>
      <c r="AA1974" s="13">
        <v>1.1399999999999999</v>
      </c>
      <c r="AB1974" s="21">
        <f t="shared" si="586"/>
        <v>12610.619469026549</v>
      </c>
      <c r="AC1974" s="130">
        <f t="shared" si="587"/>
        <v>2061.8362831858408</v>
      </c>
      <c r="AD1974" s="169">
        <v>0.16350000000000001</v>
      </c>
      <c r="AE1974" s="154">
        <f t="shared" si="588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9"/>
        <v>30573205.452778768</v>
      </c>
      <c r="AJ1974" s="19">
        <f t="shared" si="580"/>
        <v>3790930.1683151261</v>
      </c>
      <c r="AK1974" s="20">
        <f t="shared" si="589"/>
        <v>0.12399518179964254</v>
      </c>
      <c r="AL1974" s="17"/>
      <c r="AM1974" s="17"/>
      <c r="AN1974" s="17"/>
      <c r="AO1974" s="17"/>
      <c r="AP1974" s="28" t="str">
        <f t="shared" si="590"/>
        <v>20234</v>
      </c>
      <c r="AQ1974" s="28" t="str">
        <f t="shared" si="591"/>
        <v>20234RMB</v>
      </c>
      <c r="AR1974" s="206" t="str">
        <f t="shared" si="592"/>
        <v>LOCAL SUPPLIER</v>
      </c>
      <c r="AS1974" s="22">
        <f t="shared" si="593"/>
        <v>1</v>
      </c>
      <c r="AT1974" s="24" t="str">
        <f t="shared" si="594"/>
        <v>0-3 months</v>
      </c>
    </row>
    <row r="1975" spans="1:46" s="12" customFormat="1" ht="28">
      <c r="A1975" s="33" t="str">
        <f t="shared" si="582"/>
        <v>FY 22/23</v>
      </c>
      <c r="B1975" s="152">
        <v>2023</v>
      </c>
      <c r="C1975" s="152">
        <v>3</v>
      </c>
      <c r="D1975" s="33" t="str">
        <f t="shared" si="583"/>
        <v>Q4</v>
      </c>
      <c r="E1975" s="33" t="str">
        <f t="shared" si="596"/>
        <v>FY 23/24</v>
      </c>
      <c r="F1975" s="152">
        <v>2023</v>
      </c>
      <c r="G1975" s="152">
        <v>4</v>
      </c>
      <c r="H1975" s="155"/>
      <c r="I1975" s="33" t="str">
        <f t="shared" si="584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85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95"/>
        <v>1.13</v>
      </c>
      <c r="Z1975" s="18">
        <f t="shared" si="578"/>
        <v>12500</v>
      </c>
      <c r="AA1975" s="13">
        <v>1.1399999999999999</v>
      </c>
      <c r="AB1975" s="21">
        <f t="shared" si="586"/>
        <v>12610.619469026549</v>
      </c>
      <c r="AC1975" s="130">
        <f t="shared" si="587"/>
        <v>2061.8362831858408</v>
      </c>
      <c r="AD1975" s="169">
        <v>0.16350000000000001</v>
      </c>
      <c r="AE1975" s="154">
        <f t="shared" si="588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9"/>
        <v>30573205.452778768</v>
      </c>
      <c r="AJ1975" s="19">
        <f t="shared" si="580"/>
        <v>3790930.1683151261</v>
      </c>
      <c r="AK1975" s="20">
        <f t="shared" si="589"/>
        <v>0.12399518179964254</v>
      </c>
      <c r="AL1975" s="17"/>
      <c r="AM1975" s="17"/>
      <c r="AN1975" s="17"/>
      <c r="AO1975" s="17"/>
      <c r="AP1975" s="28" t="str">
        <f t="shared" si="590"/>
        <v>20234</v>
      </c>
      <c r="AQ1975" s="28" t="str">
        <f t="shared" si="591"/>
        <v>20234RMB</v>
      </c>
      <c r="AR1975" s="206" t="str">
        <f t="shared" si="592"/>
        <v>LOCAL SUPPLIER</v>
      </c>
      <c r="AS1975" s="22">
        <f t="shared" si="593"/>
        <v>1</v>
      </c>
      <c r="AT1975" s="24" t="str">
        <f t="shared" si="594"/>
        <v>0-3 months</v>
      </c>
    </row>
    <row r="1976" spans="1:46" s="12" customFormat="1" ht="28">
      <c r="A1976" s="33" t="str">
        <f t="shared" si="582"/>
        <v>FY 22/23</v>
      </c>
      <c r="B1976" s="152">
        <v>2023</v>
      </c>
      <c r="C1976" s="152">
        <v>3</v>
      </c>
      <c r="D1976" s="33" t="str">
        <f t="shared" si="583"/>
        <v>Q4</v>
      </c>
      <c r="E1976" s="33" t="str">
        <f t="shared" si="596"/>
        <v>FY 23/24</v>
      </c>
      <c r="F1976" s="152">
        <v>2023</v>
      </c>
      <c r="G1976" s="152">
        <v>4</v>
      </c>
      <c r="H1976" s="155"/>
      <c r="I1976" s="33" t="str">
        <f t="shared" si="584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85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95"/>
        <v>1.13</v>
      </c>
      <c r="Z1976" s="18">
        <f t="shared" si="578"/>
        <v>11500</v>
      </c>
      <c r="AA1976" s="13">
        <v>1.1399999999999999</v>
      </c>
      <c r="AB1976" s="21">
        <f t="shared" si="586"/>
        <v>11601.769911504423</v>
      </c>
      <c r="AC1976" s="130">
        <f t="shared" si="587"/>
        <v>1896.8893805309733</v>
      </c>
      <c r="AD1976" s="169">
        <v>0.16350000000000001</v>
      </c>
      <c r="AE1976" s="154">
        <f t="shared" si="588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9"/>
        <v>30573205.452778768</v>
      </c>
      <c r="AJ1976" s="19">
        <f t="shared" si="580"/>
        <v>3790930.1683151261</v>
      </c>
      <c r="AK1976" s="20">
        <f t="shared" si="589"/>
        <v>0.12399518179964254</v>
      </c>
      <c r="AL1976" s="17"/>
      <c r="AM1976" s="17"/>
      <c r="AN1976" s="17"/>
      <c r="AO1976" s="17"/>
      <c r="AP1976" s="28" t="str">
        <f t="shared" si="590"/>
        <v>20234</v>
      </c>
      <c r="AQ1976" s="28" t="str">
        <f t="shared" si="591"/>
        <v>20234RMB</v>
      </c>
      <c r="AR1976" s="206" t="str">
        <f t="shared" si="592"/>
        <v>LOCAL SUPPLIER</v>
      </c>
      <c r="AS1976" s="22">
        <f t="shared" si="593"/>
        <v>1</v>
      </c>
      <c r="AT1976" s="24" t="str">
        <f t="shared" si="594"/>
        <v>0-3 months</v>
      </c>
    </row>
    <row r="1977" spans="1:46" s="12" customFormat="1">
      <c r="A1977" s="33" t="str">
        <f t="shared" si="582"/>
        <v>FY 23/24</v>
      </c>
      <c r="B1977" s="152">
        <v>2023</v>
      </c>
      <c r="C1977" s="152">
        <v>12</v>
      </c>
      <c r="D1977" s="33" t="str">
        <f t="shared" si="583"/>
        <v>Q3</v>
      </c>
      <c r="E1977" s="33" t="str">
        <f t="shared" si="596"/>
        <v>FY 23/24</v>
      </c>
      <c r="F1977" s="152">
        <v>2024</v>
      </c>
      <c r="G1977" s="152">
        <v>1</v>
      </c>
      <c r="H1977" s="155"/>
      <c r="I1977" s="33" t="str">
        <f t="shared" si="584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85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95"/>
        <v>1.13</v>
      </c>
      <c r="Z1977" s="18">
        <f t="shared" si="578"/>
        <v>800000</v>
      </c>
      <c r="AA1977" s="13">
        <v>1.0900000000000001</v>
      </c>
      <c r="AB1977" s="21">
        <f t="shared" si="586"/>
        <v>771681.41592920374</v>
      </c>
      <c r="AC1977" s="130">
        <f t="shared" si="587"/>
        <v>108575.57522123896</v>
      </c>
      <c r="AD1977" s="169">
        <v>0.14069999999999999</v>
      </c>
      <c r="AE1977" s="154">
        <f t="shared" si="588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9"/>
        <v>21575119.674336284</v>
      </c>
      <c r="AJ1977" s="19">
        <f t="shared" si="580"/>
        <v>2556656.3801490259</v>
      </c>
      <c r="AK1977" s="20">
        <f t="shared" si="589"/>
        <v>0.1185002177851269</v>
      </c>
      <c r="AL1977" s="17"/>
      <c r="AM1977" s="17"/>
      <c r="AN1977" s="17"/>
      <c r="AO1977" s="17"/>
      <c r="AP1977" s="28" t="str">
        <f t="shared" si="590"/>
        <v>20241</v>
      </c>
      <c r="AQ1977" s="28" t="str">
        <f t="shared" si="591"/>
        <v>20241RMB</v>
      </c>
      <c r="AR1977" s="206" t="str">
        <f t="shared" si="592"/>
        <v>YAMAHA_Mounter</v>
      </c>
      <c r="AS1977" s="22">
        <f t="shared" si="593"/>
        <v>1</v>
      </c>
      <c r="AT1977" s="24" t="str">
        <f t="shared" si="594"/>
        <v>0-3 months</v>
      </c>
    </row>
    <row r="1978" spans="1:46" s="12" customFormat="1">
      <c r="A1978" s="33" t="str">
        <f t="shared" si="582"/>
        <v>FY 23/24</v>
      </c>
      <c r="B1978" s="152">
        <v>2023</v>
      </c>
      <c r="C1978" s="152">
        <v>12</v>
      </c>
      <c r="D1978" s="33" t="str">
        <f t="shared" si="583"/>
        <v>Q3</v>
      </c>
      <c r="E1978" s="33" t="str">
        <f t="shared" si="596"/>
        <v>FY 23/24</v>
      </c>
      <c r="F1978" s="152">
        <v>2024</v>
      </c>
      <c r="G1978" s="152">
        <v>1</v>
      </c>
      <c r="H1978" s="155"/>
      <c r="I1978" s="33" t="str">
        <f t="shared" si="584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85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95"/>
        <v>1.13</v>
      </c>
      <c r="Z1978" s="18">
        <f t="shared" si="578"/>
        <v>800000</v>
      </c>
      <c r="AA1978" s="13">
        <v>1.0900000000000001</v>
      </c>
      <c r="AB1978" s="21">
        <f t="shared" si="586"/>
        <v>771681.41592920374</v>
      </c>
      <c r="AC1978" s="130">
        <f t="shared" si="587"/>
        <v>108575.57522123896</v>
      </c>
      <c r="AD1978" s="162">
        <v>0.14069999999999999</v>
      </c>
      <c r="AE1978" s="154">
        <f t="shared" si="588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9"/>
        <v>21575119.674336284</v>
      </c>
      <c r="AJ1978" s="19">
        <f t="shared" si="580"/>
        <v>2556656.3801490259</v>
      </c>
      <c r="AK1978" s="20">
        <f t="shared" si="589"/>
        <v>0.1185002177851269</v>
      </c>
      <c r="AL1978" s="17"/>
      <c r="AM1978" s="17"/>
      <c r="AN1978" s="17"/>
      <c r="AO1978" s="17"/>
      <c r="AP1978" s="28" t="str">
        <f t="shared" si="590"/>
        <v>20241</v>
      </c>
      <c r="AQ1978" s="28" t="str">
        <f t="shared" si="591"/>
        <v>20241RMB</v>
      </c>
      <c r="AR1978" s="206" t="str">
        <f t="shared" si="592"/>
        <v>YAMAHA_Mounter</v>
      </c>
      <c r="AS1978" s="22">
        <f t="shared" si="593"/>
        <v>1</v>
      </c>
      <c r="AT1978" s="24" t="str">
        <f t="shared" si="594"/>
        <v>0-3 months</v>
      </c>
    </row>
    <row r="1979" spans="1:46" s="12" customFormat="1">
      <c r="A1979" s="33" t="str">
        <f t="shared" si="582"/>
        <v>FY 23/24</v>
      </c>
      <c r="B1979" s="152">
        <v>2023</v>
      </c>
      <c r="C1979" s="152">
        <v>12</v>
      </c>
      <c r="D1979" s="33" t="str">
        <f t="shared" si="583"/>
        <v>Q3</v>
      </c>
      <c r="E1979" s="33" t="str">
        <f t="shared" si="596"/>
        <v>FY 23/24</v>
      </c>
      <c r="F1979" s="152">
        <v>2024</v>
      </c>
      <c r="G1979" s="152">
        <v>1</v>
      </c>
      <c r="H1979" s="155"/>
      <c r="I1979" s="33" t="str">
        <f t="shared" si="584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85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95"/>
        <v>1.13</v>
      </c>
      <c r="Z1979" s="18">
        <f t="shared" si="578"/>
        <v>554800</v>
      </c>
      <c r="AA1979" s="13">
        <v>1.0900000000000001</v>
      </c>
      <c r="AB1979" s="21">
        <f t="shared" si="586"/>
        <v>535161.06194690277</v>
      </c>
      <c r="AC1979" s="130">
        <f t="shared" si="587"/>
        <v>75297.161415929222</v>
      </c>
      <c r="AD1979" s="162">
        <v>0.14069999999999999</v>
      </c>
      <c r="AE1979" s="154">
        <f t="shared" si="588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9"/>
        <v>21575119.674336284</v>
      </c>
      <c r="AJ1979" s="19">
        <f t="shared" si="580"/>
        <v>2556656.3801490259</v>
      </c>
      <c r="AK1979" s="20">
        <f t="shared" si="589"/>
        <v>0.1185002177851269</v>
      </c>
      <c r="AL1979" s="17"/>
      <c r="AM1979" s="17"/>
      <c r="AN1979" s="17"/>
      <c r="AO1979" s="17"/>
      <c r="AP1979" s="28" t="str">
        <f t="shared" si="590"/>
        <v>20241</v>
      </c>
      <c r="AQ1979" s="28" t="str">
        <f t="shared" si="591"/>
        <v>20241RMB</v>
      </c>
      <c r="AR1979" s="206" t="str">
        <f t="shared" si="592"/>
        <v>YAMAHA_Mounter</v>
      </c>
      <c r="AS1979" s="22">
        <f t="shared" si="593"/>
        <v>1</v>
      </c>
      <c r="AT1979" s="24" t="str">
        <f t="shared" si="594"/>
        <v>0-3 months</v>
      </c>
    </row>
    <row r="1980" spans="1:46" s="12" customFormat="1">
      <c r="A1980" s="33" t="str">
        <f t="shared" si="582"/>
        <v>FY 23/24</v>
      </c>
      <c r="B1980" s="152">
        <v>2023</v>
      </c>
      <c r="C1980" s="152">
        <v>12</v>
      </c>
      <c r="D1980" s="33" t="str">
        <f t="shared" si="583"/>
        <v>Q3</v>
      </c>
      <c r="E1980" s="33" t="str">
        <f t="shared" si="596"/>
        <v>FY 23/24</v>
      </c>
      <c r="F1980" s="152">
        <v>2024</v>
      </c>
      <c r="G1980" s="152">
        <v>2</v>
      </c>
      <c r="H1980" s="155"/>
      <c r="I1980" s="33" t="str">
        <f t="shared" si="584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85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95"/>
        <v>1.13</v>
      </c>
      <c r="Z1980" s="18">
        <f t="shared" ref="Z1980:Z2043" si="597">IF(X1980="","",X1980*MAX(O1980,N1980))</f>
        <v>900000</v>
      </c>
      <c r="AA1980" s="13">
        <v>1.0900000000000001</v>
      </c>
      <c r="AB1980" s="21">
        <f t="shared" si="586"/>
        <v>868141.5929203541</v>
      </c>
      <c r="AC1980" s="130">
        <f t="shared" si="587"/>
        <v>122147.52212389381</v>
      </c>
      <c r="AD1980" s="169">
        <v>0.14069999999999999</v>
      </c>
      <c r="AE1980" s="154">
        <f t="shared" si="588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9"/>
        <v>10524262.405309737</v>
      </c>
      <c r="AJ1980" s="19">
        <f t="shared" si="580"/>
        <v>1479050.9527127435</v>
      </c>
      <c r="AK1980" s="20">
        <f t="shared" si="589"/>
        <v>0.14053725532028996</v>
      </c>
      <c r="AL1980" s="17"/>
      <c r="AM1980" s="17"/>
      <c r="AN1980" s="17"/>
      <c r="AO1980" s="17"/>
      <c r="AP1980" s="28" t="str">
        <f t="shared" si="590"/>
        <v>20242</v>
      </c>
      <c r="AQ1980" s="28" t="str">
        <f t="shared" si="591"/>
        <v>20242RMB</v>
      </c>
      <c r="AR1980" s="206" t="str">
        <f t="shared" si="592"/>
        <v>YAMAHA_Mounter</v>
      </c>
      <c r="AS1980" s="22">
        <f t="shared" si="593"/>
        <v>2</v>
      </c>
      <c r="AT1980" s="24" t="str">
        <f t="shared" si="594"/>
        <v>0-3 months</v>
      </c>
    </row>
    <row r="1981" spans="1:46" s="12" customFormat="1">
      <c r="A1981" s="33" t="str">
        <f t="shared" si="582"/>
        <v>FY 23/24</v>
      </c>
      <c r="B1981" s="152">
        <v>2023</v>
      </c>
      <c r="C1981" s="152">
        <v>12</v>
      </c>
      <c r="D1981" s="33" t="str">
        <f t="shared" si="583"/>
        <v>Q3</v>
      </c>
      <c r="E1981" s="33" t="str">
        <f t="shared" si="596"/>
        <v>FY 23/24</v>
      </c>
      <c r="F1981" s="152">
        <v>2024</v>
      </c>
      <c r="G1981" s="152">
        <v>2</v>
      </c>
      <c r="H1981" s="155"/>
      <c r="I1981" s="33" t="str">
        <f t="shared" si="584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85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95"/>
        <v>1.13</v>
      </c>
      <c r="Z1981" s="18">
        <f t="shared" si="597"/>
        <v>900000</v>
      </c>
      <c r="AA1981" s="13">
        <v>1.0900000000000001</v>
      </c>
      <c r="AB1981" s="21">
        <f t="shared" si="586"/>
        <v>868141.5929203541</v>
      </c>
      <c r="AC1981" s="130">
        <f t="shared" si="587"/>
        <v>122147.52212389381</v>
      </c>
      <c r="AD1981" s="169">
        <v>0.14069999999999999</v>
      </c>
      <c r="AE1981" s="154">
        <f t="shared" si="588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9"/>
        <v>10524262.405309737</v>
      </c>
      <c r="AJ1981" s="19">
        <f t="shared" si="580"/>
        <v>1479050.9527127435</v>
      </c>
      <c r="AK1981" s="20">
        <f t="shared" si="589"/>
        <v>0.14053725532028996</v>
      </c>
      <c r="AL1981" s="17"/>
      <c r="AM1981" s="17"/>
      <c r="AN1981" s="17"/>
      <c r="AO1981" s="17"/>
      <c r="AP1981" s="28" t="str">
        <f t="shared" si="590"/>
        <v>20242</v>
      </c>
      <c r="AQ1981" s="28" t="str">
        <f t="shared" si="591"/>
        <v>20242RMB</v>
      </c>
      <c r="AR1981" s="206" t="str">
        <f t="shared" si="592"/>
        <v>YAMAHA_Mounter</v>
      </c>
      <c r="AS1981" s="22">
        <f t="shared" si="593"/>
        <v>2</v>
      </c>
      <c r="AT1981" s="24" t="str">
        <f t="shared" si="594"/>
        <v>0-3 months</v>
      </c>
    </row>
    <row r="1982" spans="1:46" s="12" customFormat="1">
      <c r="A1982" s="33" t="str">
        <f t="shared" si="582"/>
        <v>FY 18/19</v>
      </c>
      <c r="B1982" s="152">
        <v>2018</v>
      </c>
      <c r="C1982" s="152">
        <v>12</v>
      </c>
      <c r="D1982" s="33" t="str">
        <f t="shared" si="583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84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85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97"/>
        <v>9766000</v>
      </c>
      <c r="AA1982" s="13">
        <v>7.3499999999999996E-2</v>
      </c>
      <c r="AB1982" s="21">
        <f t="shared" si="586"/>
        <v>618793.96551724139</v>
      </c>
      <c r="AC1982" s="130">
        <f t="shared" si="587"/>
        <v>76421.05474137931</v>
      </c>
      <c r="AD1982" s="169">
        <v>0.1235</v>
      </c>
      <c r="AE1982" s="154">
        <f t="shared" si="588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9"/>
        <v>16455710.386637932</v>
      </c>
      <c r="AJ1982" s="19">
        <f t="shared" si="580"/>
        <v>2150644.6466930606</v>
      </c>
      <c r="AK1982" s="20">
        <f t="shared" si="589"/>
        <v>0.13069290818580451</v>
      </c>
      <c r="AL1982" s="17"/>
      <c r="AM1982" s="17"/>
      <c r="AN1982" s="17"/>
      <c r="AO1982" s="17"/>
      <c r="AP1982" s="28" t="str">
        <f t="shared" si="590"/>
        <v>20192</v>
      </c>
      <c r="AQ1982" s="28" t="str">
        <f t="shared" si="591"/>
        <v>20192JPY</v>
      </c>
      <c r="AR1982" s="206" t="str">
        <f t="shared" si="592"/>
        <v>YAMAHA_Mounter</v>
      </c>
      <c r="AS1982" s="22">
        <f t="shared" si="593"/>
        <v>2</v>
      </c>
      <c r="AT1982" s="24" t="str">
        <f t="shared" si="594"/>
        <v>0-3 months</v>
      </c>
    </row>
    <row r="1983" spans="1:46" s="12" customFormat="1">
      <c r="A1983" s="33" t="str">
        <f t="shared" si="582"/>
        <v>FY 19/20</v>
      </c>
      <c r="B1983" s="152">
        <v>2019</v>
      </c>
      <c r="C1983" s="152">
        <v>10</v>
      </c>
      <c r="D1983" s="33" t="str">
        <f t="shared" si="583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84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85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97"/>
        <v>1000000</v>
      </c>
      <c r="AA1983" s="13">
        <v>1.1100000000000001</v>
      </c>
      <c r="AB1983" s="21">
        <f t="shared" si="586"/>
        <v>982300.88495575241</v>
      </c>
      <c r="AC1983" s="130">
        <f t="shared" si="587"/>
        <v>158543.36283185842</v>
      </c>
      <c r="AD1983" s="169">
        <v>0.16139999999999999</v>
      </c>
      <c r="AE1983" s="154">
        <f t="shared" si="588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9"/>
        <v>26147030.909862842</v>
      </c>
      <c r="AJ1983" s="19">
        <f t="shared" si="580"/>
        <v>2743862.8630715334</v>
      </c>
      <c r="AK1983" s="20">
        <f t="shared" si="589"/>
        <v>0.10493974908778378</v>
      </c>
      <c r="AL1983" s="17"/>
      <c r="AM1983" s="17"/>
      <c r="AN1983" s="17"/>
      <c r="AO1983" s="17"/>
      <c r="AP1983" s="28" t="str">
        <f t="shared" si="590"/>
        <v>201911</v>
      </c>
      <c r="AQ1983" s="28" t="str">
        <f t="shared" si="591"/>
        <v>201911RMB</v>
      </c>
      <c r="AR1983" s="206" t="str">
        <f t="shared" si="592"/>
        <v>YAMAHA_Mounter</v>
      </c>
      <c r="AS1983" s="22">
        <f t="shared" si="593"/>
        <v>1</v>
      </c>
      <c r="AT1983" s="24" t="str">
        <f t="shared" si="594"/>
        <v>0-3 months</v>
      </c>
    </row>
    <row r="1984" spans="1:46" s="12" customFormat="1">
      <c r="A1984" s="33" t="str">
        <f t="shared" si="582"/>
        <v>FY 19/20</v>
      </c>
      <c r="B1984" s="152">
        <v>2019</v>
      </c>
      <c r="C1984" s="152">
        <v>10</v>
      </c>
      <c r="D1984" s="33" t="str">
        <f t="shared" si="583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84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85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97"/>
        <v>580000</v>
      </c>
      <c r="AA1984" s="13">
        <v>1.1100000000000001</v>
      </c>
      <c r="AB1984" s="21">
        <f t="shared" si="586"/>
        <v>569734.51327433635</v>
      </c>
      <c r="AC1984" s="130">
        <f t="shared" si="587"/>
        <v>91955.150442477883</v>
      </c>
      <c r="AD1984" s="169">
        <v>0.16139999999999999</v>
      </c>
      <c r="AE1984" s="154">
        <f t="shared" si="588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9"/>
        <v>26147030.909862842</v>
      </c>
      <c r="AJ1984" s="19">
        <f t="shared" si="580"/>
        <v>2743862.8630715334</v>
      </c>
      <c r="AK1984" s="20">
        <f t="shared" si="589"/>
        <v>0.10493974908778378</v>
      </c>
      <c r="AL1984" s="17"/>
      <c r="AM1984" s="17"/>
      <c r="AN1984" s="17"/>
      <c r="AO1984" s="17"/>
      <c r="AP1984" s="28" t="str">
        <f t="shared" si="590"/>
        <v>201911</v>
      </c>
      <c r="AQ1984" s="28" t="str">
        <f t="shared" si="591"/>
        <v>201911RMB</v>
      </c>
      <c r="AR1984" s="206" t="str">
        <f t="shared" si="592"/>
        <v>YAMAHA_Mounter</v>
      </c>
      <c r="AS1984" s="22">
        <f t="shared" si="593"/>
        <v>1</v>
      </c>
      <c r="AT1984" s="24" t="str">
        <f t="shared" si="594"/>
        <v>0-3 months</v>
      </c>
    </row>
    <row r="1985" spans="1:46" s="12" customFormat="1">
      <c r="A1985" s="33" t="str">
        <f t="shared" si="582"/>
        <v>FY 20/21</v>
      </c>
      <c r="B1985" s="152">
        <v>2020</v>
      </c>
      <c r="C1985" s="152">
        <v>12</v>
      </c>
      <c r="D1985" s="33" t="str">
        <f t="shared" si="583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84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85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97"/>
        <v>640000</v>
      </c>
      <c r="AA1985" s="13">
        <v>1.18</v>
      </c>
      <c r="AB1985" s="21">
        <f t="shared" si="586"/>
        <v>668318.5840707965</v>
      </c>
      <c r="AC1985" s="130">
        <f t="shared" si="587"/>
        <v>135000.35398230091</v>
      </c>
      <c r="AD1985" s="169">
        <v>0.20200000000000001</v>
      </c>
      <c r="AE1985" s="154">
        <f t="shared" si="588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9"/>
        <v>43684091.636631854</v>
      </c>
      <c r="AJ1985" s="19">
        <f t="shared" si="580"/>
        <v>6483951.8242071122</v>
      </c>
      <c r="AK1985" s="20">
        <f t="shared" si="589"/>
        <v>0.14842821680123736</v>
      </c>
      <c r="AL1985" s="17"/>
      <c r="AM1985" s="17"/>
      <c r="AN1985" s="17"/>
      <c r="AO1985" s="17"/>
      <c r="AP1985" s="28" t="str">
        <f t="shared" si="590"/>
        <v>20214</v>
      </c>
      <c r="AQ1985" s="28" t="str">
        <f t="shared" si="591"/>
        <v>20214RMB</v>
      </c>
      <c r="AR1985" s="206" t="str">
        <f t="shared" si="592"/>
        <v>YAMAHA_Mounter</v>
      </c>
      <c r="AS1985" s="22">
        <f t="shared" si="593"/>
        <v>4</v>
      </c>
      <c r="AT1985" s="24" t="str">
        <f t="shared" si="594"/>
        <v>4-6 months</v>
      </c>
    </row>
    <row r="1986" spans="1:46" s="12" customFormat="1">
      <c r="A1986" s="33" t="str">
        <f t="shared" si="582"/>
        <v>FY 20/21</v>
      </c>
      <c r="B1986" s="152">
        <v>2020</v>
      </c>
      <c r="C1986" s="152">
        <v>12</v>
      </c>
      <c r="D1986" s="33" t="str">
        <f t="shared" si="583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84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85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97"/>
        <v>640000</v>
      </c>
      <c r="AA1986" s="13">
        <v>1.18</v>
      </c>
      <c r="AB1986" s="21">
        <f t="shared" si="586"/>
        <v>668318.5840707965</v>
      </c>
      <c r="AC1986" s="130">
        <f t="shared" si="587"/>
        <v>135000.35398230091</v>
      </c>
      <c r="AD1986" s="169">
        <v>0.20200000000000001</v>
      </c>
      <c r="AE1986" s="154">
        <f t="shared" si="588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98">IF(P1986="C66 SERVICE","",SUMIFS(AB:AB,F:F,F1986,G:G,G1986,E:E,E1986))</f>
        <v>43684091.636631854</v>
      </c>
      <c r="AJ1986" s="19">
        <f t="shared" ref="AJ1986:AJ2049" si="599">IF(P1986="C66 SERVICE","",SUMIFS(AC:AC,F:F,F1986,G:G,G1986,E:E,E1986))</f>
        <v>6483951.8242071122</v>
      </c>
      <c r="AK1986" s="20">
        <f t="shared" si="589"/>
        <v>0.14842821680123736</v>
      </c>
      <c r="AL1986" s="17"/>
      <c r="AM1986" s="17"/>
      <c r="AN1986" s="17"/>
      <c r="AO1986" s="17"/>
      <c r="AP1986" s="28" t="str">
        <f t="shared" si="590"/>
        <v>20214</v>
      </c>
      <c r="AQ1986" s="28" t="str">
        <f t="shared" si="591"/>
        <v>20214RMB</v>
      </c>
      <c r="AR1986" s="206" t="str">
        <f t="shared" si="592"/>
        <v>YAMAHA_Mounter</v>
      </c>
      <c r="AS1986" s="22">
        <f t="shared" si="593"/>
        <v>4</v>
      </c>
      <c r="AT1986" s="24" t="str">
        <f t="shared" si="594"/>
        <v>4-6 months</v>
      </c>
    </row>
    <row r="1987" spans="1:46" s="12" customFormat="1">
      <c r="A1987" s="33" t="str">
        <f t="shared" si="582"/>
        <v>FY 23/24</v>
      </c>
      <c r="B1987" s="23">
        <v>2024</v>
      </c>
      <c r="C1987" s="152">
        <v>1</v>
      </c>
      <c r="D1987" s="33" t="str">
        <f t="shared" si="583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84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85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97"/>
        <v>6900000</v>
      </c>
      <c r="AA1987" s="22">
        <v>5.6300000000000003E-2</v>
      </c>
      <c r="AB1987" s="21">
        <f t="shared" si="586"/>
        <v>388470</v>
      </c>
      <c r="AC1987" s="25">
        <f t="shared" si="587"/>
        <v>35156.534999999996</v>
      </c>
      <c r="AD1987" s="169">
        <v>9.0499999999999997E-2</v>
      </c>
      <c r="AE1987" s="26">
        <f t="shared" si="588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98"/>
        <v>21575119.674336284</v>
      </c>
      <c r="AJ1987" s="27">
        <f t="shared" si="599"/>
        <v>2556656.3801490259</v>
      </c>
      <c r="AK1987" s="28">
        <f t="shared" si="589"/>
        <v>0.1185002177851269</v>
      </c>
      <c r="AL1987" s="24"/>
      <c r="AM1987" s="24"/>
      <c r="AN1987" s="24"/>
      <c r="AO1987" s="24"/>
      <c r="AP1987" s="28" t="str">
        <f t="shared" si="590"/>
        <v>20241</v>
      </c>
      <c r="AQ1987" s="28" t="str">
        <f t="shared" si="591"/>
        <v>20241JPY</v>
      </c>
      <c r="AR1987" s="206" t="str">
        <f t="shared" si="592"/>
        <v>YAMAHA_Mounter</v>
      </c>
      <c r="AS1987" s="22">
        <f t="shared" si="593"/>
        <v>0</v>
      </c>
      <c r="AT1987" s="24" t="str">
        <f t="shared" si="594"/>
        <v>0-3 months</v>
      </c>
    </row>
    <row r="1988" spans="1:46" s="12" customFormat="1">
      <c r="A1988" s="33" t="str">
        <f t="shared" si="582"/>
        <v>FY 23/24</v>
      </c>
      <c r="B1988" s="23">
        <v>2024</v>
      </c>
      <c r="C1988" s="152">
        <v>1</v>
      </c>
      <c r="D1988" s="33" t="str">
        <f t="shared" si="583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84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85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97"/>
        <v>6900000</v>
      </c>
      <c r="AA1988" s="22">
        <v>5.6300000000000003E-2</v>
      </c>
      <c r="AB1988" s="21">
        <f t="shared" si="586"/>
        <v>388470</v>
      </c>
      <c r="AC1988" s="25">
        <f t="shared" si="587"/>
        <v>35156.534999999996</v>
      </c>
      <c r="AD1988" s="169">
        <v>9.0499999999999997E-2</v>
      </c>
      <c r="AE1988" s="26">
        <f t="shared" si="588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98"/>
        <v>21575119.674336284</v>
      </c>
      <c r="AJ1988" s="27">
        <f t="shared" si="599"/>
        <v>2556656.3801490259</v>
      </c>
      <c r="AK1988" s="28">
        <f t="shared" si="589"/>
        <v>0.1185002177851269</v>
      </c>
      <c r="AL1988" s="24"/>
      <c r="AM1988" s="24"/>
      <c r="AN1988" s="24"/>
      <c r="AO1988" s="24"/>
      <c r="AP1988" s="28" t="str">
        <f t="shared" si="590"/>
        <v>20241</v>
      </c>
      <c r="AQ1988" s="28" t="str">
        <f t="shared" si="591"/>
        <v>20241JPY</v>
      </c>
      <c r="AR1988" s="206" t="str">
        <f t="shared" si="592"/>
        <v>YAMAHA_Mounter</v>
      </c>
      <c r="AS1988" s="22">
        <f t="shared" si="593"/>
        <v>0</v>
      </c>
      <c r="AT1988" s="24" t="str">
        <f t="shared" si="594"/>
        <v>0-3 months</v>
      </c>
    </row>
    <row r="1989" spans="1:46" s="12" customFormat="1">
      <c r="A1989" s="33" t="str">
        <f t="shared" si="582"/>
        <v>FY 20/21</v>
      </c>
      <c r="B1989" s="152">
        <v>2020</v>
      </c>
      <c r="C1989" s="152">
        <v>4</v>
      </c>
      <c r="D1989" s="33" t="str">
        <f t="shared" si="583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84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85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97"/>
        <v>930000</v>
      </c>
      <c r="AA1989" s="13">
        <v>1.095</v>
      </c>
      <c r="AB1989" s="21">
        <f t="shared" si="586"/>
        <v>901194.69026548683</v>
      </c>
      <c r="AC1989" s="130">
        <f t="shared" si="587"/>
        <v>101204.16371681418</v>
      </c>
      <c r="AD1989" s="169">
        <v>0.1123</v>
      </c>
      <c r="AE1989" s="154">
        <f t="shared" si="588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98"/>
        <v>33477255.428389374</v>
      </c>
      <c r="AJ1989" s="19">
        <f t="shared" si="599"/>
        <v>4578663.362915583</v>
      </c>
      <c r="AK1989" s="20">
        <f t="shared" si="589"/>
        <v>0.13676937682988152</v>
      </c>
      <c r="AL1989" s="17"/>
      <c r="AM1989" s="17"/>
      <c r="AN1989" s="17"/>
      <c r="AO1989" s="17"/>
      <c r="AP1989" s="28" t="str">
        <f t="shared" si="590"/>
        <v>20204</v>
      </c>
      <c r="AQ1989" s="28" t="str">
        <f t="shared" si="591"/>
        <v>20204RMB</v>
      </c>
      <c r="AR1989" s="206" t="str">
        <f t="shared" si="592"/>
        <v>YAMAHA_Mounter</v>
      </c>
      <c r="AS1989" s="22">
        <f t="shared" si="593"/>
        <v>0</v>
      </c>
      <c r="AT1989" s="24" t="str">
        <f t="shared" si="594"/>
        <v>0-3 months</v>
      </c>
    </row>
    <row r="1990" spans="1:46" s="12" customFormat="1">
      <c r="A1990" s="33" t="str">
        <f t="shared" si="582"/>
        <v>FY 20/21</v>
      </c>
      <c r="B1990" s="152">
        <v>2020</v>
      </c>
      <c r="C1990" s="152">
        <v>4</v>
      </c>
      <c r="D1990" s="33" t="str">
        <f t="shared" si="583"/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si="584"/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si="585"/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97"/>
        <v>580000</v>
      </c>
      <c r="AA1990" s="13">
        <v>1.095</v>
      </c>
      <c r="AB1990" s="21">
        <f t="shared" si="586"/>
        <v>562035.39823008853</v>
      </c>
      <c r="AC1990" s="130">
        <f t="shared" si="587"/>
        <v>63116.575221238942</v>
      </c>
      <c r="AD1990" s="169">
        <v>0.1123</v>
      </c>
      <c r="AE1990" s="154">
        <f t="shared" si="588"/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98"/>
        <v>33477255.428389374</v>
      </c>
      <c r="AJ1990" s="19">
        <f t="shared" si="599"/>
        <v>4578663.362915583</v>
      </c>
      <c r="AK1990" s="20">
        <f t="shared" si="589"/>
        <v>0.13676937682988152</v>
      </c>
      <c r="AL1990" s="17"/>
      <c r="AM1990" s="17"/>
      <c r="AN1990" s="17"/>
      <c r="AO1990" s="17"/>
      <c r="AP1990" s="28" t="str">
        <f t="shared" si="590"/>
        <v>20204</v>
      </c>
      <c r="AQ1990" s="28" t="str">
        <f t="shared" si="591"/>
        <v>20204RMB</v>
      </c>
      <c r="AR1990" s="206" t="str">
        <f t="shared" si="592"/>
        <v>YAMAHA_Mounter</v>
      </c>
      <c r="AS1990" s="22">
        <f t="shared" si="593"/>
        <v>0</v>
      </c>
      <c r="AT1990" s="24" t="str">
        <f t="shared" si="594"/>
        <v>0-3 months</v>
      </c>
    </row>
    <row r="1991" spans="1:46" s="12" customFormat="1">
      <c r="A1991" s="33" t="str">
        <f t="shared" si="582"/>
        <v>FY 20/21</v>
      </c>
      <c r="B1991" s="152">
        <v>2021</v>
      </c>
      <c r="C1991" s="152">
        <v>1</v>
      </c>
      <c r="D1991" s="33" t="str">
        <f t="shared" si="583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84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85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0">IF(W1991="RMB","1.13", "1")</f>
        <v>1</v>
      </c>
      <c r="Z1991" s="18">
        <f t="shared" si="597"/>
        <v>12000000</v>
      </c>
      <c r="AA1991" s="13">
        <v>7.2800000000000004E-2</v>
      </c>
      <c r="AB1991" s="21">
        <f t="shared" si="586"/>
        <v>873600</v>
      </c>
      <c r="AC1991" s="130">
        <f t="shared" si="587"/>
        <v>92514.239999999991</v>
      </c>
      <c r="AD1991" s="169">
        <v>0.10589999999999999</v>
      </c>
      <c r="AE1991" s="154">
        <f t="shared" si="588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8"/>
        <v>63006605.696460173</v>
      </c>
      <c r="AJ1991" s="19">
        <f t="shared" si="599"/>
        <v>8897485.660753984</v>
      </c>
      <c r="AK1991" s="20">
        <f t="shared" si="589"/>
        <v>0.141215124388995</v>
      </c>
      <c r="AL1991" s="17"/>
      <c r="AM1991" s="17"/>
      <c r="AN1991" s="17"/>
      <c r="AO1991" s="17"/>
      <c r="AP1991" s="28" t="str">
        <f t="shared" si="590"/>
        <v>20215</v>
      </c>
      <c r="AQ1991" s="28" t="str">
        <f t="shared" si="591"/>
        <v>20215JPY</v>
      </c>
      <c r="AR1991" s="206" t="str">
        <f t="shared" si="592"/>
        <v>YAMAHA_Mounter</v>
      </c>
      <c r="AS1991" s="22">
        <f t="shared" si="593"/>
        <v>4</v>
      </c>
      <c r="AT1991" s="24" t="str">
        <f t="shared" si="594"/>
        <v>4-6 months</v>
      </c>
    </row>
    <row r="1992" spans="1:46" s="12" customFormat="1">
      <c r="A1992" s="33" t="str">
        <f t="shared" si="582"/>
        <v>FY 20/21</v>
      </c>
      <c r="B1992" s="152">
        <v>2021</v>
      </c>
      <c r="C1992" s="152">
        <v>1</v>
      </c>
      <c r="D1992" s="33" t="str">
        <f t="shared" si="583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84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85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0"/>
        <v>1</v>
      </c>
      <c r="Z1992" s="18">
        <f t="shared" si="597"/>
        <v>12000000</v>
      </c>
      <c r="AA1992" s="13">
        <v>7.2800000000000004E-2</v>
      </c>
      <c r="AB1992" s="21">
        <f t="shared" si="586"/>
        <v>873600</v>
      </c>
      <c r="AC1992" s="130">
        <f t="shared" si="587"/>
        <v>92514.239999999991</v>
      </c>
      <c r="AD1992" s="169">
        <v>0.10589999999999999</v>
      </c>
      <c r="AE1992" s="154">
        <f t="shared" si="588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8"/>
        <v>63006605.696460173</v>
      </c>
      <c r="AJ1992" s="19">
        <f t="shared" si="599"/>
        <v>8897485.660753984</v>
      </c>
      <c r="AK1992" s="20">
        <f t="shared" si="589"/>
        <v>0.141215124388995</v>
      </c>
      <c r="AL1992" s="17"/>
      <c r="AM1992" s="17"/>
      <c r="AN1992" s="17"/>
      <c r="AO1992" s="17"/>
      <c r="AP1992" s="28" t="str">
        <f t="shared" si="590"/>
        <v>20215</v>
      </c>
      <c r="AQ1992" s="28" t="str">
        <f t="shared" si="591"/>
        <v>20215JPY</v>
      </c>
      <c r="AR1992" s="206" t="str">
        <f t="shared" si="592"/>
        <v>YAMAHA_Mounter</v>
      </c>
      <c r="AS1992" s="22">
        <f t="shared" si="593"/>
        <v>4</v>
      </c>
      <c r="AT1992" s="24" t="str">
        <f t="shared" si="594"/>
        <v>4-6 months</v>
      </c>
    </row>
    <row r="1993" spans="1:46" s="12" customFormat="1">
      <c r="A1993" s="33" t="str">
        <f t="shared" si="582"/>
        <v>FY 20/21</v>
      </c>
      <c r="B1993" s="152">
        <v>2021</v>
      </c>
      <c r="C1993" s="152">
        <v>1</v>
      </c>
      <c r="D1993" s="33" t="str">
        <f t="shared" si="583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84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85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0"/>
        <v>1</v>
      </c>
      <c r="Z1993" s="18">
        <f t="shared" si="597"/>
        <v>8000000</v>
      </c>
      <c r="AA1993" s="13">
        <v>7.2800000000000004E-2</v>
      </c>
      <c r="AB1993" s="21">
        <f t="shared" si="586"/>
        <v>582400</v>
      </c>
      <c r="AC1993" s="130">
        <f t="shared" si="587"/>
        <v>61676.159999999996</v>
      </c>
      <c r="AD1993" s="169">
        <v>0.10589999999999999</v>
      </c>
      <c r="AE1993" s="154">
        <f t="shared" si="588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8"/>
        <v>63006605.696460173</v>
      </c>
      <c r="AJ1993" s="19">
        <f t="shared" si="599"/>
        <v>8897485.660753984</v>
      </c>
      <c r="AK1993" s="20">
        <f t="shared" si="589"/>
        <v>0.141215124388995</v>
      </c>
      <c r="AL1993" s="17"/>
      <c r="AM1993" s="17"/>
      <c r="AN1993" s="17"/>
      <c r="AO1993" s="17"/>
      <c r="AP1993" s="28" t="str">
        <f t="shared" si="590"/>
        <v>20215</v>
      </c>
      <c r="AQ1993" s="28" t="str">
        <f t="shared" si="591"/>
        <v>20215JPY</v>
      </c>
      <c r="AR1993" s="206" t="str">
        <f t="shared" si="592"/>
        <v>YAMAHA_Mounter</v>
      </c>
      <c r="AS1993" s="22">
        <f t="shared" si="593"/>
        <v>4</v>
      </c>
      <c r="AT1993" s="24" t="str">
        <f t="shared" si="594"/>
        <v>4-6 months</v>
      </c>
    </row>
    <row r="1994" spans="1:46" s="12" customFormat="1">
      <c r="A1994" s="33" t="str">
        <f t="shared" si="582"/>
        <v>FY 20/21</v>
      </c>
      <c r="B1994" s="152">
        <v>2021</v>
      </c>
      <c r="C1994" s="152">
        <v>1</v>
      </c>
      <c r="D1994" s="33" t="str">
        <f t="shared" si="583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84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85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0"/>
        <v>1</v>
      </c>
      <c r="Z1994" s="18">
        <f t="shared" si="597"/>
        <v>8000000</v>
      </c>
      <c r="AA1994" s="13">
        <v>7.2800000000000004E-2</v>
      </c>
      <c r="AB1994" s="21">
        <f t="shared" si="586"/>
        <v>582400</v>
      </c>
      <c r="AC1994" s="130">
        <f t="shared" si="587"/>
        <v>61676.159999999996</v>
      </c>
      <c r="AD1994" s="169">
        <v>0.10589999999999999</v>
      </c>
      <c r="AE1994" s="154">
        <f t="shared" si="588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8"/>
        <v>63006605.696460173</v>
      </c>
      <c r="AJ1994" s="19">
        <f t="shared" si="599"/>
        <v>8897485.660753984</v>
      </c>
      <c r="AK1994" s="20">
        <f t="shared" si="589"/>
        <v>0.141215124388995</v>
      </c>
      <c r="AL1994" s="17"/>
      <c r="AM1994" s="17"/>
      <c r="AN1994" s="17"/>
      <c r="AO1994" s="17"/>
      <c r="AP1994" s="28" t="str">
        <f t="shared" si="590"/>
        <v>20215</v>
      </c>
      <c r="AQ1994" s="28" t="str">
        <f t="shared" si="591"/>
        <v>20215JPY</v>
      </c>
      <c r="AR1994" s="206" t="str">
        <f t="shared" si="592"/>
        <v>YAMAHA_Mounter</v>
      </c>
      <c r="AS1994" s="22">
        <f t="shared" si="593"/>
        <v>4</v>
      </c>
      <c r="AT1994" s="24" t="str">
        <f t="shared" si="594"/>
        <v>4-6 months</v>
      </c>
    </row>
    <row r="1995" spans="1:46" s="12" customFormat="1">
      <c r="A1995" s="33" t="str">
        <f t="shared" si="582"/>
        <v>FY 20/21</v>
      </c>
      <c r="B1995" s="152">
        <v>2021</v>
      </c>
      <c r="C1995" s="152">
        <v>1</v>
      </c>
      <c r="D1995" s="33" t="str">
        <f t="shared" si="583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84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85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0"/>
        <v>1</v>
      </c>
      <c r="Z1995" s="18">
        <f t="shared" si="597"/>
        <v>8000000</v>
      </c>
      <c r="AA1995" s="13">
        <v>7.2800000000000004E-2</v>
      </c>
      <c r="AB1995" s="21">
        <f t="shared" si="586"/>
        <v>582400</v>
      </c>
      <c r="AC1995" s="130">
        <f t="shared" si="587"/>
        <v>61676.159999999996</v>
      </c>
      <c r="AD1995" s="169">
        <v>0.10589999999999999</v>
      </c>
      <c r="AE1995" s="154">
        <f t="shared" si="588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8"/>
        <v>63006605.696460173</v>
      </c>
      <c r="AJ1995" s="19">
        <f t="shared" si="599"/>
        <v>8897485.660753984</v>
      </c>
      <c r="AK1995" s="20">
        <f t="shared" si="589"/>
        <v>0.141215124388995</v>
      </c>
      <c r="AL1995" s="17"/>
      <c r="AM1995" s="17"/>
      <c r="AN1995" s="17"/>
      <c r="AO1995" s="17"/>
      <c r="AP1995" s="28" t="str">
        <f t="shared" si="590"/>
        <v>20215</v>
      </c>
      <c r="AQ1995" s="28" t="str">
        <f t="shared" si="591"/>
        <v>20215JPY</v>
      </c>
      <c r="AR1995" s="206" t="str">
        <f t="shared" si="592"/>
        <v>YAMAHA_Mounter</v>
      </c>
      <c r="AS1995" s="22">
        <f t="shared" si="593"/>
        <v>4</v>
      </c>
      <c r="AT1995" s="24" t="str">
        <f t="shared" si="594"/>
        <v>4-6 months</v>
      </c>
    </row>
    <row r="1996" spans="1:46" s="12" customFormat="1">
      <c r="A1996" s="33" t="str">
        <f t="shared" si="582"/>
        <v>FY 21/22</v>
      </c>
      <c r="B1996" s="152">
        <v>2021</v>
      </c>
      <c r="C1996" s="152">
        <v>5</v>
      </c>
      <c r="D1996" s="33" t="str">
        <f t="shared" si="583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84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85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0"/>
        <v>1</v>
      </c>
      <c r="Z1996" s="18">
        <f t="shared" si="597"/>
        <v>13000000</v>
      </c>
      <c r="AA1996" s="13">
        <v>7.0000000000000007E-2</v>
      </c>
      <c r="AB1996" s="21">
        <f t="shared" si="586"/>
        <v>910000.00000000012</v>
      </c>
      <c r="AC1996" s="130">
        <f t="shared" si="587"/>
        <v>96642.000000000015</v>
      </c>
      <c r="AD1996" s="169">
        <v>0.1062</v>
      </c>
      <c r="AE1996" s="154">
        <f t="shared" si="588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8"/>
        <v>29500529.005044252</v>
      </c>
      <c r="AJ1996" s="19">
        <f t="shared" si="599"/>
        <v>3253064.846231177</v>
      </c>
      <c r="AK1996" s="20">
        <f t="shared" si="589"/>
        <v>0.11027140718984871</v>
      </c>
      <c r="AL1996" s="17"/>
      <c r="AM1996" s="17"/>
      <c r="AN1996" s="17"/>
      <c r="AO1996" s="17"/>
      <c r="AP1996" s="28" t="str">
        <f t="shared" si="590"/>
        <v>202111</v>
      </c>
      <c r="AQ1996" s="28" t="str">
        <f t="shared" si="591"/>
        <v>202111JPY</v>
      </c>
      <c r="AR1996" s="206" t="str">
        <f t="shared" si="592"/>
        <v>YAMAHA_Mounter</v>
      </c>
      <c r="AS1996" s="22">
        <f t="shared" si="593"/>
        <v>6</v>
      </c>
      <c r="AT1996" s="24" t="str">
        <f t="shared" si="594"/>
        <v>4-6 months</v>
      </c>
    </row>
    <row r="1997" spans="1:46" s="12" customFormat="1">
      <c r="A1997" s="33" t="str">
        <f t="shared" si="582"/>
        <v>FY 21/22</v>
      </c>
      <c r="B1997" s="152">
        <v>2021</v>
      </c>
      <c r="C1997" s="152">
        <v>5</v>
      </c>
      <c r="D1997" s="33" t="str">
        <f t="shared" si="583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84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85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0"/>
        <v>1</v>
      </c>
      <c r="Z1997" s="18">
        <f t="shared" si="597"/>
        <v>13000000</v>
      </c>
      <c r="AA1997" s="13">
        <v>7.0000000000000007E-2</v>
      </c>
      <c r="AB1997" s="21">
        <f t="shared" si="586"/>
        <v>910000.00000000012</v>
      </c>
      <c r="AC1997" s="130">
        <f t="shared" si="587"/>
        <v>96642.000000000015</v>
      </c>
      <c r="AD1997" s="169">
        <v>0.1062</v>
      </c>
      <c r="AE1997" s="154">
        <f t="shared" si="588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8"/>
        <v>29500529.005044252</v>
      </c>
      <c r="AJ1997" s="19">
        <f t="shared" si="599"/>
        <v>3253064.846231177</v>
      </c>
      <c r="AK1997" s="20">
        <f t="shared" si="589"/>
        <v>0.11027140718984871</v>
      </c>
      <c r="AL1997" s="17"/>
      <c r="AM1997" s="17"/>
      <c r="AN1997" s="17"/>
      <c r="AO1997" s="17"/>
      <c r="AP1997" s="28" t="str">
        <f t="shared" si="590"/>
        <v>202111</v>
      </c>
      <c r="AQ1997" s="28" t="str">
        <f t="shared" si="591"/>
        <v>202111JPY</v>
      </c>
      <c r="AR1997" s="206" t="str">
        <f t="shared" si="592"/>
        <v>YAMAHA_Mounter</v>
      </c>
      <c r="AS1997" s="22">
        <f t="shared" si="593"/>
        <v>6</v>
      </c>
      <c r="AT1997" s="24" t="str">
        <f t="shared" si="594"/>
        <v>4-6 months</v>
      </c>
    </row>
    <row r="1998" spans="1:46" s="12" customFormat="1">
      <c r="A1998" s="33" t="str">
        <f t="shared" si="582"/>
        <v>FY 21/22</v>
      </c>
      <c r="B1998" s="152">
        <v>2021</v>
      </c>
      <c r="C1998" s="152">
        <v>5</v>
      </c>
      <c r="D1998" s="33" t="str">
        <f t="shared" si="583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84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85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0"/>
        <v>1</v>
      </c>
      <c r="Z1998" s="18">
        <f t="shared" si="597"/>
        <v>8360000</v>
      </c>
      <c r="AA1998" s="13">
        <v>6.9199999999999998E-2</v>
      </c>
      <c r="AB1998" s="21">
        <f t="shared" si="586"/>
        <v>578512</v>
      </c>
      <c r="AC1998" s="130">
        <f t="shared" si="587"/>
        <v>61437.974399999999</v>
      </c>
      <c r="AD1998" s="169">
        <v>0.1062</v>
      </c>
      <c r="AE1998" s="154">
        <f t="shared" si="588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8"/>
        <v>28726768.133805312</v>
      </c>
      <c r="AJ1998" s="19">
        <f t="shared" si="599"/>
        <v>3853638.1988864429</v>
      </c>
      <c r="AK1998" s="20">
        <f t="shared" si="589"/>
        <v>0.1341479898099476</v>
      </c>
      <c r="AL1998" s="17"/>
      <c r="AM1998" s="17"/>
      <c r="AN1998" s="17"/>
      <c r="AO1998" s="17"/>
      <c r="AP1998" s="28" t="str">
        <f t="shared" si="590"/>
        <v>20223</v>
      </c>
      <c r="AQ1998" s="28" t="str">
        <f t="shared" si="591"/>
        <v>20223JPY</v>
      </c>
      <c r="AR1998" s="206" t="str">
        <f t="shared" si="592"/>
        <v>YAMAHA_Mounter</v>
      </c>
      <c r="AS1998" s="22">
        <f t="shared" si="593"/>
        <v>10</v>
      </c>
      <c r="AT1998" s="24" t="str">
        <f t="shared" si="594"/>
        <v>&gt; 6 months</v>
      </c>
    </row>
    <row r="1999" spans="1:46" s="12" customFormat="1">
      <c r="A1999" s="33" t="str">
        <f t="shared" si="582"/>
        <v>FY 21/22</v>
      </c>
      <c r="B1999" s="152">
        <v>2021</v>
      </c>
      <c r="C1999" s="152">
        <v>5</v>
      </c>
      <c r="D1999" s="33" t="str">
        <f t="shared" si="583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84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85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0"/>
        <v>1</v>
      </c>
      <c r="Z1999" s="18">
        <f t="shared" si="597"/>
        <v>8360000</v>
      </c>
      <c r="AA1999" s="13">
        <v>6.9199999999999998E-2</v>
      </c>
      <c r="AB1999" s="21">
        <f t="shared" si="586"/>
        <v>578512</v>
      </c>
      <c r="AC1999" s="130">
        <f t="shared" si="587"/>
        <v>61437.974399999999</v>
      </c>
      <c r="AD1999" s="169">
        <v>0.1062</v>
      </c>
      <c r="AE1999" s="154">
        <f t="shared" si="588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8"/>
        <v>28726768.133805312</v>
      </c>
      <c r="AJ1999" s="19">
        <f t="shared" si="599"/>
        <v>3853638.1988864429</v>
      </c>
      <c r="AK1999" s="20">
        <f t="shared" si="589"/>
        <v>0.1341479898099476</v>
      </c>
      <c r="AL1999" s="17"/>
      <c r="AM1999" s="17"/>
      <c r="AN1999" s="17"/>
      <c r="AO1999" s="17"/>
      <c r="AP1999" s="28" t="str">
        <f t="shared" si="590"/>
        <v>20223</v>
      </c>
      <c r="AQ1999" s="28" t="str">
        <f t="shared" si="591"/>
        <v>20223JPY</v>
      </c>
      <c r="AR1999" s="206" t="str">
        <f t="shared" si="592"/>
        <v>YAMAHA_Mounter</v>
      </c>
      <c r="AS1999" s="22">
        <f t="shared" si="593"/>
        <v>10</v>
      </c>
      <c r="AT1999" s="24" t="str">
        <f t="shared" si="594"/>
        <v>&gt; 6 months</v>
      </c>
    </row>
    <row r="2000" spans="1:46" s="12" customFormat="1">
      <c r="A2000" s="33" t="str">
        <f t="shared" si="582"/>
        <v>FY 22/23</v>
      </c>
      <c r="B2000" s="152">
        <v>2022</v>
      </c>
      <c r="C2000" s="152">
        <v>5</v>
      </c>
      <c r="D2000" s="33" t="str">
        <f t="shared" si="583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84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85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0"/>
        <v>1</v>
      </c>
      <c r="Z2000" s="18">
        <f t="shared" si="597"/>
        <v>15000000</v>
      </c>
      <c r="AA2000" s="13">
        <v>5.96E-2</v>
      </c>
      <c r="AB2000" s="21">
        <f t="shared" si="586"/>
        <v>894000</v>
      </c>
      <c r="AC2000" s="130">
        <f t="shared" si="587"/>
        <v>122209.79999999999</v>
      </c>
      <c r="AD2000" s="169">
        <v>0.13669999999999999</v>
      </c>
      <c r="AE2000" s="154">
        <f t="shared" si="588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8"/>
        <v>35073581.838938057</v>
      </c>
      <c r="AJ2000" s="19">
        <f t="shared" si="599"/>
        <v>5034113.9728989396</v>
      </c>
      <c r="AK2000" s="20">
        <f t="shared" si="589"/>
        <v>0.14353007902118958</v>
      </c>
      <c r="AL2000" s="17"/>
      <c r="AM2000" s="17"/>
      <c r="AN2000" s="17"/>
      <c r="AO2000" s="17"/>
      <c r="AP2000" s="28" t="str">
        <f t="shared" si="590"/>
        <v>20228</v>
      </c>
      <c r="AQ2000" s="28" t="str">
        <f t="shared" si="591"/>
        <v>20228JPY</v>
      </c>
      <c r="AR2000" s="206" t="str">
        <f t="shared" si="592"/>
        <v>YAMAHA_Mounter</v>
      </c>
      <c r="AS2000" s="22">
        <f t="shared" si="593"/>
        <v>3</v>
      </c>
      <c r="AT2000" s="24" t="str">
        <f t="shared" si="594"/>
        <v>0-3 months</v>
      </c>
    </row>
    <row r="2001" spans="1:46" s="12" customFormat="1">
      <c r="A2001" s="33" t="str">
        <f t="shared" si="582"/>
        <v>FY 22/23</v>
      </c>
      <c r="B2001" s="152">
        <v>2022</v>
      </c>
      <c r="C2001" s="152">
        <v>5</v>
      </c>
      <c r="D2001" s="33" t="str">
        <f t="shared" si="583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84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85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0"/>
        <v>1</v>
      </c>
      <c r="Z2001" s="18">
        <f t="shared" si="597"/>
        <v>15000000</v>
      </c>
      <c r="AA2001" s="13">
        <v>5.96E-2</v>
      </c>
      <c r="AB2001" s="21">
        <f t="shared" si="586"/>
        <v>894000</v>
      </c>
      <c r="AC2001" s="130">
        <f t="shared" si="587"/>
        <v>122209.79999999999</v>
      </c>
      <c r="AD2001" s="169">
        <v>0.13669999999999999</v>
      </c>
      <c r="AE2001" s="154">
        <f t="shared" si="588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8"/>
        <v>35073581.838938057</v>
      </c>
      <c r="AJ2001" s="19">
        <f t="shared" si="599"/>
        <v>5034113.9728989396</v>
      </c>
      <c r="AK2001" s="20">
        <f t="shared" si="589"/>
        <v>0.14353007902118958</v>
      </c>
      <c r="AL2001" s="17"/>
      <c r="AM2001" s="17"/>
      <c r="AN2001" s="17"/>
      <c r="AO2001" s="17"/>
      <c r="AP2001" s="28" t="str">
        <f t="shared" si="590"/>
        <v>20228</v>
      </c>
      <c r="AQ2001" s="28" t="str">
        <f t="shared" si="591"/>
        <v>20228JPY</v>
      </c>
      <c r="AR2001" s="206" t="str">
        <f t="shared" si="592"/>
        <v>YAMAHA_Mounter</v>
      </c>
      <c r="AS2001" s="22">
        <f t="shared" si="593"/>
        <v>3</v>
      </c>
      <c r="AT2001" s="24" t="str">
        <f t="shared" si="594"/>
        <v>0-3 months</v>
      </c>
    </row>
    <row r="2002" spans="1:46" s="12" customFormat="1">
      <c r="A2002" s="33" t="str">
        <f t="shared" si="582"/>
        <v>FY 22/23</v>
      </c>
      <c r="B2002" s="152">
        <v>2023</v>
      </c>
      <c r="C2002" s="152">
        <v>3</v>
      </c>
      <c r="D2002" s="33" t="str">
        <f t="shared" si="583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84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85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0"/>
        <v>1.13</v>
      </c>
      <c r="Z2002" s="18">
        <f t="shared" si="597"/>
        <v>430000</v>
      </c>
      <c r="AA2002" s="13">
        <v>1.1299999999999999</v>
      </c>
      <c r="AB2002" s="21">
        <f t="shared" si="586"/>
        <v>430000</v>
      </c>
      <c r="AC2002" s="130">
        <f t="shared" si="587"/>
        <v>60243</v>
      </c>
      <c r="AD2002" s="169">
        <v>0.1401</v>
      </c>
      <c r="AE2002" s="154">
        <f t="shared" si="588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8"/>
        <v>33543315.897345133</v>
      </c>
      <c r="AJ2002" s="19">
        <f t="shared" si="599"/>
        <v>4706169.3252984071</v>
      </c>
      <c r="AK2002" s="20">
        <f t="shared" si="589"/>
        <v>0.14030125523967318</v>
      </c>
      <c r="AL2002" s="17"/>
      <c r="AM2002" s="17"/>
      <c r="AN2002" s="17"/>
      <c r="AO2002" s="17"/>
      <c r="AP2002" s="28" t="str">
        <f t="shared" si="590"/>
        <v>20233</v>
      </c>
      <c r="AQ2002" s="28" t="str">
        <f t="shared" si="591"/>
        <v>20233RMB</v>
      </c>
      <c r="AR2002" s="206" t="str">
        <f t="shared" si="592"/>
        <v>YAMAHA_Mounter</v>
      </c>
      <c r="AS2002" s="22">
        <f t="shared" si="593"/>
        <v>0</v>
      </c>
      <c r="AT2002" s="24" t="str">
        <f t="shared" si="594"/>
        <v>0-3 months</v>
      </c>
    </row>
    <row r="2003" spans="1:46" s="12" customFormat="1">
      <c r="A2003" s="33" t="str">
        <f t="shared" si="582"/>
        <v>FY 22/23</v>
      </c>
      <c r="B2003" s="152">
        <v>2023</v>
      </c>
      <c r="C2003" s="152">
        <v>3</v>
      </c>
      <c r="D2003" s="33" t="str">
        <f t="shared" si="583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84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85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0"/>
        <v>1.13</v>
      </c>
      <c r="Z2003" s="18">
        <f t="shared" si="597"/>
        <v>430000</v>
      </c>
      <c r="AA2003" s="13">
        <v>1.1299999999999999</v>
      </c>
      <c r="AB2003" s="21">
        <f t="shared" si="586"/>
        <v>430000</v>
      </c>
      <c r="AC2003" s="130">
        <f t="shared" si="587"/>
        <v>60243</v>
      </c>
      <c r="AD2003" s="169">
        <v>0.1401</v>
      </c>
      <c r="AE2003" s="154">
        <f t="shared" si="588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8"/>
        <v>33543315.897345133</v>
      </c>
      <c r="AJ2003" s="19">
        <f t="shared" si="599"/>
        <v>4706169.3252984071</v>
      </c>
      <c r="AK2003" s="20">
        <f t="shared" si="589"/>
        <v>0.14030125523967318</v>
      </c>
      <c r="AL2003" s="17"/>
      <c r="AM2003" s="17"/>
      <c r="AN2003" s="17"/>
      <c r="AO2003" s="17"/>
      <c r="AP2003" s="28" t="str">
        <f t="shared" si="590"/>
        <v>20233</v>
      </c>
      <c r="AQ2003" s="28" t="str">
        <f t="shared" si="591"/>
        <v>20233RMB</v>
      </c>
      <c r="AR2003" s="206" t="str">
        <f t="shared" si="592"/>
        <v>YAMAHA_Mounter</v>
      </c>
      <c r="AS2003" s="22">
        <f t="shared" si="593"/>
        <v>0</v>
      </c>
      <c r="AT2003" s="24" t="str">
        <f t="shared" si="594"/>
        <v>0-3 months</v>
      </c>
    </row>
    <row r="2004" spans="1:46" s="12" customFormat="1">
      <c r="A2004" s="33" t="str">
        <f t="shared" si="582"/>
        <v>FY 23/24</v>
      </c>
      <c r="B2004" s="23">
        <v>2023</v>
      </c>
      <c r="C2004" s="152">
        <v>12</v>
      </c>
      <c r="D2004" s="33" t="str">
        <f t="shared" si="583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84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85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597"/>
        <v>13000000</v>
      </c>
      <c r="AA2004" s="22">
        <v>5.6300000000000003E-2</v>
      </c>
      <c r="AB2004" s="21">
        <f t="shared" si="586"/>
        <v>731900</v>
      </c>
      <c r="AC2004" s="25">
        <f t="shared" si="587"/>
        <v>74873.37</v>
      </c>
      <c r="AD2004" s="169">
        <v>0.1023</v>
      </c>
      <c r="AE2004" s="26">
        <f t="shared" si="588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8"/>
        <v>21575119.674336284</v>
      </c>
      <c r="AJ2004" s="27">
        <f t="shared" si="599"/>
        <v>2556656.3801490259</v>
      </c>
      <c r="AK2004" s="28">
        <f t="shared" si="589"/>
        <v>0.1185002177851269</v>
      </c>
      <c r="AL2004" s="24"/>
      <c r="AM2004" s="24"/>
      <c r="AN2004" s="24"/>
      <c r="AO2004" s="24"/>
      <c r="AP2004" s="28" t="str">
        <f t="shared" si="590"/>
        <v>20241</v>
      </c>
      <c r="AQ2004" s="28" t="str">
        <f t="shared" si="591"/>
        <v>20241JPY</v>
      </c>
      <c r="AR2004" s="206" t="str">
        <f t="shared" si="592"/>
        <v>YAMAHA_Mounter</v>
      </c>
      <c r="AS2004" s="22">
        <f t="shared" si="593"/>
        <v>1</v>
      </c>
      <c r="AT2004" s="24" t="str">
        <f t="shared" si="594"/>
        <v>0-3 months</v>
      </c>
    </row>
    <row r="2005" spans="1:46" s="12" customFormat="1">
      <c r="A2005" s="33" t="str">
        <f t="shared" si="582"/>
        <v>FY 23/24</v>
      </c>
      <c r="B2005" s="23">
        <v>2023</v>
      </c>
      <c r="C2005" s="152">
        <v>12</v>
      </c>
      <c r="D2005" s="33" t="str">
        <f t="shared" si="583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84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85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597"/>
        <v>7500000</v>
      </c>
      <c r="AA2005" s="22">
        <v>5.6300000000000003E-2</v>
      </c>
      <c r="AB2005" s="21">
        <f t="shared" si="586"/>
        <v>422250</v>
      </c>
      <c r="AC2005" s="25">
        <f t="shared" si="587"/>
        <v>43196.175000000003</v>
      </c>
      <c r="AD2005" s="169">
        <v>0.1023</v>
      </c>
      <c r="AE2005" s="26">
        <f t="shared" si="588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8"/>
        <v>21575119.674336284</v>
      </c>
      <c r="AJ2005" s="27">
        <f t="shared" si="599"/>
        <v>2556656.3801490259</v>
      </c>
      <c r="AK2005" s="28">
        <f t="shared" si="589"/>
        <v>0.1185002177851269</v>
      </c>
      <c r="AL2005" s="24"/>
      <c r="AM2005" s="24"/>
      <c r="AN2005" s="24"/>
      <c r="AO2005" s="24"/>
      <c r="AP2005" s="28" t="str">
        <f t="shared" si="590"/>
        <v>20241</v>
      </c>
      <c r="AQ2005" s="28" t="str">
        <f t="shared" si="591"/>
        <v>20241JPY</v>
      </c>
      <c r="AR2005" s="206" t="str">
        <f t="shared" si="592"/>
        <v>YAMAHA_Mounter</v>
      </c>
      <c r="AS2005" s="22">
        <f t="shared" si="593"/>
        <v>1</v>
      </c>
      <c r="AT2005" s="24" t="str">
        <f t="shared" si="594"/>
        <v>0-3 months</v>
      </c>
    </row>
    <row r="2006" spans="1:46" s="12" customFormat="1">
      <c r="A2006" s="33" t="str">
        <f t="shared" si="582"/>
        <v>FY 18/19</v>
      </c>
      <c r="B2006" s="152">
        <v>2018</v>
      </c>
      <c r="C2006" s="152">
        <v>4</v>
      </c>
      <c r="D2006" s="33" t="str">
        <f t="shared" si="583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84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85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597"/>
        <v>23880000</v>
      </c>
      <c r="AA2006" s="13">
        <v>7.2099999999999997E-2</v>
      </c>
      <c r="AB2006" s="21">
        <f t="shared" si="586"/>
        <v>1721748</v>
      </c>
      <c r="AC2006" s="130">
        <f t="shared" si="587"/>
        <v>275479.67999999999</v>
      </c>
      <c r="AD2006" s="169">
        <v>0.16</v>
      </c>
      <c r="AE2006" s="154">
        <f t="shared" si="588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8"/>
        <v>26754147.763010349</v>
      </c>
      <c r="AJ2006" s="19">
        <f t="shared" si="599"/>
        <v>3429137.9965357962</v>
      </c>
      <c r="AK2006" s="20">
        <f t="shared" si="589"/>
        <v>0.12817220069617921</v>
      </c>
      <c r="AL2006" s="17"/>
      <c r="AM2006" s="17"/>
      <c r="AN2006" s="17"/>
      <c r="AO2006" s="17"/>
      <c r="AP2006" s="28" t="str">
        <f t="shared" si="590"/>
        <v>20188</v>
      </c>
      <c r="AQ2006" s="28" t="str">
        <f t="shared" si="591"/>
        <v>20188JPY</v>
      </c>
      <c r="AR2006" s="206" t="str">
        <f t="shared" si="592"/>
        <v>YAMAHA_Mounter</v>
      </c>
      <c r="AS2006" s="22">
        <f t="shared" si="593"/>
        <v>4</v>
      </c>
      <c r="AT2006" s="24" t="str">
        <f t="shared" si="594"/>
        <v>4-6 months</v>
      </c>
    </row>
    <row r="2007" spans="1:46" s="12" customFormat="1">
      <c r="A2007" s="33" t="str">
        <f t="shared" si="582"/>
        <v>FY 18/19</v>
      </c>
      <c r="B2007" s="152">
        <v>2018</v>
      </c>
      <c r="C2007" s="152">
        <v>4</v>
      </c>
      <c r="D2007" s="33" t="str">
        <f t="shared" si="583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84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85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597"/>
        <v>30000000</v>
      </c>
      <c r="AA2007" s="13">
        <v>7.0400000000000004E-2</v>
      </c>
      <c r="AB2007" s="21">
        <f t="shared" si="586"/>
        <v>2112000</v>
      </c>
      <c r="AC2007" s="130">
        <f t="shared" si="587"/>
        <v>337920</v>
      </c>
      <c r="AD2007" s="169">
        <v>0.16</v>
      </c>
      <c r="AE2007" s="154">
        <f t="shared" si="588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8"/>
        <v>29840797.698275864</v>
      </c>
      <c r="AJ2007" s="19">
        <f t="shared" si="599"/>
        <v>3940167.6555448272</v>
      </c>
      <c r="AK2007" s="20">
        <f t="shared" si="589"/>
        <v>0.13203962224416277</v>
      </c>
      <c r="AL2007" s="17"/>
      <c r="AM2007" s="17"/>
      <c r="AN2007" s="17"/>
      <c r="AO2007" s="17"/>
      <c r="AP2007" s="28" t="str">
        <f t="shared" si="590"/>
        <v>201812</v>
      </c>
      <c r="AQ2007" s="28" t="str">
        <f t="shared" si="591"/>
        <v>201812JPY</v>
      </c>
      <c r="AR2007" s="206" t="str">
        <f t="shared" si="592"/>
        <v>YAMAHA_Mounter</v>
      </c>
      <c r="AS2007" s="22">
        <f t="shared" si="593"/>
        <v>8</v>
      </c>
      <c r="AT2007" s="24" t="str">
        <f t="shared" si="594"/>
        <v>&gt; 6 months</v>
      </c>
    </row>
    <row r="2008" spans="1:46" s="12" customFormat="1">
      <c r="A2008" s="33" t="str">
        <f t="shared" si="582"/>
        <v>FY 18/19</v>
      </c>
      <c r="B2008" s="152">
        <v>2018</v>
      </c>
      <c r="C2008" s="152">
        <v>8</v>
      </c>
      <c r="D2008" s="33" t="str">
        <f t="shared" si="583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84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85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597"/>
        <v>12235000</v>
      </c>
      <c r="AA2008" s="13">
        <v>7.0400000000000004E-2</v>
      </c>
      <c r="AB2008" s="21">
        <f t="shared" si="586"/>
        <v>861344</v>
      </c>
      <c r="AC2008" s="130">
        <f t="shared" si="587"/>
        <v>142035.6256</v>
      </c>
      <c r="AD2008" s="169">
        <v>0.16489999999999999</v>
      </c>
      <c r="AE2008" s="154">
        <f t="shared" si="588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8"/>
        <v>29840797.698275864</v>
      </c>
      <c r="AJ2008" s="19">
        <f t="shared" si="599"/>
        <v>3940167.6555448272</v>
      </c>
      <c r="AK2008" s="20">
        <f t="shared" si="589"/>
        <v>0.13203962224416277</v>
      </c>
      <c r="AL2008" s="17"/>
      <c r="AM2008" s="17"/>
      <c r="AN2008" s="17"/>
      <c r="AO2008" s="17"/>
      <c r="AP2008" s="28" t="str">
        <f t="shared" si="590"/>
        <v>201812</v>
      </c>
      <c r="AQ2008" s="28" t="str">
        <f t="shared" si="591"/>
        <v>201812JPY</v>
      </c>
      <c r="AR2008" s="206" t="str">
        <f t="shared" si="592"/>
        <v>YAMAHA_Mounter</v>
      </c>
      <c r="AS2008" s="22">
        <f t="shared" si="593"/>
        <v>4</v>
      </c>
      <c r="AT2008" s="24" t="str">
        <f t="shared" si="594"/>
        <v>4-6 months</v>
      </c>
    </row>
    <row r="2009" spans="1:46" s="12" customFormat="1">
      <c r="A2009" s="33" t="str">
        <f t="shared" si="582"/>
        <v>FY 18/19</v>
      </c>
      <c r="B2009" s="152">
        <v>2018</v>
      </c>
      <c r="C2009" s="152">
        <v>8</v>
      </c>
      <c r="D2009" s="33" t="str">
        <f t="shared" si="583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84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85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597"/>
        <v>14000000</v>
      </c>
      <c r="AA2009" s="13">
        <v>7.0400000000000004E-2</v>
      </c>
      <c r="AB2009" s="21">
        <f t="shared" si="586"/>
        <v>985600.00000000012</v>
      </c>
      <c r="AC2009" s="130">
        <f t="shared" si="587"/>
        <v>162525.44</v>
      </c>
      <c r="AD2009" s="169">
        <v>0.16489999999999999</v>
      </c>
      <c r="AE2009" s="154">
        <f t="shared" si="588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8"/>
        <v>29840797.698275864</v>
      </c>
      <c r="AJ2009" s="19">
        <f t="shared" si="599"/>
        <v>3940167.6555448272</v>
      </c>
      <c r="AK2009" s="20">
        <f t="shared" si="589"/>
        <v>0.13203962224416277</v>
      </c>
      <c r="AL2009" s="17"/>
      <c r="AM2009" s="17"/>
      <c r="AN2009" s="17"/>
      <c r="AO2009" s="17"/>
      <c r="AP2009" s="28" t="str">
        <f t="shared" si="590"/>
        <v>201812</v>
      </c>
      <c r="AQ2009" s="28" t="str">
        <f t="shared" si="591"/>
        <v>201812JPY</v>
      </c>
      <c r="AR2009" s="206" t="str">
        <f t="shared" si="592"/>
        <v>YAMAHA_Mounter</v>
      </c>
      <c r="AS2009" s="22">
        <f t="shared" si="593"/>
        <v>4</v>
      </c>
      <c r="AT2009" s="24" t="str">
        <f t="shared" si="594"/>
        <v>4-6 months</v>
      </c>
    </row>
    <row r="2010" spans="1:46" s="12" customFormat="1">
      <c r="A2010" s="33" t="str">
        <f t="shared" si="582"/>
        <v>FY 18/19</v>
      </c>
      <c r="B2010" s="152">
        <v>2018</v>
      </c>
      <c r="C2010" s="152">
        <v>9</v>
      </c>
      <c r="D2010" s="33" t="str">
        <f t="shared" si="583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84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85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597"/>
        <v>17407500</v>
      </c>
      <c r="AA2010" s="13">
        <v>7.0400000000000004E-2</v>
      </c>
      <c r="AB2010" s="21">
        <f t="shared" si="586"/>
        <v>1225488</v>
      </c>
      <c r="AC2010" s="130">
        <f t="shared" si="587"/>
        <v>204656.49600000001</v>
      </c>
      <c r="AD2010" s="169">
        <v>0.16700000000000001</v>
      </c>
      <c r="AE2010" s="154">
        <f t="shared" si="588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8"/>
        <v>29840797.698275864</v>
      </c>
      <c r="AJ2010" s="19">
        <f t="shared" si="599"/>
        <v>3940167.6555448272</v>
      </c>
      <c r="AK2010" s="20">
        <f t="shared" si="589"/>
        <v>0.13203962224416277</v>
      </c>
      <c r="AL2010" s="17"/>
      <c r="AM2010" s="17"/>
      <c r="AN2010" s="17"/>
      <c r="AO2010" s="17"/>
      <c r="AP2010" s="28" t="str">
        <f t="shared" si="590"/>
        <v>201812</v>
      </c>
      <c r="AQ2010" s="28" t="str">
        <f t="shared" si="591"/>
        <v>201812JPY</v>
      </c>
      <c r="AR2010" s="206" t="str">
        <f t="shared" si="592"/>
        <v>YAMAHA_Mounter</v>
      </c>
      <c r="AS2010" s="22">
        <f t="shared" si="593"/>
        <v>3</v>
      </c>
      <c r="AT2010" s="24" t="str">
        <f t="shared" si="594"/>
        <v>0-3 months</v>
      </c>
    </row>
    <row r="2011" spans="1:46" s="12" customFormat="1">
      <c r="A2011" s="33" t="str">
        <f t="shared" si="582"/>
        <v>FY 18/19</v>
      </c>
      <c r="B2011" s="152">
        <v>2018</v>
      </c>
      <c r="C2011" s="152">
        <v>9</v>
      </c>
      <c r="D2011" s="33" t="str">
        <f t="shared" si="583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84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85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597"/>
        <v>17407500</v>
      </c>
      <c r="AA2011" s="13">
        <v>7.0400000000000004E-2</v>
      </c>
      <c r="AB2011" s="21">
        <f t="shared" si="586"/>
        <v>1225488</v>
      </c>
      <c r="AC2011" s="130">
        <f t="shared" si="587"/>
        <v>204656.49600000001</v>
      </c>
      <c r="AD2011" s="169">
        <v>0.16700000000000001</v>
      </c>
      <c r="AE2011" s="154">
        <f t="shared" si="588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8"/>
        <v>29840797.698275864</v>
      </c>
      <c r="AJ2011" s="19">
        <f t="shared" si="599"/>
        <v>3940167.6555448272</v>
      </c>
      <c r="AK2011" s="20">
        <f t="shared" si="589"/>
        <v>0.13203962224416277</v>
      </c>
      <c r="AL2011" s="17"/>
      <c r="AM2011" s="17"/>
      <c r="AN2011" s="17"/>
      <c r="AO2011" s="17"/>
      <c r="AP2011" s="28" t="str">
        <f t="shared" si="590"/>
        <v>201812</v>
      </c>
      <c r="AQ2011" s="28" t="str">
        <f t="shared" si="591"/>
        <v>201812JPY</v>
      </c>
      <c r="AR2011" s="206" t="str">
        <f t="shared" si="592"/>
        <v>YAMAHA_Mounter</v>
      </c>
      <c r="AS2011" s="22">
        <f t="shared" si="593"/>
        <v>3</v>
      </c>
      <c r="AT2011" s="24" t="str">
        <f t="shared" si="594"/>
        <v>0-3 months</v>
      </c>
    </row>
    <row r="2012" spans="1:46" s="12" customFormat="1">
      <c r="A2012" s="33" t="str">
        <f t="shared" si="582"/>
        <v>FY 18/19</v>
      </c>
      <c r="B2012" s="152">
        <v>2018</v>
      </c>
      <c r="C2012" s="152">
        <v>11</v>
      </c>
      <c r="D2012" s="33" t="str">
        <f t="shared" si="583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84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85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597"/>
        <v>15500000</v>
      </c>
      <c r="AA2012" s="13">
        <v>7.22E-2</v>
      </c>
      <c r="AB2012" s="21">
        <f t="shared" si="586"/>
        <v>1119100</v>
      </c>
      <c r="AC2012" s="130">
        <f t="shared" si="587"/>
        <v>179951.28</v>
      </c>
      <c r="AD2012" s="169">
        <v>0.1608</v>
      </c>
      <c r="AE2012" s="154">
        <f t="shared" si="588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8"/>
        <v>47416008.333399981</v>
      </c>
      <c r="AJ2012" s="19">
        <f t="shared" si="599"/>
        <v>6981738.4465290187</v>
      </c>
      <c r="AK2012" s="20">
        <f t="shared" si="589"/>
        <v>0.14724433143839863</v>
      </c>
      <c r="AL2012" s="17"/>
      <c r="AM2012" s="17"/>
      <c r="AN2012" s="17"/>
      <c r="AO2012" s="17"/>
      <c r="AP2012" s="28" t="str">
        <f t="shared" si="590"/>
        <v>20193</v>
      </c>
      <c r="AQ2012" s="28" t="str">
        <f t="shared" si="591"/>
        <v>20193JPY</v>
      </c>
      <c r="AR2012" s="206" t="str">
        <f t="shared" si="592"/>
        <v>YAMAHA_Mounter</v>
      </c>
      <c r="AS2012" s="22">
        <f t="shared" si="593"/>
        <v>4</v>
      </c>
      <c r="AT2012" s="24" t="str">
        <f t="shared" si="594"/>
        <v>4-6 months</v>
      </c>
    </row>
    <row r="2013" spans="1:46" s="12" customFormat="1">
      <c r="A2013" s="33" t="str">
        <f t="shared" si="582"/>
        <v>FY 18/19</v>
      </c>
      <c r="B2013" s="152">
        <v>2018</v>
      </c>
      <c r="C2013" s="152">
        <v>11</v>
      </c>
      <c r="D2013" s="33" t="str">
        <f t="shared" si="583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84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85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597"/>
        <v>15500000</v>
      </c>
      <c r="AA2013" s="13">
        <v>7.22E-2</v>
      </c>
      <c r="AB2013" s="21">
        <f t="shared" si="586"/>
        <v>1119100</v>
      </c>
      <c r="AC2013" s="130">
        <f t="shared" si="587"/>
        <v>179951.28</v>
      </c>
      <c r="AD2013" s="169">
        <v>0.1608</v>
      </c>
      <c r="AE2013" s="154">
        <f t="shared" si="588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8"/>
        <v>47416008.333399981</v>
      </c>
      <c r="AJ2013" s="19">
        <f t="shared" si="599"/>
        <v>6981738.4465290187</v>
      </c>
      <c r="AK2013" s="20">
        <f t="shared" si="589"/>
        <v>0.14724433143839863</v>
      </c>
      <c r="AL2013" s="17"/>
      <c r="AM2013" s="17"/>
      <c r="AN2013" s="17"/>
      <c r="AO2013" s="17"/>
      <c r="AP2013" s="28" t="str">
        <f t="shared" si="590"/>
        <v>20193</v>
      </c>
      <c r="AQ2013" s="28" t="str">
        <f t="shared" si="591"/>
        <v>20193JPY</v>
      </c>
      <c r="AR2013" s="206" t="str">
        <f t="shared" si="592"/>
        <v>YAMAHA_Mounter</v>
      </c>
      <c r="AS2013" s="22">
        <f t="shared" si="593"/>
        <v>4</v>
      </c>
      <c r="AT2013" s="24" t="str">
        <f t="shared" si="594"/>
        <v>4-6 months</v>
      </c>
    </row>
    <row r="2014" spans="1:46" s="12" customFormat="1">
      <c r="A2014" s="33" t="str">
        <f t="shared" si="582"/>
        <v>FY 18/19</v>
      </c>
      <c r="B2014" s="152">
        <v>2018</v>
      </c>
      <c r="C2014" s="152">
        <v>11</v>
      </c>
      <c r="D2014" s="33" t="str">
        <f t="shared" si="583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84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85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597"/>
        <v>15500000</v>
      </c>
      <c r="AA2014" s="13">
        <v>7.22E-2</v>
      </c>
      <c r="AB2014" s="21">
        <f t="shared" si="586"/>
        <v>1119100</v>
      </c>
      <c r="AC2014" s="130">
        <f t="shared" si="587"/>
        <v>179951.28</v>
      </c>
      <c r="AD2014" s="169">
        <v>0.1608</v>
      </c>
      <c r="AE2014" s="154">
        <f t="shared" si="588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8"/>
        <v>47416008.333399981</v>
      </c>
      <c r="AJ2014" s="19">
        <f t="shared" si="599"/>
        <v>6981738.4465290187</v>
      </c>
      <c r="AK2014" s="20">
        <f t="shared" si="589"/>
        <v>0.14724433143839863</v>
      </c>
      <c r="AL2014" s="17"/>
      <c r="AM2014" s="17"/>
      <c r="AN2014" s="17"/>
      <c r="AO2014" s="17"/>
      <c r="AP2014" s="28" t="str">
        <f t="shared" si="590"/>
        <v>20193</v>
      </c>
      <c r="AQ2014" s="28" t="str">
        <f t="shared" si="591"/>
        <v>20193JPY</v>
      </c>
      <c r="AR2014" s="206" t="str">
        <f t="shared" si="592"/>
        <v>YAMAHA_Mounter</v>
      </c>
      <c r="AS2014" s="22">
        <f t="shared" si="593"/>
        <v>4</v>
      </c>
      <c r="AT2014" s="24" t="str">
        <f t="shared" si="594"/>
        <v>4-6 months</v>
      </c>
    </row>
    <row r="2015" spans="1:46" s="12" customFormat="1">
      <c r="A2015" s="33" t="str">
        <f t="shared" si="582"/>
        <v>FY 18/19</v>
      </c>
      <c r="B2015" s="152">
        <v>2018</v>
      </c>
      <c r="C2015" s="152">
        <v>11</v>
      </c>
      <c r="D2015" s="33" t="str">
        <f t="shared" si="583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84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85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597"/>
        <v>15500000</v>
      </c>
      <c r="AA2015" s="13">
        <v>7.22E-2</v>
      </c>
      <c r="AB2015" s="21">
        <f t="shared" si="586"/>
        <v>1119100</v>
      </c>
      <c r="AC2015" s="130">
        <f t="shared" si="587"/>
        <v>179951.28</v>
      </c>
      <c r="AD2015" s="169">
        <v>0.1608</v>
      </c>
      <c r="AE2015" s="154">
        <f t="shared" si="588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8"/>
        <v>47416008.333399981</v>
      </c>
      <c r="AJ2015" s="19">
        <f t="shared" si="599"/>
        <v>6981738.4465290187</v>
      </c>
      <c r="AK2015" s="20">
        <f t="shared" si="589"/>
        <v>0.14724433143839863</v>
      </c>
      <c r="AL2015" s="17"/>
      <c r="AM2015" s="17"/>
      <c r="AN2015" s="17"/>
      <c r="AO2015" s="17"/>
      <c r="AP2015" s="28" t="str">
        <f t="shared" si="590"/>
        <v>20193</v>
      </c>
      <c r="AQ2015" s="28" t="str">
        <f t="shared" si="591"/>
        <v>20193JPY</v>
      </c>
      <c r="AR2015" s="206" t="str">
        <f t="shared" si="592"/>
        <v>YAMAHA_Mounter</v>
      </c>
      <c r="AS2015" s="22">
        <f t="shared" si="593"/>
        <v>4</v>
      </c>
      <c r="AT2015" s="24" t="str">
        <f t="shared" si="594"/>
        <v>4-6 months</v>
      </c>
    </row>
    <row r="2016" spans="1:46" s="12" customFormat="1">
      <c r="A2016" s="33" t="str">
        <f t="shared" ref="A2016:A2079" si="601">IF(C2016="cancel","cancel",IFERROR(IF(D2016="Q4","FY "&amp;RIGHT(B2016,2)-1&amp;"/"&amp;RIGHT(B2016,2),"FY "&amp;RIGHT(B2016,2)&amp;"/"&amp;RIGHT(B2016,2)+1),""))</f>
        <v>FY 18/19</v>
      </c>
      <c r="B2016" s="152">
        <v>2018</v>
      </c>
      <c r="C2016" s="152">
        <v>11</v>
      </c>
      <c r="D2016" s="33" t="str">
        <f t="shared" ref="D2016:D2079" si="602">IF(B2016="","",IF(AND(C2016&gt;=10,C2016&lt;=12),"Q3",IF(AND(C2016&gt;=1,C2016&lt;=3),"Q4",IF(AND(C2016&gt;=7,C2016&lt;=9),"Q2",IF(AND(C2016&gt;=4,C2016&lt;=6),"Q1")))))</f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ref="I2016:I2079" si="603">IFERROR(IF(F2016="","",IF(F2016="TBA","TBA",IF(F2016="Cancel","Cancel",IF(AND(G2016&gt;=10,G2016&lt;=12),"Q3",IF(AND(G2016&gt;=1,G2016&lt;=3),"Q4",IF(AND(G2016&gt;=7,G2016&lt;=9),"Q2",IF(AND(G2016&gt;=4,G2016&lt;=6),"Q1"))))))),"")</f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ref="P2016:P2079" si="604">IF(M2016="","",IF(AND(N2016&gt;0,L2016&lt;&gt;""),"MAIN UNIT",IF(AND(O2016&gt;0,L2016&lt;&gt;""),"SERVICE/ PARTS","C66 SERVICE/OTHERS")))</f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597"/>
        <v>12882566</v>
      </c>
      <c r="AA2016" s="13">
        <v>7.22E-2</v>
      </c>
      <c r="AB2016" s="21">
        <f t="shared" ref="AB2016:AB2079" si="605">IF(AND(R2016&lt;&gt;"C66",R2016&lt;&gt;""),Z2016/Y2016*AA2016,"")</f>
        <v>930121.26520000002</v>
      </c>
      <c r="AC2016" s="130">
        <f t="shared" ref="AC2016:AC2079" si="606">IF(R2016&lt;&gt;"",AB2016*AD2016,"")</f>
        <v>149563.49944416</v>
      </c>
      <c r="AD2016" s="169">
        <v>0.1608</v>
      </c>
      <c r="AE2016" s="154">
        <f t="shared" ref="AE2016:AE2079" si="607">IF(Q2016="","",IF(Q2016="Yes",1,0))</f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8"/>
        <v>47416008.333399981</v>
      </c>
      <c r="AJ2016" s="19">
        <f t="shared" si="599"/>
        <v>6981738.4465290187</v>
      </c>
      <c r="AK2016" s="20">
        <f t="shared" ref="AK2016:AK2079" si="608">IF(AJ2016&gt;0,AJ2016/AI2016,"")</f>
        <v>0.14724433143839863</v>
      </c>
      <c r="AL2016" s="17"/>
      <c r="AM2016" s="17"/>
      <c r="AN2016" s="17"/>
      <c r="AO2016" s="17"/>
      <c r="AP2016" s="28" t="str">
        <f t="shared" ref="AP2016:AP2079" si="609">IF(F2016="","",F2016&amp;G2016)</f>
        <v>20193</v>
      </c>
      <c r="AQ2016" s="28" t="str">
        <f t="shared" ref="AQ2016:AQ2079" si="610">IF(W2016="","",F2016&amp;G2016&amp;W2016)</f>
        <v>20193JPY</v>
      </c>
      <c r="AR2016" s="206" t="str">
        <f t="shared" ref="AR2016:AR2079" si="611">IFERROR(IF(AND(M2016="YAMAHA", R2016="C28"), "YAMAHA_Non_Mounter", IF(AND(M2016="YAMAHA", R2016="C49"), "YAMAHA_Mounter", M2016)),"")</f>
        <v>YAMAHA_Mounter</v>
      </c>
      <c r="AS2016" s="22">
        <f t="shared" ref="AS2016:AS2079" si="612">IFERROR(IF(OR(G2016="TBA", G2016=""), "", DATEDIF(DATE(B2016, C2016, 1), DATE(F2016, G2016, 1), "M")),"")</f>
        <v>4</v>
      </c>
      <c r="AT2016" s="24" t="str">
        <f t="shared" ref="AT2016:AT2079" si="613">IF(ISNUMBER(AS2016), IF(AS2016&gt;=0, IF(AS2016&lt;=3, "0-3 months", IF(AS2016&lt;=6, "4-6 months", "&gt; 6 months"))), "")</f>
        <v>4-6 months</v>
      </c>
    </row>
    <row r="2017" spans="1:46" s="12" customFormat="1">
      <c r="A2017" s="33" t="str">
        <f t="shared" si="601"/>
        <v>FY 18/19</v>
      </c>
      <c r="B2017" s="152">
        <v>2018</v>
      </c>
      <c r="C2017" s="152">
        <v>11</v>
      </c>
      <c r="D2017" s="33" t="str">
        <f t="shared" si="602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603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604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597"/>
        <v>12882566</v>
      </c>
      <c r="AA2017" s="13">
        <v>7.22E-2</v>
      </c>
      <c r="AB2017" s="21">
        <f t="shared" si="605"/>
        <v>930121.26520000002</v>
      </c>
      <c r="AC2017" s="130">
        <f t="shared" si="606"/>
        <v>149563.49944416</v>
      </c>
      <c r="AD2017" s="169">
        <v>0.1608</v>
      </c>
      <c r="AE2017" s="154">
        <f t="shared" si="607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8"/>
        <v>47416008.333399981</v>
      </c>
      <c r="AJ2017" s="19">
        <f t="shared" si="599"/>
        <v>6981738.4465290187</v>
      </c>
      <c r="AK2017" s="20">
        <f t="shared" si="608"/>
        <v>0.14724433143839863</v>
      </c>
      <c r="AL2017" s="17"/>
      <c r="AM2017" s="17"/>
      <c r="AN2017" s="17"/>
      <c r="AO2017" s="17"/>
      <c r="AP2017" s="28" t="str">
        <f t="shared" si="609"/>
        <v>20193</v>
      </c>
      <c r="AQ2017" s="28" t="str">
        <f t="shared" si="610"/>
        <v>20193JPY</v>
      </c>
      <c r="AR2017" s="206" t="str">
        <f t="shared" si="611"/>
        <v>YAMAHA_Mounter</v>
      </c>
      <c r="AS2017" s="22">
        <f t="shared" si="612"/>
        <v>4</v>
      </c>
      <c r="AT2017" s="24" t="str">
        <f t="shared" si="613"/>
        <v>4-6 months</v>
      </c>
    </row>
    <row r="2018" spans="1:46" s="12" customFormat="1">
      <c r="A2018" s="33" t="str">
        <f t="shared" si="601"/>
        <v>FY 18/19</v>
      </c>
      <c r="B2018" s="152">
        <v>2018</v>
      </c>
      <c r="C2018" s="152">
        <v>11</v>
      </c>
      <c r="D2018" s="33" t="str">
        <f t="shared" si="602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603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604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597"/>
        <v>12882566</v>
      </c>
      <c r="AA2018" s="13">
        <v>7.22E-2</v>
      </c>
      <c r="AB2018" s="21">
        <f t="shared" si="605"/>
        <v>930121.26520000002</v>
      </c>
      <c r="AC2018" s="130">
        <f t="shared" si="606"/>
        <v>149563.49944416</v>
      </c>
      <c r="AD2018" s="169">
        <v>0.1608</v>
      </c>
      <c r="AE2018" s="154">
        <f t="shared" si="607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8"/>
        <v>47416008.333399981</v>
      </c>
      <c r="AJ2018" s="19">
        <f t="shared" si="599"/>
        <v>6981738.4465290187</v>
      </c>
      <c r="AK2018" s="20">
        <f t="shared" si="608"/>
        <v>0.14724433143839863</v>
      </c>
      <c r="AL2018" s="17"/>
      <c r="AM2018" s="17"/>
      <c r="AN2018" s="17"/>
      <c r="AO2018" s="17"/>
      <c r="AP2018" s="28" t="str">
        <f t="shared" si="609"/>
        <v>20193</v>
      </c>
      <c r="AQ2018" s="28" t="str">
        <f t="shared" si="610"/>
        <v>20193JPY</v>
      </c>
      <c r="AR2018" s="206" t="str">
        <f t="shared" si="611"/>
        <v>YAMAHA_Mounter</v>
      </c>
      <c r="AS2018" s="22">
        <f t="shared" si="612"/>
        <v>4</v>
      </c>
      <c r="AT2018" s="24" t="str">
        <f t="shared" si="613"/>
        <v>4-6 months</v>
      </c>
    </row>
    <row r="2019" spans="1:46" s="12" customFormat="1">
      <c r="A2019" s="33" t="str">
        <f t="shared" si="601"/>
        <v>FY 18/19</v>
      </c>
      <c r="B2019" s="152">
        <v>2018</v>
      </c>
      <c r="C2019" s="152">
        <v>11</v>
      </c>
      <c r="D2019" s="33" t="str">
        <f t="shared" si="602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603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604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597"/>
        <v>12882566</v>
      </c>
      <c r="AA2019" s="13">
        <v>7.22E-2</v>
      </c>
      <c r="AB2019" s="21">
        <f t="shared" si="605"/>
        <v>930121.26520000002</v>
      </c>
      <c r="AC2019" s="130">
        <f t="shared" si="606"/>
        <v>149563.49944416</v>
      </c>
      <c r="AD2019" s="169">
        <v>0.1608</v>
      </c>
      <c r="AE2019" s="154">
        <f t="shared" si="607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8"/>
        <v>47416008.333399981</v>
      </c>
      <c r="AJ2019" s="19">
        <f t="shared" si="599"/>
        <v>6981738.4465290187</v>
      </c>
      <c r="AK2019" s="20">
        <f t="shared" si="608"/>
        <v>0.14724433143839863</v>
      </c>
      <c r="AL2019" s="17"/>
      <c r="AM2019" s="17"/>
      <c r="AN2019" s="17"/>
      <c r="AO2019" s="17"/>
      <c r="AP2019" s="28" t="str">
        <f t="shared" si="609"/>
        <v>20193</v>
      </c>
      <c r="AQ2019" s="28" t="str">
        <f t="shared" si="610"/>
        <v>20193JPY</v>
      </c>
      <c r="AR2019" s="206" t="str">
        <f t="shared" si="611"/>
        <v>YAMAHA_Mounter</v>
      </c>
      <c r="AS2019" s="22">
        <f t="shared" si="612"/>
        <v>4</v>
      </c>
      <c r="AT2019" s="24" t="str">
        <f t="shared" si="613"/>
        <v>4-6 months</v>
      </c>
    </row>
    <row r="2020" spans="1:46" s="12" customFormat="1">
      <c r="A2020" s="33" t="str">
        <f t="shared" si="601"/>
        <v>FY 18/19</v>
      </c>
      <c r="B2020" s="152">
        <v>2018</v>
      </c>
      <c r="C2020" s="152">
        <v>11</v>
      </c>
      <c r="D2020" s="33" t="str">
        <f t="shared" si="602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603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604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597"/>
        <v>12882566</v>
      </c>
      <c r="AA2020" s="13">
        <v>7.22E-2</v>
      </c>
      <c r="AB2020" s="21">
        <f t="shared" si="605"/>
        <v>930121.26520000002</v>
      </c>
      <c r="AC2020" s="130">
        <f t="shared" si="606"/>
        <v>149563.49944416</v>
      </c>
      <c r="AD2020" s="169">
        <v>0.1608</v>
      </c>
      <c r="AE2020" s="154">
        <f t="shared" si="607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8"/>
        <v>47416008.333399981</v>
      </c>
      <c r="AJ2020" s="19">
        <f t="shared" si="599"/>
        <v>6981738.4465290187</v>
      </c>
      <c r="AK2020" s="20">
        <f t="shared" si="608"/>
        <v>0.14724433143839863</v>
      </c>
      <c r="AL2020" s="17"/>
      <c r="AM2020" s="17"/>
      <c r="AN2020" s="17"/>
      <c r="AO2020" s="17"/>
      <c r="AP2020" s="28" t="str">
        <f t="shared" si="609"/>
        <v>20193</v>
      </c>
      <c r="AQ2020" s="28" t="str">
        <f t="shared" si="610"/>
        <v>20193JPY</v>
      </c>
      <c r="AR2020" s="206" t="str">
        <f t="shared" si="611"/>
        <v>YAMAHA_Mounter</v>
      </c>
      <c r="AS2020" s="22">
        <f t="shared" si="612"/>
        <v>4</v>
      </c>
      <c r="AT2020" s="24" t="str">
        <f t="shared" si="613"/>
        <v>4-6 months</v>
      </c>
    </row>
    <row r="2021" spans="1:46" s="12" customFormat="1">
      <c r="A2021" s="33" t="str">
        <f t="shared" si="601"/>
        <v>FY 18/19</v>
      </c>
      <c r="B2021" s="152">
        <v>2018</v>
      </c>
      <c r="C2021" s="152">
        <v>11</v>
      </c>
      <c r="D2021" s="33" t="str">
        <f t="shared" si="602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603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604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597"/>
        <v>12882566</v>
      </c>
      <c r="AA2021" s="13">
        <v>7.22E-2</v>
      </c>
      <c r="AB2021" s="21">
        <f t="shared" si="605"/>
        <v>930121.26520000002</v>
      </c>
      <c r="AC2021" s="130">
        <f t="shared" si="606"/>
        <v>149563.49944416</v>
      </c>
      <c r="AD2021" s="169">
        <v>0.1608</v>
      </c>
      <c r="AE2021" s="154">
        <f t="shared" si="607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8"/>
        <v>47416008.333399981</v>
      </c>
      <c r="AJ2021" s="19">
        <f t="shared" si="599"/>
        <v>6981738.4465290187</v>
      </c>
      <c r="AK2021" s="20">
        <f t="shared" si="608"/>
        <v>0.14724433143839863</v>
      </c>
      <c r="AL2021" s="17"/>
      <c r="AM2021" s="17"/>
      <c r="AN2021" s="17"/>
      <c r="AO2021" s="17"/>
      <c r="AP2021" s="28" t="str">
        <f t="shared" si="609"/>
        <v>20193</v>
      </c>
      <c r="AQ2021" s="28" t="str">
        <f t="shared" si="610"/>
        <v>20193JPY</v>
      </c>
      <c r="AR2021" s="206" t="str">
        <f t="shared" si="611"/>
        <v>YAMAHA_Mounter</v>
      </c>
      <c r="AS2021" s="22">
        <f t="shared" si="612"/>
        <v>4</v>
      </c>
      <c r="AT2021" s="24" t="str">
        <f t="shared" si="613"/>
        <v>4-6 months</v>
      </c>
    </row>
    <row r="2022" spans="1:46" s="12" customFormat="1">
      <c r="A2022" s="33" t="str">
        <f t="shared" si="601"/>
        <v>FY 18/19</v>
      </c>
      <c r="B2022" s="152">
        <v>2018</v>
      </c>
      <c r="C2022" s="152">
        <v>11</v>
      </c>
      <c r="D2022" s="33" t="str">
        <f t="shared" si="602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603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604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597"/>
        <v>12882566</v>
      </c>
      <c r="AA2022" s="13">
        <v>7.22E-2</v>
      </c>
      <c r="AB2022" s="21">
        <f t="shared" si="605"/>
        <v>930121.26520000002</v>
      </c>
      <c r="AC2022" s="130">
        <f t="shared" si="606"/>
        <v>149563.49944416</v>
      </c>
      <c r="AD2022" s="169">
        <v>0.1608</v>
      </c>
      <c r="AE2022" s="154">
        <f t="shared" si="607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8"/>
        <v>47416008.333399981</v>
      </c>
      <c r="AJ2022" s="19">
        <f t="shared" si="599"/>
        <v>6981738.4465290187</v>
      </c>
      <c r="AK2022" s="20">
        <f t="shared" si="608"/>
        <v>0.14724433143839863</v>
      </c>
      <c r="AL2022" s="17"/>
      <c r="AM2022" s="17"/>
      <c r="AN2022" s="17"/>
      <c r="AO2022" s="17"/>
      <c r="AP2022" s="28" t="str">
        <f t="shared" si="609"/>
        <v>20193</v>
      </c>
      <c r="AQ2022" s="28" t="str">
        <f t="shared" si="610"/>
        <v>20193JPY</v>
      </c>
      <c r="AR2022" s="206" t="str">
        <f t="shared" si="611"/>
        <v>YAMAHA_Mounter</v>
      </c>
      <c r="AS2022" s="22">
        <f t="shared" si="612"/>
        <v>4</v>
      </c>
      <c r="AT2022" s="24" t="str">
        <f t="shared" si="613"/>
        <v>4-6 months</v>
      </c>
    </row>
    <row r="2023" spans="1:46" s="12" customFormat="1">
      <c r="A2023" s="33" t="str">
        <f t="shared" si="601"/>
        <v>FY 20/21</v>
      </c>
      <c r="B2023" s="152">
        <v>2020</v>
      </c>
      <c r="C2023" s="152">
        <v>6</v>
      </c>
      <c r="D2023" s="33" t="str">
        <f t="shared" si="602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603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604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597"/>
        <v>12169500</v>
      </c>
      <c r="AA2023" s="13">
        <v>7.5700000000000003E-2</v>
      </c>
      <c r="AB2023" s="21">
        <f t="shared" si="605"/>
        <v>921231.15</v>
      </c>
      <c r="AC2023" s="130">
        <f t="shared" si="606"/>
        <v>188391.77017499998</v>
      </c>
      <c r="AD2023" s="169">
        <v>0.20449999999999999</v>
      </c>
      <c r="AE2023" s="154">
        <f t="shared" si="607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8"/>
        <v>37969334.083628319</v>
      </c>
      <c r="AJ2023" s="19">
        <f t="shared" si="599"/>
        <v>5097226.4551657084</v>
      </c>
      <c r="AK2023" s="20">
        <f t="shared" si="608"/>
        <v>0.13424587441904964</v>
      </c>
      <c r="AL2023" s="17"/>
      <c r="AM2023" s="17"/>
      <c r="AN2023" s="17"/>
      <c r="AO2023" s="17"/>
      <c r="AP2023" s="28" t="str">
        <f t="shared" si="609"/>
        <v>20208</v>
      </c>
      <c r="AQ2023" s="28" t="str">
        <f t="shared" si="610"/>
        <v>20208JPY</v>
      </c>
      <c r="AR2023" s="206" t="str">
        <f t="shared" si="611"/>
        <v>YAMAHA_Mounter</v>
      </c>
      <c r="AS2023" s="22">
        <f t="shared" si="612"/>
        <v>2</v>
      </c>
      <c r="AT2023" s="24" t="str">
        <f t="shared" si="613"/>
        <v>0-3 months</v>
      </c>
    </row>
    <row r="2024" spans="1:46" s="12" customFormat="1">
      <c r="A2024" s="33" t="str">
        <f t="shared" si="601"/>
        <v>FY 20/21</v>
      </c>
      <c r="B2024" s="152">
        <v>2020</v>
      </c>
      <c r="C2024" s="152">
        <v>6</v>
      </c>
      <c r="D2024" s="33" t="str">
        <f t="shared" si="602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603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604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597"/>
        <v>12169500</v>
      </c>
      <c r="AA2024" s="13">
        <v>7.3400000000000007E-2</v>
      </c>
      <c r="AB2024" s="21">
        <f t="shared" si="605"/>
        <v>893241.3</v>
      </c>
      <c r="AC2024" s="130">
        <f t="shared" si="606"/>
        <v>148367.37993</v>
      </c>
      <c r="AD2024" s="169">
        <v>0.1661</v>
      </c>
      <c r="AE2024" s="154">
        <f t="shared" si="607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8"/>
        <v>35384300.169380538</v>
      </c>
      <c r="AJ2024" s="19">
        <f t="shared" si="599"/>
        <v>5044538.8896988509</v>
      </c>
      <c r="AK2024" s="20">
        <f t="shared" si="608"/>
        <v>0.14256432557804533</v>
      </c>
      <c r="AL2024" s="17"/>
      <c r="AM2024" s="17"/>
      <c r="AN2024" s="17"/>
      <c r="AO2024" s="17"/>
      <c r="AP2024" s="28" t="str">
        <f t="shared" si="609"/>
        <v>20207</v>
      </c>
      <c r="AQ2024" s="28" t="str">
        <f t="shared" si="610"/>
        <v>20207JPY</v>
      </c>
      <c r="AR2024" s="206" t="str">
        <f t="shared" si="611"/>
        <v>YAMAHA_Mounter</v>
      </c>
      <c r="AS2024" s="22">
        <f t="shared" si="612"/>
        <v>1</v>
      </c>
      <c r="AT2024" s="24" t="str">
        <f t="shared" si="613"/>
        <v>0-3 months</v>
      </c>
    </row>
    <row r="2025" spans="1:46" s="12" customFormat="1">
      <c r="A2025" s="33" t="str">
        <f t="shared" si="601"/>
        <v>FY 20/21</v>
      </c>
      <c r="B2025" s="152">
        <v>2020</v>
      </c>
      <c r="C2025" s="152">
        <v>6</v>
      </c>
      <c r="D2025" s="33" t="str">
        <f t="shared" si="602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603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604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597"/>
        <v>8169500</v>
      </c>
      <c r="AA2025" s="13">
        <v>7.3400000000000007E-2</v>
      </c>
      <c r="AB2025" s="21">
        <f t="shared" si="605"/>
        <v>599641.30000000005</v>
      </c>
      <c r="AC2025" s="130">
        <f t="shared" si="606"/>
        <v>99600.419930000004</v>
      </c>
      <c r="AD2025" s="169">
        <v>0.1661</v>
      </c>
      <c r="AE2025" s="154">
        <f t="shared" si="607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8"/>
        <v>35384300.169380538</v>
      </c>
      <c r="AJ2025" s="19">
        <f t="shared" si="599"/>
        <v>5044538.8896988509</v>
      </c>
      <c r="AK2025" s="20">
        <f t="shared" si="608"/>
        <v>0.14256432557804533</v>
      </c>
      <c r="AL2025" s="17"/>
      <c r="AM2025" s="17"/>
      <c r="AN2025" s="17"/>
      <c r="AO2025" s="17"/>
      <c r="AP2025" s="28" t="str">
        <f t="shared" si="609"/>
        <v>20207</v>
      </c>
      <c r="AQ2025" s="28" t="str">
        <f t="shared" si="610"/>
        <v>20207JPY</v>
      </c>
      <c r="AR2025" s="206" t="str">
        <f t="shared" si="611"/>
        <v>YAMAHA_Mounter</v>
      </c>
      <c r="AS2025" s="22">
        <f t="shared" si="612"/>
        <v>1</v>
      </c>
      <c r="AT2025" s="24" t="str">
        <f t="shared" si="613"/>
        <v>0-3 months</v>
      </c>
    </row>
    <row r="2026" spans="1:46" s="12" customFormat="1">
      <c r="A2026" s="33" t="str">
        <f t="shared" si="601"/>
        <v>FY 20/21</v>
      </c>
      <c r="B2026" s="152">
        <v>2020</v>
      </c>
      <c r="C2026" s="152">
        <v>6</v>
      </c>
      <c r="D2026" s="33" t="str">
        <f t="shared" si="602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603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604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597"/>
        <v>8169500</v>
      </c>
      <c r="AA2026" s="13">
        <v>7.3400000000000007E-2</v>
      </c>
      <c r="AB2026" s="21">
        <f t="shared" si="605"/>
        <v>599641.30000000005</v>
      </c>
      <c r="AC2026" s="130">
        <f t="shared" si="606"/>
        <v>99600.419930000004</v>
      </c>
      <c r="AD2026" s="169">
        <v>0.1661</v>
      </c>
      <c r="AE2026" s="154">
        <f t="shared" si="607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8"/>
        <v>35384300.169380538</v>
      </c>
      <c r="AJ2026" s="19">
        <f t="shared" si="599"/>
        <v>5044538.8896988509</v>
      </c>
      <c r="AK2026" s="20">
        <f t="shared" si="608"/>
        <v>0.14256432557804533</v>
      </c>
      <c r="AL2026" s="17"/>
      <c r="AM2026" s="17"/>
      <c r="AN2026" s="17"/>
      <c r="AO2026" s="17"/>
      <c r="AP2026" s="28" t="str">
        <f t="shared" si="609"/>
        <v>20207</v>
      </c>
      <c r="AQ2026" s="28" t="str">
        <f t="shared" si="610"/>
        <v>20207JPY</v>
      </c>
      <c r="AR2026" s="206" t="str">
        <f t="shared" si="611"/>
        <v>YAMAHA_Mounter</v>
      </c>
      <c r="AS2026" s="22">
        <f t="shared" si="612"/>
        <v>1</v>
      </c>
      <c r="AT2026" s="24" t="str">
        <f t="shared" si="613"/>
        <v>0-3 months</v>
      </c>
    </row>
    <row r="2027" spans="1:46" s="12" customFormat="1">
      <c r="A2027" s="33" t="str">
        <f t="shared" si="601"/>
        <v>FY 20/21</v>
      </c>
      <c r="B2027" s="152">
        <v>2020</v>
      </c>
      <c r="C2027" s="152">
        <v>6</v>
      </c>
      <c r="D2027" s="33" t="str">
        <f t="shared" si="602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603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604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597"/>
        <v>13200000</v>
      </c>
      <c r="AA2027" s="13">
        <v>7.3400000000000007E-2</v>
      </c>
      <c r="AB2027" s="21">
        <f t="shared" si="605"/>
        <v>968880.00000000012</v>
      </c>
      <c r="AC2027" s="130">
        <f t="shared" si="606"/>
        <v>174107.73600000003</v>
      </c>
      <c r="AD2027" s="169">
        <v>0.1797</v>
      </c>
      <c r="AE2027" s="154">
        <f t="shared" si="607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8"/>
        <v>35384300.169380538</v>
      </c>
      <c r="AJ2027" s="19">
        <f t="shared" si="599"/>
        <v>5044538.8896988509</v>
      </c>
      <c r="AK2027" s="20">
        <f t="shared" si="608"/>
        <v>0.14256432557804533</v>
      </c>
      <c r="AL2027" s="17"/>
      <c r="AM2027" s="17"/>
      <c r="AN2027" s="17"/>
      <c r="AO2027" s="17"/>
      <c r="AP2027" s="28" t="str">
        <f t="shared" si="609"/>
        <v>20207</v>
      </c>
      <c r="AQ2027" s="28" t="str">
        <f t="shared" si="610"/>
        <v>20207JPY</v>
      </c>
      <c r="AR2027" s="206" t="str">
        <f t="shared" si="611"/>
        <v>YAMAHA_Mounter</v>
      </c>
      <c r="AS2027" s="22">
        <f t="shared" si="612"/>
        <v>1</v>
      </c>
      <c r="AT2027" s="24" t="str">
        <f t="shared" si="613"/>
        <v>0-3 months</v>
      </c>
    </row>
    <row r="2028" spans="1:46" s="12" customFormat="1">
      <c r="A2028" s="33" t="str">
        <f t="shared" si="601"/>
        <v>FY 20/21</v>
      </c>
      <c r="B2028" s="152">
        <v>2020</v>
      </c>
      <c r="C2028" s="152">
        <v>6</v>
      </c>
      <c r="D2028" s="33" t="str">
        <f t="shared" si="602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603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604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597"/>
        <v>9200000</v>
      </c>
      <c r="AA2028" s="13">
        <v>7.3400000000000007E-2</v>
      </c>
      <c r="AB2028" s="21">
        <f t="shared" si="605"/>
        <v>675280.00000000012</v>
      </c>
      <c r="AC2028" s="130">
        <f t="shared" si="606"/>
        <v>121347.81600000002</v>
      </c>
      <c r="AD2028" s="169">
        <v>0.1797</v>
      </c>
      <c r="AE2028" s="154">
        <f t="shared" si="607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8"/>
        <v>35384300.169380538</v>
      </c>
      <c r="AJ2028" s="19">
        <f t="shared" si="599"/>
        <v>5044538.8896988509</v>
      </c>
      <c r="AK2028" s="20">
        <f t="shared" si="608"/>
        <v>0.14256432557804533</v>
      </c>
      <c r="AL2028" s="17"/>
      <c r="AM2028" s="17"/>
      <c r="AN2028" s="17"/>
      <c r="AO2028" s="17"/>
      <c r="AP2028" s="28" t="str">
        <f t="shared" si="609"/>
        <v>20207</v>
      </c>
      <c r="AQ2028" s="28" t="str">
        <f t="shared" si="610"/>
        <v>20207JPY</v>
      </c>
      <c r="AR2028" s="206" t="str">
        <f t="shared" si="611"/>
        <v>YAMAHA_Mounter</v>
      </c>
      <c r="AS2028" s="22">
        <f t="shared" si="612"/>
        <v>1</v>
      </c>
      <c r="AT2028" s="24" t="str">
        <f t="shared" si="613"/>
        <v>0-3 months</v>
      </c>
    </row>
    <row r="2029" spans="1:46" s="12" customFormat="1">
      <c r="A2029" s="33" t="str">
        <f t="shared" si="601"/>
        <v>FY 20/21</v>
      </c>
      <c r="B2029" s="152">
        <v>2020</v>
      </c>
      <c r="C2029" s="152">
        <v>6</v>
      </c>
      <c r="D2029" s="33" t="str">
        <f t="shared" si="602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603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604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597"/>
        <v>9200000</v>
      </c>
      <c r="AA2029" s="13">
        <v>7.3400000000000007E-2</v>
      </c>
      <c r="AB2029" s="21">
        <f t="shared" si="605"/>
        <v>675280.00000000012</v>
      </c>
      <c r="AC2029" s="130">
        <f t="shared" si="606"/>
        <v>121347.81600000002</v>
      </c>
      <c r="AD2029" s="169">
        <v>0.1797</v>
      </c>
      <c r="AE2029" s="154">
        <f t="shared" si="607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8"/>
        <v>35384300.169380538</v>
      </c>
      <c r="AJ2029" s="19">
        <f t="shared" si="599"/>
        <v>5044538.8896988509</v>
      </c>
      <c r="AK2029" s="20">
        <f t="shared" si="608"/>
        <v>0.14256432557804533</v>
      </c>
      <c r="AL2029" s="17"/>
      <c r="AM2029" s="17"/>
      <c r="AN2029" s="17"/>
      <c r="AO2029" s="17"/>
      <c r="AP2029" s="28" t="str">
        <f t="shared" si="609"/>
        <v>20207</v>
      </c>
      <c r="AQ2029" s="28" t="str">
        <f t="shared" si="610"/>
        <v>20207JPY</v>
      </c>
      <c r="AR2029" s="206" t="str">
        <f t="shared" si="611"/>
        <v>YAMAHA_Mounter</v>
      </c>
      <c r="AS2029" s="22">
        <f t="shared" si="612"/>
        <v>1</v>
      </c>
      <c r="AT2029" s="24" t="str">
        <f t="shared" si="613"/>
        <v>0-3 months</v>
      </c>
    </row>
    <row r="2030" spans="1:46" s="12" customFormat="1">
      <c r="A2030" s="33" t="str">
        <f t="shared" si="601"/>
        <v>FY 20/21</v>
      </c>
      <c r="B2030" s="152">
        <v>2020</v>
      </c>
      <c r="C2030" s="152">
        <v>6</v>
      </c>
      <c r="D2030" s="33" t="str">
        <f t="shared" si="602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603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604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597"/>
        <v>9200000</v>
      </c>
      <c r="AA2030" s="13">
        <v>7.3400000000000007E-2</v>
      </c>
      <c r="AB2030" s="21">
        <f t="shared" si="605"/>
        <v>675280.00000000012</v>
      </c>
      <c r="AC2030" s="130">
        <f t="shared" si="606"/>
        <v>121347.81600000002</v>
      </c>
      <c r="AD2030" s="169">
        <v>0.1797</v>
      </c>
      <c r="AE2030" s="154">
        <f t="shared" si="607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8"/>
        <v>35384300.169380538</v>
      </c>
      <c r="AJ2030" s="19">
        <f t="shared" si="599"/>
        <v>5044538.8896988509</v>
      </c>
      <c r="AK2030" s="20">
        <f t="shared" si="608"/>
        <v>0.14256432557804533</v>
      </c>
      <c r="AL2030" s="17"/>
      <c r="AM2030" s="17"/>
      <c r="AN2030" s="17"/>
      <c r="AO2030" s="17"/>
      <c r="AP2030" s="28" t="str">
        <f t="shared" si="609"/>
        <v>20207</v>
      </c>
      <c r="AQ2030" s="28" t="str">
        <f t="shared" si="610"/>
        <v>20207JPY</v>
      </c>
      <c r="AR2030" s="206" t="str">
        <f t="shared" si="611"/>
        <v>YAMAHA_Mounter</v>
      </c>
      <c r="AS2030" s="22">
        <f t="shared" si="612"/>
        <v>1</v>
      </c>
      <c r="AT2030" s="24" t="str">
        <f t="shared" si="613"/>
        <v>0-3 months</v>
      </c>
    </row>
    <row r="2031" spans="1:46" s="12" customFormat="1">
      <c r="A2031" s="33" t="str">
        <f t="shared" si="601"/>
        <v>FY 20/21</v>
      </c>
      <c r="B2031" s="152">
        <v>2020</v>
      </c>
      <c r="C2031" s="152">
        <v>12</v>
      </c>
      <c r="D2031" s="33" t="str">
        <f t="shared" si="602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603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604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14">IF(W2031="RMB","1.13", "1")</f>
        <v>1</v>
      </c>
      <c r="Z2031" s="18">
        <f t="shared" si="597"/>
        <v>7700000</v>
      </c>
      <c r="AA2031" s="13">
        <v>7.6799999999999993E-2</v>
      </c>
      <c r="AB2031" s="21">
        <f t="shared" si="605"/>
        <v>591360</v>
      </c>
      <c r="AC2031" s="130">
        <f t="shared" si="606"/>
        <v>121938.432</v>
      </c>
      <c r="AD2031" s="169">
        <v>0.20619999999999999</v>
      </c>
      <c r="AE2031" s="154">
        <f t="shared" si="607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8"/>
        <v>45803245.025628321</v>
      </c>
      <c r="AJ2031" s="19">
        <f t="shared" si="599"/>
        <v>5664636.2584379362</v>
      </c>
      <c r="AK2031" s="20">
        <f t="shared" si="608"/>
        <v>0.12367325186825515</v>
      </c>
      <c r="AL2031" s="17"/>
      <c r="AM2031" s="17"/>
      <c r="AN2031" s="17"/>
      <c r="AO2031" s="17"/>
      <c r="AP2031" s="28" t="str">
        <f t="shared" si="609"/>
        <v>20211</v>
      </c>
      <c r="AQ2031" s="28" t="str">
        <f t="shared" si="610"/>
        <v>20211JPY</v>
      </c>
      <c r="AR2031" s="206" t="str">
        <f t="shared" si="611"/>
        <v>YAMAHA_Mounter</v>
      </c>
      <c r="AS2031" s="22">
        <f t="shared" si="612"/>
        <v>1</v>
      </c>
      <c r="AT2031" s="24" t="str">
        <f t="shared" si="613"/>
        <v>0-3 months</v>
      </c>
    </row>
    <row r="2032" spans="1:46" s="12" customFormat="1">
      <c r="A2032" s="33" t="str">
        <f t="shared" si="601"/>
        <v>FY 20/21</v>
      </c>
      <c r="B2032" s="152">
        <v>2020</v>
      </c>
      <c r="C2032" s="152">
        <v>12</v>
      </c>
      <c r="D2032" s="33" t="str">
        <f t="shared" si="602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603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604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14"/>
        <v>1</v>
      </c>
      <c r="Z2032" s="18">
        <f t="shared" si="597"/>
        <v>7700000</v>
      </c>
      <c r="AA2032" s="13">
        <v>7.6799999999999993E-2</v>
      </c>
      <c r="AB2032" s="21">
        <f t="shared" si="605"/>
        <v>591360</v>
      </c>
      <c r="AC2032" s="130">
        <f t="shared" si="606"/>
        <v>121938.432</v>
      </c>
      <c r="AD2032" s="169">
        <v>0.20619999999999999</v>
      </c>
      <c r="AE2032" s="154">
        <f t="shared" si="607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8"/>
        <v>45803245.025628321</v>
      </c>
      <c r="AJ2032" s="19">
        <f t="shared" si="599"/>
        <v>5664636.2584379362</v>
      </c>
      <c r="AK2032" s="20">
        <f t="shared" si="608"/>
        <v>0.12367325186825515</v>
      </c>
      <c r="AL2032" s="17"/>
      <c r="AM2032" s="17"/>
      <c r="AN2032" s="17"/>
      <c r="AO2032" s="17"/>
      <c r="AP2032" s="28" t="str">
        <f t="shared" si="609"/>
        <v>20211</v>
      </c>
      <c r="AQ2032" s="28" t="str">
        <f t="shared" si="610"/>
        <v>20211JPY</v>
      </c>
      <c r="AR2032" s="206" t="str">
        <f t="shared" si="611"/>
        <v>YAMAHA_Mounter</v>
      </c>
      <c r="AS2032" s="22">
        <f t="shared" si="612"/>
        <v>1</v>
      </c>
      <c r="AT2032" s="24" t="str">
        <f t="shared" si="613"/>
        <v>0-3 months</v>
      </c>
    </row>
    <row r="2033" spans="1:46" s="12" customFormat="1">
      <c r="A2033" s="33" t="str">
        <f t="shared" si="601"/>
        <v>FY 20/21</v>
      </c>
      <c r="B2033" s="152">
        <v>2020</v>
      </c>
      <c r="C2033" s="152">
        <v>12</v>
      </c>
      <c r="D2033" s="33" t="str">
        <f t="shared" si="602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603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604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14"/>
        <v>1</v>
      </c>
      <c r="Z2033" s="18">
        <f t="shared" si="597"/>
        <v>11900000</v>
      </c>
      <c r="AA2033" s="13">
        <v>7.4499999999999997E-2</v>
      </c>
      <c r="AB2033" s="21">
        <f t="shared" si="605"/>
        <v>886550</v>
      </c>
      <c r="AC2033" s="130">
        <f t="shared" si="606"/>
        <v>148408.47</v>
      </c>
      <c r="AD2033" s="169">
        <v>0.16739999999999999</v>
      </c>
      <c r="AE2033" s="154">
        <f t="shared" si="607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8"/>
        <v>57778307.282035396</v>
      </c>
      <c r="AJ2033" s="19">
        <f t="shared" si="599"/>
        <v>7259860.7225420559</v>
      </c>
      <c r="AK2033" s="20">
        <f t="shared" si="608"/>
        <v>0.12565028406083667</v>
      </c>
      <c r="AL2033" s="17"/>
      <c r="AM2033" s="17"/>
      <c r="AN2033" s="17"/>
      <c r="AO2033" s="17"/>
      <c r="AP2033" s="28" t="str">
        <f t="shared" si="609"/>
        <v>20213</v>
      </c>
      <c r="AQ2033" s="28" t="str">
        <f t="shared" si="610"/>
        <v>20213JPY</v>
      </c>
      <c r="AR2033" s="206" t="str">
        <f t="shared" si="611"/>
        <v>YAMAHA_Mounter</v>
      </c>
      <c r="AS2033" s="22">
        <f t="shared" si="612"/>
        <v>3</v>
      </c>
      <c r="AT2033" s="24" t="str">
        <f t="shared" si="613"/>
        <v>0-3 months</v>
      </c>
    </row>
    <row r="2034" spans="1:46" s="12" customFormat="1">
      <c r="A2034" s="33" t="str">
        <f t="shared" si="601"/>
        <v>FY 20/21</v>
      </c>
      <c r="B2034" s="152">
        <v>2020</v>
      </c>
      <c r="C2034" s="152">
        <v>12</v>
      </c>
      <c r="D2034" s="33" t="str">
        <f t="shared" si="602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603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604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14"/>
        <v>1</v>
      </c>
      <c r="Z2034" s="18">
        <f t="shared" si="597"/>
        <v>11900000</v>
      </c>
      <c r="AA2034" s="13">
        <v>7.4499999999999997E-2</v>
      </c>
      <c r="AB2034" s="21">
        <f t="shared" si="605"/>
        <v>886550</v>
      </c>
      <c r="AC2034" s="130">
        <f t="shared" si="606"/>
        <v>148408.47</v>
      </c>
      <c r="AD2034" s="169">
        <v>0.16739999999999999</v>
      </c>
      <c r="AE2034" s="154">
        <f t="shared" si="607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8"/>
        <v>57778307.282035396</v>
      </c>
      <c r="AJ2034" s="19">
        <f t="shared" si="599"/>
        <v>7259860.7225420559</v>
      </c>
      <c r="AK2034" s="20">
        <f t="shared" si="608"/>
        <v>0.12565028406083667</v>
      </c>
      <c r="AL2034" s="17"/>
      <c r="AM2034" s="17"/>
      <c r="AN2034" s="17"/>
      <c r="AO2034" s="17"/>
      <c r="AP2034" s="28" t="str">
        <f t="shared" si="609"/>
        <v>20213</v>
      </c>
      <c r="AQ2034" s="28" t="str">
        <f t="shared" si="610"/>
        <v>20213JPY</v>
      </c>
      <c r="AR2034" s="206" t="str">
        <f t="shared" si="611"/>
        <v>YAMAHA_Mounter</v>
      </c>
      <c r="AS2034" s="22">
        <f t="shared" si="612"/>
        <v>3</v>
      </c>
      <c r="AT2034" s="24" t="str">
        <f t="shared" si="613"/>
        <v>0-3 months</v>
      </c>
    </row>
    <row r="2035" spans="1:46" s="12" customFormat="1">
      <c r="A2035" s="33" t="str">
        <f t="shared" si="601"/>
        <v>FY 20/21</v>
      </c>
      <c r="B2035" s="152">
        <v>2020</v>
      </c>
      <c r="C2035" s="152">
        <v>12</v>
      </c>
      <c r="D2035" s="33" t="str">
        <f t="shared" si="602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603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604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14"/>
        <v>1</v>
      </c>
      <c r="Z2035" s="18">
        <f t="shared" si="597"/>
        <v>11900000</v>
      </c>
      <c r="AA2035" s="13">
        <v>7.4499999999999997E-2</v>
      </c>
      <c r="AB2035" s="21">
        <f t="shared" si="605"/>
        <v>886550</v>
      </c>
      <c r="AC2035" s="130">
        <f t="shared" si="606"/>
        <v>148408.47</v>
      </c>
      <c r="AD2035" s="169">
        <v>0.16739999999999999</v>
      </c>
      <c r="AE2035" s="154">
        <f t="shared" si="607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8"/>
        <v>57778307.282035396</v>
      </c>
      <c r="AJ2035" s="19">
        <f t="shared" si="599"/>
        <v>7259860.7225420559</v>
      </c>
      <c r="AK2035" s="20">
        <f t="shared" si="608"/>
        <v>0.12565028406083667</v>
      </c>
      <c r="AL2035" s="17"/>
      <c r="AM2035" s="17"/>
      <c r="AN2035" s="17"/>
      <c r="AO2035" s="17"/>
      <c r="AP2035" s="28" t="str">
        <f t="shared" si="609"/>
        <v>20213</v>
      </c>
      <c r="AQ2035" s="28" t="str">
        <f t="shared" si="610"/>
        <v>20213JPY</v>
      </c>
      <c r="AR2035" s="206" t="str">
        <f t="shared" si="611"/>
        <v>YAMAHA_Mounter</v>
      </c>
      <c r="AS2035" s="22">
        <f t="shared" si="612"/>
        <v>3</v>
      </c>
      <c r="AT2035" s="24" t="str">
        <f t="shared" si="613"/>
        <v>0-3 months</v>
      </c>
    </row>
    <row r="2036" spans="1:46" s="12" customFormat="1">
      <c r="A2036" s="33" t="str">
        <f t="shared" si="601"/>
        <v>FY 20/21</v>
      </c>
      <c r="B2036" s="152">
        <v>2020</v>
      </c>
      <c r="C2036" s="152">
        <v>12</v>
      </c>
      <c r="D2036" s="33" t="str">
        <f t="shared" si="602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603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604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14"/>
        <v>1</v>
      </c>
      <c r="Z2036" s="18">
        <f t="shared" si="597"/>
        <v>7500000</v>
      </c>
      <c r="AA2036" s="13">
        <v>7.4499999999999997E-2</v>
      </c>
      <c r="AB2036" s="21">
        <f t="shared" si="605"/>
        <v>558750</v>
      </c>
      <c r="AC2036" s="130">
        <f t="shared" si="606"/>
        <v>93534.75</v>
      </c>
      <c r="AD2036" s="169">
        <v>0.16739999999999999</v>
      </c>
      <c r="AE2036" s="154">
        <f t="shared" si="607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8"/>
        <v>57778307.282035396</v>
      </c>
      <c r="AJ2036" s="19">
        <f t="shared" si="599"/>
        <v>7259860.7225420559</v>
      </c>
      <c r="AK2036" s="20">
        <f t="shared" si="608"/>
        <v>0.12565028406083667</v>
      </c>
      <c r="AL2036" s="17"/>
      <c r="AM2036" s="17"/>
      <c r="AN2036" s="17"/>
      <c r="AO2036" s="17"/>
      <c r="AP2036" s="28" t="str">
        <f t="shared" si="609"/>
        <v>20213</v>
      </c>
      <c r="AQ2036" s="28" t="str">
        <f t="shared" si="610"/>
        <v>20213JPY</v>
      </c>
      <c r="AR2036" s="206" t="str">
        <f t="shared" si="611"/>
        <v>YAMAHA_Mounter</v>
      </c>
      <c r="AS2036" s="22">
        <f t="shared" si="612"/>
        <v>3</v>
      </c>
      <c r="AT2036" s="24" t="str">
        <f t="shared" si="613"/>
        <v>0-3 months</v>
      </c>
    </row>
    <row r="2037" spans="1:46" s="12" customFormat="1">
      <c r="A2037" s="33" t="str">
        <f t="shared" si="601"/>
        <v>FY 20/21</v>
      </c>
      <c r="B2037" s="152">
        <v>2020</v>
      </c>
      <c r="C2037" s="152">
        <v>12</v>
      </c>
      <c r="D2037" s="33" t="str">
        <f t="shared" si="602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603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604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14"/>
        <v>1</v>
      </c>
      <c r="Z2037" s="18">
        <f t="shared" si="597"/>
        <v>7500000</v>
      </c>
      <c r="AA2037" s="13">
        <v>7.4499999999999997E-2</v>
      </c>
      <c r="AB2037" s="21">
        <f t="shared" si="605"/>
        <v>558750</v>
      </c>
      <c r="AC2037" s="130">
        <f t="shared" si="606"/>
        <v>93534.75</v>
      </c>
      <c r="AD2037" s="169">
        <v>0.16739999999999999</v>
      </c>
      <c r="AE2037" s="154">
        <f t="shared" si="607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8"/>
        <v>57778307.282035396</v>
      </c>
      <c r="AJ2037" s="19">
        <f t="shared" si="599"/>
        <v>7259860.7225420559</v>
      </c>
      <c r="AK2037" s="20">
        <f t="shared" si="608"/>
        <v>0.12565028406083667</v>
      </c>
      <c r="AL2037" s="17"/>
      <c r="AM2037" s="17"/>
      <c r="AN2037" s="17"/>
      <c r="AO2037" s="17"/>
      <c r="AP2037" s="28" t="str">
        <f t="shared" si="609"/>
        <v>20213</v>
      </c>
      <c r="AQ2037" s="28" t="str">
        <f t="shared" si="610"/>
        <v>20213JPY</v>
      </c>
      <c r="AR2037" s="206" t="str">
        <f t="shared" si="611"/>
        <v>YAMAHA_Mounter</v>
      </c>
      <c r="AS2037" s="22">
        <f t="shared" si="612"/>
        <v>3</v>
      </c>
      <c r="AT2037" s="24" t="str">
        <f t="shared" si="613"/>
        <v>0-3 months</v>
      </c>
    </row>
    <row r="2038" spans="1:46" s="12" customFormat="1">
      <c r="A2038" s="33" t="str">
        <f t="shared" si="601"/>
        <v>FY 20/21</v>
      </c>
      <c r="B2038" s="152">
        <v>2020</v>
      </c>
      <c r="C2038" s="152">
        <v>12</v>
      </c>
      <c r="D2038" s="33" t="str">
        <f t="shared" si="602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603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604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14"/>
        <v>1</v>
      </c>
      <c r="Z2038" s="18">
        <f t="shared" si="597"/>
        <v>7500000</v>
      </c>
      <c r="AA2038" s="13">
        <v>7.4499999999999997E-2</v>
      </c>
      <c r="AB2038" s="21">
        <f t="shared" si="605"/>
        <v>558750</v>
      </c>
      <c r="AC2038" s="130">
        <f t="shared" si="606"/>
        <v>93534.75</v>
      </c>
      <c r="AD2038" s="169">
        <v>0.16739999999999999</v>
      </c>
      <c r="AE2038" s="154">
        <f t="shared" si="607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8"/>
        <v>57778307.282035396</v>
      </c>
      <c r="AJ2038" s="19">
        <f t="shared" si="599"/>
        <v>7259860.7225420559</v>
      </c>
      <c r="AK2038" s="20">
        <f t="shared" si="608"/>
        <v>0.12565028406083667</v>
      </c>
      <c r="AL2038" s="17"/>
      <c r="AM2038" s="17"/>
      <c r="AN2038" s="17"/>
      <c r="AO2038" s="17"/>
      <c r="AP2038" s="28" t="str">
        <f t="shared" si="609"/>
        <v>20213</v>
      </c>
      <c r="AQ2038" s="28" t="str">
        <f t="shared" si="610"/>
        <v>20213JPY</v>
      </c>
      <c r="AR2038" s="206" t="str">
        <f t="shared" si="611"/>
        <v>YAMAHA_Mounter</v>
      </c>
      <c r="AS2038" s="22">
        <f t="shared" si="612"/>
        <v>3</v>
      </c>
      <c r="AT2038" s="24" t="str">
        <f t="shared" si="613"/>
        <v>0-3 months</v>
      </c>
    </row>
    <row r="2039" spans="1:46" s="12" customFormat="1">
      <c r="A2039" s="33" t="str">
        <f t="shared" si="601"/>
        <v>FY 20/21</v>
      </c>
      <c r="B2039" s="152">
        <v>2020</v>
      </c>
      <c r="C2039" s="152">
        <v>12</v>
      </c>
      <c r="D2039" s="33" t="str">
        <f t="shared" si="602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603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604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14"/>
        <v>1</v>
      </c>
      <c r="Z2039" s="18">
        <f t="shared" si="597"/>
        <v>7500000</v>
      </c>
      <c r="AA2039" s="13">
        <v>7.17E-2</v>
      </c>
      <c r="AB2039" s="21">
        <f t="shared" si="605"/>
        <v>537750</v>
      </c>
      <c r="AC2039" s="130">
        <f t="shared" si="606"/>
        <v>90019.349999999991</v>
      </c>
      <c r="AD2039" s="169">
        <v>0.16739999999999999</v>
      </c>
      <c r="AE2039" s="154">
        <f t="shared" si="607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8"/>
        <v>43684091.636631854</v>
      </c>
      <c r="AJ2039" s="19">
        <f t="shared" si="599"/>
        <v>6483951.8242071122</v>
      </c>
      <c r="AK2039" s="20">
        <f t="shared" si="608"/>
        <v>0.14842821680123736</v>
      </c>
      <c r="AL2039" s="17"/>
      <c r="AM2039" s="17"/>
      <c r="AN2039" s="17"/>
      <c r="AO2039" s="17"/>
      <c r="AP2039" s="28" t="str">
        <f t="shared" si="609"/>
        <v>20214</v>
      </c>
      <c r="AQ2039" s="28" t="str">
        <f t="shared" si="610"/>
        <v>20214JPY</v>
      </c>
      <c r="AR2039" s="206" t="str">
        <f t="shared" si="611"/>
        <v>YAMAHA_Mounter</v>
      </c>
      <c r="AS2039" s="22">
        <f t="shared" si="612"/>
        <v>4</v>
      </c>
      <c r="AT2039" s="24" t="str">
        <f t="shared" si="613"/>
        <v>4-6 months</v>
      </c>
    </row>
    <row r="2040" spans="1:46" s="12" customFormat="1">
      <c r="A2040" s="33" t="str">
        <f t="shared" si="601"/>
        <v>FY 20/21</v>
      </c>
      <c r="B2040" s="152">
        <v>2020</v>
      </c>
      <c r="C2040" s="152">
        <v>12</v>
      </c>
      <c r="D2040" s="33" t="str">
        <f t="shared" si="602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603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604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14"/>
        <v>1</v>
      </c>
      <c r="Z2040" s="18">
        <f t="shared" si="597"/>
        <v>7500000</v>
      </c>
      <c r="AA2040" s="13">
        <v>7.17E-2</v>
      </c>
      <c r="AB2040" s="21">
        <f t="shared" si="605"/>
        <v>537750</v>
      </c>
      <c r="AC2040" s="130">
        <f t="shared" si="606"/>
        <v>90019.349999999991</v>
      </c>
      <c r="AD2040" s="169">
        <v>0.16739999999999999</v>
      </c>
      <c r="AE2040" s="154">
        <f t="shared" si="607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8"/>
        <v>43684091.636631854</v>
      </c>
      <c r="AJ2040" s="19">
        <f t="shared" si="599"/>
        <v>6483951.8242071122</v>
      </c>
      <c r="AK2040" s="20">
        <f t="shared" si="608"/>
        <v>0.14842821680123736</v>
      </c>
      <c r="AL2040" s="17"/>
      <c r="AM2040" s="17"/>
      <c r="AN2040" s="17"/>
      <c r="AO2040" s="17"/>
      <c r="AP2040" s="28" t="str">
        <f t="shared" si="609"/>
        <v>20214</v>
      </c>
      <c r="AQ2040" s="28" t="str">
        <f t="shared" si="610"/>
        <v>20214JPY</v>
      </c>
      <c r="AR2040" s="206" t="str">
        <f t="shared" si="611"/>
        <v>YAMAHA_Mounter</v>
      </c>
      <c r="AS2040" s="22">
        <f t="shared" si="612"/>
        <v>4</v>
      </c>
      <c r="AT2040" s="24" t="str">
        <f t="shared" si="613"/>
        <v>4-6 months</v>
      </c>
    </row>
    <row r="2041" spans="1:46" s="12" customFormat="1">
      <c r="A2041" s="33" t="str">
        <f t="shared" si="601"/>
        <v>FY 20/21</v>
      </c>
      <c r="B2041" s="152">
        <v>2020</v>
      </c>
      <c r="C2041" s="152">
        <v>12</v>
      </c>
      <c r="D2041" s="33" t="str">
        <f t="shared" si="602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603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604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14"/>
        <v>1</v>
      </c>
      <c r="Z2041" s="18">
        <f t="shared" si="597"/>
        <v>7500000</v>
      </c>
      <c r="AA2041" s="13">
        <v>7.17E-2</v>
      </c>
      <c r="AB2041" s="21">
        <f t="shared" si="605"/>
        <v>537750</v>
      </c>
      <c r="AC2041" s="130">
        <f t="shared" si="606"/>
        <v>90019.349999999991</v>
      </c>
      <c r="AD2041" s="169">
        <v>0.16739999999999999</v>
      </c>
      <c r="AE2041" s="154">
        <f t="shared" si="607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8"/>
        <v>43684091.636631854</v>
      </c>
      <c r="AJ2041" s="19">
        <f t="shared" si="599"/>
        <v>6483951.8242071122</v>
      </c>
      <c r="AK2041" s="20">
        <f t="shared" si="608"/>
        <v>0.14842821680123736</v>
      </c>
      <c r="AL2041" s="17"/>
      <c r="AM2041" s="17"/>
      <c r="AN2041" s="17"/>
      <c r="AO2041" s="17"/>
      <c r="AP2041" s="28" t="str">
        <f t="shared" si="609"/>
        <v>20214</v>
      </c>
      <c r="AQ2041" s="28" t="str">
        <f t="shared" si="610"/>
        <v>20214JPY</v>
      </c>
      <c r="AR2041" s="206" t="str">
        <f t="shared" si="611"/>
        <v>YAMAHA_Mounter</v>
      </c>
      <c r="AS2041" s="22">
        <f t="shared" si="612"/>
        <v>4</v>
      </c>
      <c r="AT2041" s="24" t="str">
        <f t="shared" si="613"/>
        <v>4-6 months</v>
      </c>
    </row>
    <row r="2042" spans="1:46" s="12" customFormat="1">
      <c r="A2042" s="33" t="str">
        <f t="shared" si="601"/>
        <v>FY 20/21</v>
      </c>
      <c r="B2042" s="152">
        <v>2020</v>
      </c>
      <c r="C2042" s="152">
        <v>12</v>
      </c>
      <c r="D2042" s="33" t="str">
        <f t="shared" si="602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603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604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14"/>
        <v>1</v>
      </c>
      <c r="Z2042" s="18">
        <f t="shared" si="597"/>
        <v>7500000</v>
      </c>
      <c r="AA2042" s="13">
        <v>7.17E-2</v>
      </c>
      <c r="AB2042" s="21">
        <f t="shared" si="605"/>
        <v>537750</v>
      </c>
      <c r="AC2042" s="130">
        <f t="shared" si="606"/>
        <v>90019.349999999991</v>
      </c>
      <c r="AD2042" s="169">
        <v>0.16739999999999999</v>
      </c>
      <c r="AE2042" s="154">
        <f t="shared" si="607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8"/>
        <v>43684091.636631854</v>
      </c>
      <c r="AJ2042" s="19">
        <f t="shared" si="599"/>
        <v>6483951.8242071122</v>
      </c>
      <c r="AK2042" s="20">
        <f t="shared" si="608"/>
        <v>0.14842821680123736</v>
      </c>
      <c r="AL2042" s="17"/>
      <c r="AM2042" s="17"/>
      <c r="AN2042" s="17"/>
      <c r="AO2042" s="17"/>
      <c r="AP2042" s="28" t="str">
        <f t="shared" si="609"/>
        <v>20214</v>
      </c>
      <c r="AQ2042" s="28" t="str">
        <f t="shared" si="610"/>
        <v>20214JPY</v>
      </c>
      <c r="AR2042" s="206" t="str">
        <f t="shared" si="611"/>
        <v>YAMAHA_Mounter</v>
      </c>
      <c r="AS2042" s="22">
        <f t="shared" si="612"/>
        <v>4</v>
      </c>
      <c r="AT2042" s="24" t="str">
        <f t="shared" si="613"/>
        <v>4-6 months</v>
      </c>
    </row>
    <row r="2043" spans="1:46" s="12" customFormat="1">
      <c r="A2043" s="33" t="str">
        <f t="shared" si="601"/>
        <v>FY 21/22</v>
      </c>
      <c r="B2043" s="152">
        <v>2022</v>
      </c>
      <c r="C2043" s="152">
        <v>2</v>
      </c>
      <c r="D2043" s="33" t="str">
        <f t="shared" si="602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603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604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14"/>
        <v>1</v>
      </c>
      <c r="Z2043" s="18">
        <f t="shared" si="597"/>
        <v>18000000</v>
      </c>
      <c r="AA2043" s="13">
        <v>6.2799999999999995E-2</v>
      </c>
      <c r="AB2043" s="21">
        <f t="shared" si="605"/>
        <v>1130400</v>
      </c>
      <c r="AC2043" s="130">
        <f t="shared" si="606"/>
        <v>193298.40000000002</v>
      </c>
      <c r="AD2043" s="169">
        <v>0.17100000000000001</v>
      </c>
      <c r="AE2043" s="154">
        <f t="shared" si="607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8"/>
        <v>44014086.982070789</v>
      </c>
      <c r="AJ2043" s="19">
        <f t="shared" si="599"/>
        <v>6419974.0221889298</v>
      </c>
      <c r="AK2043" s="20">
        <f t="shared" si="608"/>
        <v>0.14586180158193709</v>
      </c>
      <c r="AL2043" s="17"/>
      <c r="AM2043" s="17"/>
      <c r="AN2043" s="17"/>
      <c r="AO2043" s="17"/>
      <c r="AP2043" s="28" t="str">
        <f t="shared" si="609"/>
        <v>20225</v>
      </c>
      <c r="AQ2043" s="28" t="str">
        <f t="shared" si="610"/>
        <v>20225JPY</v>
      </c>
      <c r="AR2043" s="206" t="str">
        <f t="shared" si="611"/>
        <v>YAMAHA_Mounter</v>
      </c>
      <c r="AS2043" s="22">
        <f t="shared" si="612"/>
        <v>3</v>
      </c>
      <c r="AT2043" s="24" t="str">
        <f t="shared" si="613"/>
        <v>0-3 months</v>
      </c>
    </row>
    <row r="2044" spans="1:46" s="12" customFormat="1">
      <c r="A2044" s="33" t="str">
        <f t="shared" si="601"/>
        <v>FY 21/22</v>
      </c>
      <c r="B2044" s="152">
        <v>2022</v>
      </c>
      <c r="C2044" s="152">
        <v>2</v>
      </c>
      <c r="D2044" s="33" t="str">
        <f t="shared" si="602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603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604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14"/>
        <v>1</v>
      </c>
      <c r="Z2044" s="18">
        <f t="shared" ref="Z2044:Z2107" si="615">IF(X2044="","",X2044*MAX(O2044,N2044))</f>
        <v>18000000</v>
      </c>
      <c r="AA2044" s="13">
        <v>6.2799999999999995E-2</v>
      </c>
      <c r="AB2044" s="21">
        <f t="shared" si="605"/>
        <v>1130400</v>
      </c>
      <c r="AC2044" s="130">
        <f t="shared" si="606"/>
        <v>193298.40000000002</v>
      </c>
      <c r="AD2044" s="169">
        <v>0.17100000000000001</v>
      </c>
      <c r="AE2044" s="154">
        <f t="shared" si="607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8"/>
        <v>44014086.982070789</v>
      </c>
      <c r="AJ2044" s="19">
        <f t="shared" si="599"/>
        <v>6419974.0221889298</v>
      </c>
      <c r="AK2044" s="20">
        <f t="shared" si="608"/>
        <v>0.14586180158193709</v>
      </c>
      <c r="AL2044" s="17"/>
      <c r="AM2044" s="17"/>
      <c r="AN2044" s="17"/>
      <c r="AO2044" s="17"/>
      <c r="AP2044" s="28" t="str">
        <f t="shared" si="609"/>
        <v>20225</v>
      </c>
      <c r="AQ2044" s="28" t="str">
        <f t="shared" si="610"/>
        <v>20225JPY</v>
      </c>
      <c r="AR2044" s="206" t="str">
        <f t="shared" si="611"/>
        <v>YAMAHA_Mounter</v>
      </c>
      <c r="AS2044" s="22">
        <f t="shared" si="612"/>
        <v>3</v>
      </c>
      <c r="AT2044" s="24" t="str">
        <f t="shared" si="613"/>
        <v>0-3 months</v>
      </c>
    </row>
    <row r="2045" spans="1:46" s="12" customFormat="1">
      <c r="A2045" s="33" t="str">
        <f t="shared" si="601"/>
        <v>FY 21/22</v>
      </c>
      <c r="B2045" s="152">
        <v>2022</v>
      </c>
      <c r="C2045" s="152">
        <v>2</v>
      </c>
      <c r="D2045" s="33" t="str">
        <f t="shared" si="602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603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604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14"/>
        <v>1</v>
      </c>
      <c r="Z2045" s="18">
        <f t="shared" si="615"/>
        <v>18000000</v>
      </c>
      <c r="AA2045" s="13">
        <v>6.2799999999999995E-2</v>
      </c>
      <c r="AB2045" s="21">
        <f t="shared" si="605"/>
        <v>1130400</v>
      </c>
      <c r="AC2045" s="130">
        <f t="shared" si="606"/>
        <v>193298.40000000002</v>
      </c>
      <c r="AD2045" s="169">
        <v>0.17100000000000001</v>
      </c>
      <c r="AE2045" s="154">
        <f t="shared" si="607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8"/>
        <v>44014086.982070789</v>
      </c>
      <c r="AJ2045" s="19">
        <f t="shared" si="599"/>
        <v>6419974.0221889298</v>
      </c>
      <c r="AK2045" s="20">
        <f t="shared" si="608"/>
        <v>0.14586180158193709</v>
      </c>
      <c r="AL2045" s="17"/>
      <c r="AM2045" s="17"/>
      <c r="AN2045" s="17"/>
      <c r="AO2045" s="17"/>
      <c r="AP2045" s="28" t="str">
        <f t="shared" si="609"/>
        <v>20225</v>
      </c>
      <c r="AQ2045" s="28" t="str">
        <f t="shared" si="610"/>
        <v>20225JPY</v>
      </c>
      <c r="AR2045" s="206" t="str">
        <f t="shared" si="611"/>
        <v>YAMAHA_Mounter</v>
      </c>
      <c r="AS2045" s="22">
        <f t="shared" si="612"/>
        <v>3</v>
      </c>
      <c r="AT2045" s="24" t="str">
        <f t="shared" si="613"/>
        <v>0-3 months</v>
      </c>
    </row>
    <row r="2046" spans="1:46" s="12" customFormat="1">
      <c r="A2046" s="33" t="str">
        <f t="shared" si="601"/>
        <v>FY 21/22</v>
      </c>
      <c r="B2046" s="152">
        <v>2022</v>
      </c>
      <c r="C2046" s="152">
        <v>2</v>
      </c>
      <c r="D2046" s="33" t="str">
        <f t="shared" si="602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603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604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14"/>
        <v>1</v>
      </c>
      <c r="Z2046" s="18">
        <f t="shared" si="615"/>
        <v>16000000</v>
      </c>
      <c r="AA2046" s="13">
        <v>6.2799999999999995E-2</v>
      </c>
      <c r="AB2046" s="21">
        <f t="shared" si="605"/>
        <v>1004799.9999999999</v>
      </c>
      <c r="AC2046" s="130">
        <f t="shared" si="606"/>
        <v>171820.79999999999</v>
      </c>
      <c r="AD2046" s="169">
        <v>0.17100000000000001</v>
      </c>
      <c r="AE2046" s="154">
        <f t="shared" si="607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8"/>
        <v>44014086.982070789</v>
      </c>
      <c r="AJ2046" s="19">
        <f t="shared" si="599"/>
        <v>6419974.0221889298</v>
      </c>
      <c r="AK2046" s="20">
        <f t="shared" si="608"/>
        <v>0.14586180158193709</v>
      </c>
      <c r="AL2046" s="17"/>
      <c r="AM2046" s="17"/>
      <c r="AN2046" s="17"/>
      <c r="AO2046" s="17"/>
      <c r="AP2046" s="28" t="str">
        <f t="shared" si="609"/>
        <v>20225</v>
      </c>
      <c r="AQ2046" s="28" t="str">
        <f t="shared" si="610"/>
        <v>20225JPY</v>
      </c>
      <c r="AR2046" s="206" t="str">
        <f t="shared" si="611"/>
        <v>YAMAHA_Mounter</v>
      </c>
      <c r="AS2046" s="22">
        <f t="shared" si="612"/>
        <v>3</v>
      </c>
      <c r="AT2046" s="24" t="str">
        <f t="shared" si="613"/>
        <v>0-3 months</v>
      </c>
    </row>
    <row r="2047" spans="1:46" s="12" customFormat="1">
      <c r="A2047" s="33" t="str">
        <f t="shared" si="601"/>
        <v>FY 21/22</v>
      </c>
      <c r="B2047" s="152">
        <v>2022</v>
      </c>
      <c r="C2047" s="152">
        <v>2</v>
      </c>
      <c r="D2047" s="33" t="str">
        <f t="shared" si="602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603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604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14"/>
        <v>1</v>
      </c>
      <c r="Z2047" s="18">
        <f t="shared" si="615"/>
        <v>16000000</v>
      </c>
      <c r="AA2047" s="13">
        <v>6.2799999999999995E-2</v>
      </c>
      <c r="AB2047" s="21">
        <f t="shared" si="605"/>
        <v>1004799.9999999999</v>
      </c>
      <c r="AC2047" s="130">
        <f t="shared" si="606"/>
        <v>171820.79999999999</v>
      </c>
      <c r="AD2047" s="169">
        <v>0.17100000000000001</v>
      </c>
      <c r="AE2047" s="154">
        <f t="shared" si="607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8"/>
        <v>44014086.982070789</v>
      </c>
      <c r="AJ2047" s="19">
        <f t="shared" si="599"/>
        <v>6419974.0221889298</v>
      </c>
      <c r="AK2047" s="20">
        <f t="shared" si="608"/>
        <v>0.14586180158193709</v>
      </c>
      <c r="AL2047" s="17"/>
      <c r="AM2047" s="17"/>
      <c r="AN2047" s="17"/>
      <c r="AO2047" s="17"/>
      <c r="AP2047" s="28" t="str">
        <f t="shared" si="609"/>
        <v>20225</v>
      </c>
      <c r="AQ2047" s="28" t="str">
        <f t="shared" si="610"/>
        <v>20225JPY</v>
      </c>
      <c r="AR2047" s="206" t="str">
        <f t="shared" si="611"/>
        <v>YAMAHA_Mounter</v>
      </c>
      <c r="AS2047" s="22">
        <f t="shared" si="612"/>
        <v>3</v>
      </c>
      <c r="AT2047" s="24" t="str">
        <f t="shared" si="613"/>
        <v>0-3 months</v>
      </c>
    </row>
    <row r="2048" spans="1:46" s="12" customFormat="1">
      <c r="A2048" s="33" t="str">
        <f t="shared" si="601"/>
        <v>FY 21/22</v>
      </c>
      <c r="B2048" s="152">
        <v>2022</v>
      </c>
      <c r="C2048" s="152">
        <v>2</v>
      </c>
      <c r="D2048" s="33" t="str">
        <f t="shared" si="602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603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604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14"/>
        <v>1</v>
      </c>
      <c r="Z2048" s="18">
        <f t="shared" si="615"/>
        <v>11000000</v>
      </c>
      <c r="AA2048" s="13">
        <v>6.2799999999999995E-2</v>
      </c>
      <c r="AB2048" s="21">
        <f t="shared" si="605"/>
        <v>690800</v>
      </c>
      <c r="AC2048" s="130">
        <f t="shared" si="606"/>
        <v>118126.8</v>
      </c>
      <c r="AD2048" s="169">
        <v>0.17100000000000001</v>
      </c>
      <c r="AE2048" s="154">
        <f t="shared" si="607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8"/>
        <v>44014086.982070789</v>
      </c>
      <c r="AJ2048" s="19">
        <f t="shared" si="599"/>
        <v>6419974.0221889298</v>
      </c>
      <c r="AK2048" s="20">
        <f t="shared" si="608"/>
        <v>0.14586180158193709</v>
      </c>
      <c r="AL2048" s="17"/>
      <c r="AM2048" s="17"/>
      <c r="AN2048" s="17"/>
      <c r="AO2048" s="17"/>
      <c r="AP2048" s="28" t="str">
        <f t="shared" si="609"/>
        <v>20225</v>
      </c>
      <c r="AQ2048" s="28" t="str">
        <f t="shared" si="610"/>
        <v>20225JPY</v>
      </c>
      <c r="AR2048" s="206" t="str">
        <f t="shared" si="611"/>
        <v>YAMAHA_Mounter</v>
      </c>
      <c r="AS2048" s="22">
        <f t="shared" si="612"/>
        <v>3</v>
      </c>
      <c r="AT2048" s="24" t="str">
        <f t="shared" si="613"/>
        <v>0-3 months</v>
      </c>
    </row>
    <row r="2049" spans="1:46" s="12" customFormat="1">
      <c r="A2049" s="33" t="str">
        <f t="shared" si="601"/>
        <v>FY 21/22</v>
      </c>
      <c r="B2049" s="152">
        <v>2022</v>
      </c>
      <c r="C2049" s="152">
        <v>2</v>
      </c>
      <c r="D2049" s="33" t="str">
        <f t="shared" si="602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603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604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14"/>
        <v>1</v>
      </c>
      <c r="Z2049" s="18">
        <f t="shared" si="615"/>
        <v>11000000</v>
      </c>
      <c r="AA2049" s="13">
        <v>6.2799999999999995E-2</v>
      </c>
      <c r="AB2049" s="21">
        <f t="shared" si="605"/>
        <v>690800</v>
      </c>
      <c r="AC2049" s="130">
        <f t="shared" si="606"/>
        <v>118126.8</v>
      </c>
      <c r="AD2049" s="169">
        <v>0.17100000000000001</v>
      </c>
      <c r="AE2049" s="154">
        <f t="shared" si="607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8"/>
        <v>44014086.982070789</v>
      </c>
      <c r="AJ2049" s="19">
        <f t="shared" si="599"/>
        <v>6419974.0221889298</v>
      </c>
      <c r="AK2049" s="20">
        <f t="shared" si="608"/>
        <v>0.14586180158193709</v>
      </c>
      <c r="AL2049" s="17"/>
      <c r="AM2049" s="17"/>
      <c r="AN2049" s="17"/>
      <c r="AO2049" s="17"/>
      <c r="AP2049" s="28" t="str">
        <f t="shared" si="609"/>
        <v>20225</v>
      </c>
      <c r="AQ2049" s="28" t="str">
        <f t="shared" si="610"/>
        <v>20225JPY</v>
      </c>
      <c r="AR2049" s="206" t="str">
        <f t="shared" si="611"/>
        <v>YAMAHA_Mounter</v>
      </c>
      <c r="AS2049" s="22">
        <f t="shared" si="612"/>
        <v>3</v>
      </c>
      <c r="AT2049" s="24" t="str">
        <f t="shared" si="613"/>
        <v>0-3 months</v>
      </c>
    </row>
    <row r="2050" spans="1:46" s="12" customFormat="1">
      <c r="A2050" s="33" t="str">
        <f t="shared" si="601"/>
        <v>FY 21/22</v>
      </c>
      <c r="B2050" s="152">
        <v>2022</v>
      </c>
      <c r="C2050" s="152">
        <v>2</v>
      </c>
      <c r="D2050" s="33" t="str">
        <f t="shared" si="602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603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604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14"/>
        <v>1</v>
      </c>
      <c r="Z2050" s="18">
        <f t="shared" si="615"/>
        <v>11000000</v>
      </c>
      <c r="AA2050" s="13">
        <v>6.2799999999999995E-2</v>
      </c>
      <c r="AB2050" s="21">
        <f t="shared" si="605"/>
        <v>690800</v>
      </c>
      <c r="AC2050" s="130">
        <f t="shared" si="606"/>
        <v>118126.8</v>
      </c>
      <c r="AD2050" s="169">
        <v>0.17100000000000001</v>
      </c>
      <c r="AE2050" s="154">
        <f t="shared" si="607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16">IF(P2050="C66 SERVICE","",SUMIFS(AB:AB,F:F,F2050,G:G,G2050,E:E,E2050))</f>
        <v>44014086.982070789</v>
      </c>
      <c r="AJ2050" s="19">
        <f t="shared" ref="AJ2050:AJ2113" si="617">IF(P2050="C66 SERVICE","",SUMIFS(AC:AC,F:F,F2050,G:G,G2050,E:E,E2050))</f>
        <v>6419974.0221889298</v>
      </c>
      <c r="AK2050" s="20">
        <f t="shared" si="608"/>
        <v>0.14586180158193709</v>
      </c>
      <c r="AL2050" s="17"/>
      <c r="AM2050" s="17"/>
      <c r="AN2050" s="17"/>
      <c r="AO2050" s="17"/>
      <c r="AP2050" s="28" t="str">
        <f t="shared" si="609"/>
        <v>20225</v>
      </c>
      <c r="AQ2050" s="28" t="str">
        <f t="shared" si="610"/>
        <v>20225JPY</v>
      </c>
      <c r="AR2050" s="206" t="str">
        <f t="shared" si="611"/>
        <v>YAMAHA_Mounter</v>
      </c>
      <c r="AS2050" s="22">
        <f t="shared" si="612"/>
        <v>3</v>
      </c>
      <c r="AT2050" s="24" t="str">
        <f t="shared" si="613"/>
        <v>0-3 months</v>
      </c>
    </row>
    <row r="2051" spans="1:46" s="12" customFormat="1">
      <c r="A2051" s="33" t="str">
        <f t="shared" si="601"/>
        <v>FY 21/22</v>
      </c>
      <c r="B2051" s="152">
        <v>2022</v>
      </c>
      <c r="C2051" s="152">
        <v>2</v>
      </c>
      <c r="D2051" s="33" t="str">
        <f t="shared" si="602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603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604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14"/>
        <v>1</v>
      </c>
      <c r="Z2051" s="18">
        <f t="shared" si="615"/>
        <v>11000000</v>
      </c>
      <c r="AA2051" s="13">
        <v>6.2799999999999995E-2</v>
      </c>
      <c r="AB2051" s="21">
        <f t="shared" si="605"/>
        <v>690800</v>
      </c>
      <c r="AC2051" s="130">
        <f t="shared" si="606"/>
        <v>118126.8</v>
      </c>
      <c r="AD2051" s="169">
        <v>0.17100000000000001</v>
      </c>
      <c r="AE2051" s="154">
        <f t="shared" si="607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16"/>
        <v>44014086.982070789</v>
      </c>
      <c r="AJ2051" s="19">
        <f t="shared" si="617"/>
        <v>6419974.0221889298</v>
      </c>
      <c r="AK2051" s="20">
        <f t="shared" si="608"/>
        <v>0.14586180158193709</v>
      </c>
      <c r="AL2051" s="17"/>
      <c r="AM2051" s="17"/>
      <c r="AN2051" s="17"/>
      <c r="AO2051" s="17"/>
      <c r="AP2051" s="28" t="str">
        <f t="shared" si="609"/>
        <v>20225</v>
      </c>
      <c r="AQ2051" s="28" t="str">
        <f t="shared" si="610"/>
        <v>20225JPY</v>
      </c>
      <c r="AR2051" s="206" t="str">
        <f t="shared" si="611"/>
        <v>YAMAHA_Mounter</v>
      </c>
      <c r="AS2051" s="22">
        <f t="shared" si="612"/>
        <v>3</v>
      </c>
      <c r="AT2051" s="24" t="str">
        <f t="shared" si="613"/>
        <v>0-3 months</v>
      </c>
    </row>
    <row r="2052" spans="1:46" s="12" customFormat="1">
      <c r="A2052" s="33" t="str">
        <f t="shared" si="601"/>
        <v>FY 21/22</v>
      </c>
      <c r="B2052" s="152">
        <v>2022</v>
      </c>
      <c r="C2052" s="152">
        <v>2</v>
      </c>
      <c r="D2052" s="33" t="str">
        <f t="shared" si="602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603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604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14"/>
        <v>1</v>
      </c>
      <c r="Z2052" s="18">
        <f t="shared" si="615"/>
        <v>11000000</v>
      </c>
      <c r="AA2052" s="13">
        <v>6.2799999999999995E-2</v>
      </c>
      <c r="AB2052" s="21">
        <f t="shared" si="605"/>
        <v>690800</v>
      </c>
      <c r="AC2052" s="130">
        <f t="shared" si="606"/>
        <v>118126.8</v>
      </c>
      <c r="AD2052" s="169">
        <v>0.17100000000000001</v>
      </c>
      <c r="AE2052" s="154">
        <f t="shared" si="607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16"/>
        <v>44014086.982070789</v>
      </c>
      <c r="AJ2052" s="19">
        <f t="shared" si="617"/>
        <v>6419974.0221889298</v>
      </c>
      <c r="AK2052" s="20">
        <f t="shared" si="608"/>
        <v>0.14586180158193709</v>
      </c>
      <c r="AL2052" s="17"/>
      <c r="AM2052" s="17"/>
      <c r="AN2052" s="17"/>
      <c r="AO2052" s="17"/>
      <c r="AP2052" s="28" t="str">
        <f t="shared" si="609"/>
        <v>20225</v>
      </c>
      <c r="AQ2052" s="28" t="str">
        <f t="shared" si="610"/>
        <v>20225JPY</v>
      </c>
      <c r="AR2052" s="206" t="str">
        <f t="shared" si="611"/>
        <v>YAMAHA_Mounter</v>
      </c>
      <c r="AS2052" s="22">
        <f t="shared" si="612"/>
        <v>3</v>
      </c>
      <c r="AT2052" s="24" t="str">
        <f t="shared" si="613"/>
        <v>0-3 months</v>
      </c>
    </row>
    <row r="2053" spans="1:46" s="12" customFormat="1">
      <c r="A2053" s="33" t="str">
        <f t="shared" si="601"/>
        <v>FY 21/22</v>
      </c>
      <c r="B2053" s="152">
        <v>2022</v>
      </c>
      <c r="C2053" s="152">
        <v>2</v>
      </c>
      <c r="D2053" s="33" t="str">
        <f t="shared" si="602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603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604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14"/>
        <v>1</v>
      </c>
      <c r="Z2053" s="18">
        <f t="shared" si="615"/>
        <v>16000000</v>
      </c>
      <c r="AA2053" s="13">
        <v>6.25E-2</v>
      </c>
      <c r="AB2053" s="21">
        <f t="shared" si="605"/>
        <v>1000000</v>
      </c>
      <c r="AC2053" s="130">
        <f t="shared" si="606"/>
        <v>171000</v>
      </c>
      <c r="AD2053" s="169">
        <v>0.17100000000000001</v>
      </c>
      <c r="AE2053" s="154">
        <f t="shared" si="607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16"/>
        <v>35682787.057522126</v>
      </c>
      <c r="AJ2053" s="19">
        <f t="shared" si="617"/>
        <v>5833368.3789623892</v>
      </c>
      <c r="AK2053" s="20">
        <f t="shared" si="608"/>
        <v>0.16347849649632912</v>
      </c>
      <c r="AL2053" s="17"/>
      <c r="AM2053" s="17"/>
      <c r="AN2053" s="17"/>
      <c r="AO2053" s="17"/>
      <c r="AP2053" s="28" t="str">
        <f t="shared" si="609"/>
        <v>20226</v>
      </c>
      <c r="AQ2053" s="28" t="str">
        <f t="shared" si="610"/>
        <v>20226JPY</v>
      </c>
      <c r="AR2053" s="206" t="str">
        <f t="shared" si="611"/>
        <v>YAMAHA_Mounter</v>
      </c>
      <c r="AS2053" s="22">
        <f t="shared" si="612"/>
        <v>4</v>
      </c>
      <c r="AT2053" s="24" t="str">
        <f t="shared" si="613"/>
        <v>4-6 months</v>
      </c>
    </row>
    <row r="2054" spans="1:46" s="12" customFormat="1">
      <c r="A2054" s="33" t="str">
        <f t="shared" si="601"/>
        <v>FY 21/22</v>
      </c>
      <c r="B2054" s="152">
        <v>2022</v>
      </c>
      <c r="C2054" s="152">
        <v>2</v>
      </c>
      <c r="D2054" s="33" t="str">
        <f t="shared" si="602"/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si="603"/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si="604"/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14"/>
        <v>1</v>
      </c>
      <c r="Z2054" s="18">
        <f t="shared" si="615"/>
        <v>11000000</v>
      </c>
      <c r="AA2054" s="13">
        <v>6.25E-2</v>
      </c>
      <c r="AB2054" s="21">
        <f t="shared" si="605"/>
        <v>687500</v>
      </c>
      <c r="AC2054" s="130">
        <f t="shared" si="606"/>
        <v>117562.50000000001</v>
      </c>
      <c r="AD2054" s="169">
        <v>0.17100000000000001</v>
      </c>
      <c r="AE2054" s="154">
        <f t="shared" si="607"/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16"/>
        <v>35682787.057522126</v>
      </c>
      <c r="AJ2054" s="19">
        <f t="shared" si="617"/>
        <v>5833368.3789623892</v>
      </c>
      <c r="AK2054" s="20">
        <f t="shared" si="608"/>
        <v>0.16347849649632912</v>
      </c>
      <c r="AL2054" s="17"/>
      <c r="AM2054" s="17"/>
      <c r="AN2054" s="17"/>
      <c r="AO2054" s="17"/>
      <c r="AP2054" s="28" t="str">
        <f t="shared" si="609"/>
        <v>20226</v>
      </c>
      <c r="AQ2054" s="28" t="str">
        <f t="shared" si="610"/>
        <v>20226JPY</v>
      </c>
      <c r="AR2054" s="206" t="str">
        <f t="shared" si="611"/>
        <v>YAMAHA_Mounter</v>
      </c>
      <c r="AS2054" s="22">
        <f t="shared" si="612"/>
        <v>4</v>
      </c>
      <c r="AT2054" s="24" t="str">
        <f t="shared" si="613"/>
        <v>4-6 months</v>
      </c>
    </row>
    <row r="2055" spans="1:46" s="12" customFormat="1">
      <c r="A2055" s="33" t="str">
        <f t="shared" si="601"/>
        <v>FY 22/23</v>
      </c>
      <c r="B2055" s="152">
        <v>2022</v>
      </c>
      <c r="C2055" s="152">
        <v>6</v>
      </c>
      <c r="D2055" s="33" t="str">
        <f t="shared" si="602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3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4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14"/>
        <v>1.13</v>
      </c>
      <c r="Z2055" s="18">
        <f t="shared" si="615"/>
        <v>762233</v>
      </c>
      <c r="AA2055" s="13">
        <v>1.17</v>
      </c>
      <c r="AB2055" s="21">
        <f t="shared" si="605"/>
        <v>789214.69911504432</v>
      </c>
      <c r="AC2055" s="130">
        <f t="shared" si="606"/>
        <v>144268.44699823009</v>
      </c>
      <c r="AD2055" s="169">
        <v>0.18279999999999999</v>
      </c>
      <c r="AE2055" s="154">
        <f t="shared" si="607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6"/>
        <v>36480247.665929198</v>
      </c>
      <c r="AJ2055" s="19">
        <f t="shared" si="617"/>
        <v>5330996.6372757526</v>
      </c>
      <c r="AK2055" s="20">
        <f t="shared" si="608"/>
        <v>0.14613378412599562</v>
      </c>
      <c r="AL2055" s="17"/>
      <c r="AM2055" s="17"/>
      <c r="AN2055" s="17"/>
      <c r="AO2055" s="17"/>
      <c r="AP2055" s="28" t="str">
        <f t="shared" si="609"/>
        <v>20227</v>
      </c>
      <c r="AQ2055" s="28" t="str">
        <f t="shared" si="610"/>
        <v>20227RMB</v>
      </c>
      <c r="AR2055" s="206" t="str">
        <f t="shared" si="611"/>
        <v>YAMAHA_Mounter</v>
      </c>
      <c r="AS2055" s="22">
        <f t="shared" si="612"/>
        <v>1</v>
      </c>
      <c r="AT2055" s="24" t="str">
        <f t="shared" si="613"/>
        <v>0-3 months</v>
      </c>
    </row>
    <row r="2056" spans="1:46" s="12" customFormat="1">
      <c r="A2056" s="33" t="str">
        <f t="shared" si="601"/>
        <v>FY 22/23</v>
      </c>
      <c r="B2056" s="152">
        <v>2022</v>
      </c>
      <c r="C2056" s="152">
        <v>6</v>
      </c>
      <c r="D2056" s="33" t="str">
        <f t="shared" si="602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3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4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14"/>
        <v>1.13</v>
      </c>
      <c r="Z2056" s="18">
        <f t="shared" si="615"/>
        <v>762233</v>
      </c>
      <c r="AA2056" s="13">
        <v>1.17</v>
      </c>
      <c r="AB2056" s="21">
        <f t="shared" si="605"/>
        <v>789214.69911504432</v>
      </c>
      <c r="AC2056" s="130">
        <f t="shared" si="606"/>
        <v>144268.44699823009</v>
      </c>
      <c r="AD2056" s="169">
        <v>0.18279999999999999</v>
      </c>
      <c r="AE2056" s="154">
        <f t="shared" si="607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6"/>
        <v>36480247.665929198</v>
      </c>
      <c r="AJ2056" s="19">
        <f t="shared" si="617"/>
        <v>5330996.6372757526</v>
      </c>
      <c r="AK2056" s="20">
        <f t="shared" si="608"/>
        <v>0.14613378412599562</v>
      </c>
      <c r="AL2056" s="17"/>
      <c r="AM2056" s="17"/>
      <c r="AN2056" s="17"/>
      <c r="AO2056" s="17"/>
      <c r="AP2056" s="28" t="str">
        <f t="shared" si="609"/>
        <v>20227</v>
      </c>
      <c r="AQ2056" s="28" t="str">
        <f t="shared" si="610"/>
        <v>20227RMB</v>
      </c>
      <c r="AR2056" s="206" t="str">
        <f t="shared" si="611"/>
        <v>YAMAHA_Mounter</v>
      </c>
      <c r="AS2056" s="22">
        <f t="shared" si="612"/>
        <v>1</v>
      </c>
      <c r="AT2056" s="24" t="str">
        <f t="shared" si="613"/>
        <v>0-3 months</v>
      </c>
    </row>
    <row r="2057" spans="1:46" s="12" customFormat="1">
      <c r="A2057" s="33" t="str">
        <f t="shared" si="601"/>
        <v>FY 22/23</v>
      </c>
      <c r="B2057" s="152">
        <v>2022</v>
      </c>
      <c r="C2057" s="152">
        <v>6</v>
      </c>
      <c r="D2057" s="33" t="str">
        <f t="shared" si="602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3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4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14"/>
        <v>1.13</v>
      </c>
      <c r="Z2057" s="18">
        <f t="shared" si="615"/>
        <v>575779</v>
      </c>
      <c r="AA2057" s="13">
        <v>1.17</v>
      </c>
      <c r="AB2057" s="21">
        <f t="shared" si="605"/>
        <v>596160.55752212391</v>
      </c>
      <c r="AC2057" s="130">
        <f t="shared" si="606"/>
        <v>108978.14991504424</v>
      </c>
      <c r="AD2057" s="169">
        <v>0.18279999999999999</v>
      </c>
      <c r="AE2057" s="154">
        <f t="shared" si="607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6"/>
        <v>36480247.665929198</v>
      </c>
      <c r="AJ2057" s="19">
        <f t="shared" si="617"/>
        <v>5330996.6372757526</v>
      </c>
      <c r="AK2057" s="20">
        <f t="shared" si="608"/>
        <v>0.14613378412599562</v>
      </c>
      <c r="AL2057" s="17"/>
      <c r="AM2057" s="17"/>
      <c r="AN2057" s="17"/>
      <c r="AO2057" s="17"/>
      <c r="AP2057" s="28" t="str">
        <f t="shared" si="609"/>
        <v>20227</v>
      </c>
      <c r="AQ2057" s="28" t="str">
        <f t="shared" si="610"/>
        <v>20227RMB</v>
      </c>
      <c r="AR2057" s="206" t="str">
        <f t="shared" si="611"/>
        <v>YAMAHA_Mounter</v>
      </c>
      <c r="AS2057" s="22">
        <f t="shared" si="612"/>
        <v>1</v>
      </c>
      <c r="AT2057" s="24" t="str">
        <f t="shared" si="613"/>
        <v>0-3 months</v>
      </c>
    </row>
    <row r="2058" spans="1:46" s="12" customFormat="1">
      <c r="A2058" s="33" t="str">
        <f t="shared" si="601"/>
        <v>FY 22/23</v>
      </c>
      <c r="B2058" s="152">
        <v>2022</v>
      </c>
      <c r="C2058" s="152">
        <v>7</v>
      </c>
      <c r="D2058" s="33" t="str">
        <f t="shared" si="602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3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4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14"/>
        <v>1</v>
      </c>
      <c r="Z2058" s="18">
        <f t="shared" si="615"/>
        <v>17000000</v>
      </c>
      <c r="AA2058" s="13">
        <v>5.8700000000000002E-2</v>
      </c>
      <c r="AB2058" s="21">
        <f t="shared" si="605"/>
        <v>997900</v>
      </c>
      <c r="AC2058" s="130">
        <f t="shared" si="606"/>
        <v>170042.16</v>
      </c>
      <c r="AD2058" s="169">
        <v>0.1704</v>
      </c>
      <c r="AE2058" s="154">
        <f t="shared" si="607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6"/>
        <v>36480247.665929198</v>
      </c>
      <c r="AJ2058" s="19">
        <f t="shared" si="617"/>
        <v>5330996.6372757526</v>
      </c>
      <c r="AK2058" s="20">
        <f t="shared" si="608"/>
        <v>0.14613378412599562</v>
      </c>
      <c r="AL2058" s="17"/>
      <c r="AM2058" s="17"/>
      <c r="AN2058" s="17"/>
      <c r="AO2058" s="17"/>
      <c r="AP2058" s="28" t="str">
        <f t="shared" si="609"/>
        <v>20227</v>
      </c>
      <c r="AQ2058" s="28" t="str">
        <f t="shared" si="610"/>
        <v>20227JPY</v>
      </c>
      <c r="AR2058" s="206" t="str">
        <f t="shared" si="611"/>
        <v>YAMAHA_Mounter</v>
      </c>
      <c r="AS2058" s="22">
        <f t="shared" si="612"/>
        <v>0</v>
      </c>
      <c r="AT2058" s="24" t="str">
        <f t="shared" si="613"/>
        <v>0-3 months</v>
      </c>
    </row>
    <row r="2059" spans="1:46" s="12" customFormat="1">
      <c r="A2059" s="33" t="str">
        <f t="shared" si="601"/>
        <v>FY 22/23</v>
      </c>
      <c r="B2059" s="152">
        <v>2022</v>
      </c>
      <c r="C2059" s="152">
        <v>7</v>
      </c>
      <c r="D2059" s="33" t="str">
        <f t="shared" si="602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3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4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14"/>
        <v>1</v>
      </c>
      <c r="Z2059" s="18">
        <f t="shared" si="615"/>
        <v>17000000</v>
      </c>
      <c r="AA2059" s="13">
        <v>5.8700000000000002E-2</v>
      </c>
      <c r="AB2059" s="21">
        <f t="shared" si="605"/>
        <v>997900</v>
      </c>
      <c r="AC2059" s="130">
        <f t="shared" si="606"/>
        <v>170042.16</v>
      </c>
      <c r="AD2059" s="169">
        <v>0.1704</v>
      </c>
      <c r="AE2059" s="154">
        <f t="shared" si="607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6"/>
        <v>36480247.665929198</v>
      </c>
      <c r="AJ2059" s="19">
        <f t="shared" si="617"/>
        <v>5330996.6372757526</v>
      </c>
      <c r="AK2059" s="20">
        <f t="shared" si="608"/>
        <v>0.14613378412599562</v>
      </c>
      <c r="AL2059" s="17"/>
      <c r="AM2059" s="17"/>
      <c r="AN2059" s="17"/>
      <c r="AO2059" s="17"/>
      <c r="AP2059" s="28" t="str">
        <f t="shared" si="609"/>
        <v>20227</v>
      </c>
      <c r="AQ2059" s="28" t="str">
        <f t="shared" si="610"/>
        <v>20227JPY</v>
      </c>
      <c r="AR2059" s="206" t="str">
        <f t="shared" si="611"/>
        <v>YAMAHA_Mounter</v>
      </c>
      <c r="AS2059" s="22">
        <f t="shared" si="612"/>
        <v>0</v>
      </c>
      <c r="AT2059" s="24" t="str">
        <f t="shared" si="613"/>
        <v>0-3 months</v>
      </c>
    </row>
    <row r="2060" spans="1:46" s="12" customFormat="1">
      <c r="A2060" s="33" t="str">
        <f t="shared" si="601"/>
        <v>FY 22/23</v>
      </c>
      <c r="B2060" s="152">
        <v>2022</v>
      </c>
      <c r="C2060" s="152">
        <v>7</v>
      </c>
      <c r="D2060" s="33" t="str">
        <f t="shared" si="602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3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4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14"/>
        <v>1</v>
      </c>
      <c r="Z2060" s="18">
        <f t="shared" si="615"/>
        <v>17000000</v>
      </c>
      <c r="AA2060" s="13">
        <v>5.8700000000000002E-2</v>
      </c>
      <c r="AB2060" s="21">
        <f t="shared" si="605"/>
        <v>997900</v>
      </c>
      <c r="AC2060" s="130">
        <f t="shared" si="606"/>
        <v>170042.16</v>
      </c>
      <c r="AD2060" s="169">
        <v>0.1704</v>
      </c>
      <c r="AE2060" s="154">
        <f t="shared" si="607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6"/>
        <v>36480247.665929198</v>
      </c>
      <c r="AJ2060" s="19">
        <f t="shared" si="617"/>
        <v>5330996.6372757526</v>
      </c>
      <c r="AK2060" s="20">
        <f t="shared" si="608"/>
        <v>0.14613378412599562</v>
      </c>
      <c r="AL2060" s="17"/>
      <c r="AM2060" s="17"/>
      <c r="AN2060" s="17"/>
      <c r="AO2060" s="17"/>
      <c r="AP2060" s="28" t="str">
        <f t="shared" si="609"/>
        <v>20227</v>
      </c>
      <c r="AQ2060" s="28" t="str">
        <f t="shared" si="610"/>
        <v>20227JPY</v>
      </c>
      <c r="AR2060" s="206" t="str">
        <f t="shared" si="611"/>
        <v>YAMAHA_Mounter</v>
      </c>
      <c r="AS2060" s="22">
        <f t="shared" si="612"/>
        <v>0</v>
      </c>
      <c r="AT2060" s="24" t="str">
        <f t="shared" si="613"/>
        <v>0-3 months</v>
      </c>
    </row>
    <row r="2061" spans="1:46" s="12" customFormat="1">
      <c r="A2061" s="33" t="str">
        <f t="shared" si="601"/>
        <v>FY 22/23</v>
      </c>
      <c r="B2061" s="152">
        <v>2022</v>
      </c>
      <c r="C2061" s="152">
        <v>7</v>
      </c>
      <c r="D2061" s="33" t="str">
        <f t="shared" si="602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3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4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14"/>
        <v>1</v>
      </c>
      <c r="Z2061" s="18">
        <f t="shared" si="615"/>
        <v>12014500</v>
      </c>
      <c r="AA2061" s="13">
        <v>5.8700000000000002E-2</v>
      </c>
      <c r="AB2061" s="21">
        <f t="shared" si="605"/>
        <v>705251.15</v>
      </c>
      <c r="AC2061" s="130">
        <f t="shared" si="606"/>
        <v>120174.79596</v>
      </c>
      <c r="AD2061" s="169">
        <v>0.1704</v>
      </c>
      <c r="AE2061" s="154">
        <f t="shared" si="607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6"/>
        <v>36480247.665929198</v>
      </c>
      <c r="AJ2061" s="19">
        <f t="shared" si="617"/>
        <v>5330996.6372757526</v>
      </c>
      <c r="AK2061" s="20">
        <f t="shared" si="608"/>
        <v>0.14613378412599562</v>
      </c>
      <c r="AL2061" s="17"/>
      <c r="AM2061" s="17"/>
      <c r="AN2061" s="17"/>
      <c r="AO2061" s="17"/>
      <c r="AP2061" s="28" t="str">
        <f t="shared" si="609"/>
        <v>20227</v>
      </c>
      <c r="AQ2061" s="28" t="str">
        <f t="shared" si="610"/>
        <v>20227JPY</v>
      </c>
      <c r="AR2061" s="206" t="str">
        <f t="shared" si="611"/>
        <v>YAMAHA_Mounter</v>
      </c>
      <c r="AS2061" s="22">
        <f t="shared" si="612"/>
        <v>0</v>
      </c>
      <c r="AT2061" s="24" t="str">
        <f t="shared" si="613"/>
        <v>0-3 months</v>
      </c>
    </row>
    <row r="2062" spans="1:46" s="12" customFormat="1">
      <c r="A2062" s="33" t="str">
        <f t="shared" si="601"/>
        <v>FY 22/23</v>
      </c>
      <c r="B2062" s="152">
        <v>2022</v>
      </c>
      <c r="C2062" s="152">
        <v>7</v>
      </c>
      <c r="D2062" s="33" t="str">
        <f t="shared" si="602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3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4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14"/>
        <v>1</v>
      </c>
      <c r="Z2062" s="18">
        <f t="shared" si="615"/>
        <v>12014500</v>
      </c>
      <c r="AA2062" s="13">
        <v>5.8700000000000002E-2</v>
      </c>
      <c r="AB2062" s="21">
        <f t="shared" si="605"/>
        <v>705251.15</v>
      </c>
      <c r="AC2062" s="130">
        <f t="shared" si="606"/>
        <v>120174.79596</v>
      </c>
      <c r="AD2062" s="169">
        <v>0.1704</v>
      </c>
      <c r="AE2062" s="154">
        <f t="shared" si="607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6"/>
        <v>36480247.665929198</v>
      </c>
      <c r="AJ2062" s="19">
        <f t="shared" si="617"/>
        <v>5330996.6372757526</v>
      </c>
      <c r="AK2062" s="20">
        <f t="shared" si="608"/>
        <v>0.14613378412599562</v>
      </c>
      <c r="AL2062" s="17"/>
      <c r="AM2062" s="17"/>
      <c r="AN2062" s="17"/>
      <c r="AO2062" s="17"/>
      <c r="AP2062" s="28" t="str">
        <f t="shared" si="609"/>
        <v>20227</v>
      </c>
      <c r="AQ2062" s="28" t="str">
        <f t="shared" si="610"/>
        <v>20227JPY</v>
      </c>
      <c r="AR2062" s="206" t="str">
        <f t="shared" si="611"/>
        <v>YAMAHA_Mounter</v>
      </c>
      <c r="AS2062" s="22">
        <f t="shared" si="612"/>
        <v>0</v>
      </c>
      <c r="AT2062" s="24" t="str">
        <f t="shared" si="613"/>
        <v>0-3 months</v>
      </c>
    </row>
    <row r="2063" spans="1:46" s="12" customFormat="1">
      <c r="A2063" s="33" t="str">
        <f t="shared" si="601"/>
        <v>FY 22/23</v>
      </c>
      <c r="B2063" s="152">
        <v>2022</v>
      </c>
      <c r="C2063" s="152">
        <v>7</v>
      </c>
      <c r="D2063" s="33" t="str">
        <f t="shared" si="602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3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4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18">IF(W2063="RMB","1.13", "1")</f>
        <v>1</v>
      </c>
      <c r="Z2063" s="18">
        <f t="shared" si="615"/>
        <v>12014500</v>
      </c>
      <c r="AA2063" s="13">
        <v>5.8700000000000002E-2</v>
      </c>
      <c r="AB2063" s="21">
        <f t="shared" si="605"/>
        <v>705251.15</v>
      </c>
      <c r="AC2063" s="130">
        <f t="shared" si="606"/>
        <v>120174.79596</v>
      </c>
      <c r="AD2063" s="169">
        <v>0.1704</v>
      </c>
      <c r="AE2063" s="154">
        <f t="shared" si="607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6"/>
        <v>36480247.665929198</v>
      </c>
      <c r="AJ2063" s="19">
        <f t="shared" si="617"/>
        <v>5330996.6372757526</v>
      </c>
      <c r="AK2063" s="20">
        <f t="shared" si="608"/>
        <v>0.14613378412599562</v>
      </c>
      <c r="AL2063" s="17"/>
      <c r="AM2063" s="17"/>
      <c r="AN2063" s="17"/>
      <c r="AO2063" s="17"/>
      <c r="AP2063" s="28" t="str">
        <f t="shared" si="609"/>
        <v>20227</v>
      </c>
      <c r="AQ2063" s="28" t="str">
        <f t="shared" si="610"/>
        <v>20227JPY</v>
      </c>
      <c r="AR2063" s="206" t="str">
        <f t="shared" si="611"/>
        <v>YAMAHA_Mounter</v>
      </c>
      <c r="AS2063" s="22">
        <f t="shared" si="612"/>
        <v>0</v>
      </c>
      <c r="AT2063" s="24" t="str">
        <f t="shared" si="613"/>
        <v>0-3 months</v>
      </c>
    </row>
    <row r="2064" spans="1:46" s="12" customFormat="1">
      <c r="A2064" s="33" t="str">
        <f t="shared" si="601"/>
        <v>FY 22/23</v>
      </c>
      <c r="B2064" s="152">
        <v>2022</v>
      </c>
      <c r="C2064" s="152">
        <v>7</v>
      </c>
      <c r="D2064" s="33" t="str">
        <f t="shared" si="602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3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4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18"/>
        <v>1</v>
      </c>
      <c r="Z2064" s="18">
        <f t="shared" si="615"/>
        <v>17000000</v>
      </c>
      <c r="AA2064" s="13">
        <v>5.7799999999999997E-2</v>
      </c>
      <c r="AB2064" s="21">
        <f t="shared" si="605"/>
        <v>982600</v>
      </c>
      <c r="AC2064" s="130">
        <f t="shared" si="606"/>
        <v>169891.54</v>
      </c>
      <c r="AD2064" s="169">
        <v>0.1729</v>
      </c>
      <c r="AE2064" s="154">
        <f t="shared" si="607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6"/>
        <v>15948576.102654871</v>
      </c>
      <c r="AJ2064" s="19">
        <f t="shared" si="617"/>
        <v>2739848.7004853105</v>
      </c>
      <c r="AK2064" s="20">
        <f t="shared" si="608"/>
        <v>0.17179268436567344</v>
      </c>
      <c r="AL2064" s="17"/>
      <c r="AM2064" s="17"/>
      <c r="AN2064" s="17"/>
      <c r="AO2064" s="17"/>
      <c r="AP2064" s="28" t="str">
        <f t="shared" si="609"/>
        <v>20229</v>
      </c>
      <c r="AQ2064" s="28" t="str">
        <f t="shared" si="610"/>
        <v>20229JPY</v>
      </c>
      <c r="AR2064" s="206" t="str">
        <f t="shared" si="611"/>
        <v>YAMAHA_Mounter</v>
      </c>
      <c r="AS2064" s="22">
        <f t="shared" si="612"/>
        <v>2</v>
      </c>
      <c r="AT2064" s="24" t="str">
        <f t="shared" si="613"/>
        <v>0-3 months</v>
      </c>
    </row>
    <row r="2065" spans="1:46" s="12" customFormat="1">
      <c r="A2065" s="33" t="str">
        <f t="shared" si="601"/>
        <v>FY 22/23</v>
      </c>
      <c r="B2065" s="152">
        <v>2022</v>
      </c>
      <c r="C2065" s="152">
        <v>7</v>
      </c>
      <c r="D2065" s="33" t="str">
        <f t="shared" si="602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3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4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18"/>
        <v>1</v>
      </c>
      <c r="Z2065" s="18">
        <f t="shared" si="615"/>
        <v>12294000</v>
      </c>
      <c r="AA2065" s="13">
        <v>5.7799999999999997E-2</v>
      </c>
      <c r="AB2065" s="21">
        <f t="shared" si="605"/>
        <v>710593.2</v>
      </c>
      <c r="AC2065" s="130">
        <f t="shared" si="606"/>
        <v>122861.56427999999</v>
      </c>
      <c r="AD2065" s="169">
        <v>0.1729</v>
      </c>
      <c r="AE2065" s="154">
        <f t="shared" si="607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6"/>
        <v>15948576.102654871</v>
      </c>
      <c r="AJ2065" s="19">
        <f t="shared" si="617"/>
        <v>2739848.7004853105</v>
      </c>
      <c r="AK2065" s="20">
        <f t="shared" si="608"/>
        <v>0.17179268436567344</v>
      </c>
      <c r="AL2065" s="17"/>
      <c r="AM2065" s="17"/>
      <c r="AN2065" s="17"/>
      <c r="AO2065" s="17"/>
      <c r="AP2065" s="28" t="str">
        <f t="shared" si="609"/>
        <v>20229</v>
      </c>
      <c r="AQ2065" s="28" t="str">
        <f t="shared" si="610"/>
        <v>20229JPY</v>
      </c>
      <c r="AR2065" s="206" t="str">
        <f t="shared" si="611"/>
        <v>YAMAHA_Mounter</v>
      </c>
      <c r="AS2065" s="22">
        <f t="shared" si="612"/>
        <v>2</v>
      </c>
      <c r="AT2065" s="24" t="str">
        <f t="shared" si="613"/>
        <v>0-3 months</v>
      </c>
    </row>
    <row r="2066" spans="1:46" s="12" customFormat="1">
      <c r="A2066" s="33" t="str">
        <f t="shared" si="601"/>
        <v>FY 22/23</v>
      </c>
      <c r="B2066" s="152">
        <v>2022</v>
      </c>
      <c r="C2066" s="152">
        <v>9</v>
      </c>
      <c r="D2066" s="33" t="str">
        <f t="shared" si="602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3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4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18"/>
        <v>1.13</v>
      </c>
      <c r="Z2066" s="18">
        <f t="shared" si="615"/>
        <v>910000</v>
      </c>
      <c r="AA2066" s="13">
        <v>1.1000000000000001</v>
      </c>
      <c r="AB2066" s="21">
        <f t="shared" si="605"/>
        <v>885840.70796460193</v>
      </c>
      <c r="AC2066" s="130">
        <f t="shared" si="606"/>
        <v>134736.37168141597</v>
      </c>
      <c r="AD2066" s="169">
        <v>0.15210000000000001</v>
      </c>
      <c r="AE2066" s="154">
        <f t="shared" si="607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6"/>
        <v>22717528.991150443</v>
      </c>
      <c r="AJ2066" s="19">
        <f t="shared" si="617"/>
        <v>3947747.192555753</v>
      </c>
      <c r="AK2066" s="20">
        <f t="shared" si="608"/>
        <v>0.1737753782153679</v>
      </c>
      <c r="AL2066" s="17"/>
      <c r="AM2066" s="17"/>
      <c r="AN2066" s="17"/>
      <c r="AO2066" s="17"/>
      <c r="AP2066" s="28" t="str">
        <f t="shared" si="609"/>
        <v>202210</v>
      </c>
      <c r="AQ2066" s="28" t="str">
        <f t="shared" si="610"/>
        <v>202210RMB</v>
      </c>
      <c r="AR2066" s="206" t="str">
        <f t="shared" si="611"/>
        <v>YAMAHA_Mounter</v>
      </c>
      <c r="AS2066" s="22">
        <f t="shared" si="612"/>
        <v>1</v>
      </c>
      <c r="AT2066" s="24" t="str">
        <f t="shared" si="613"/>
        <v>0-3 months</v>
      </c>
    </row>
    <row r="2067" spans="1:46" s="12" customFormat="1">
      <c r="A2067" s="33" t="str">
        <f t="shared" si="601"/>
        <v>FY 22/23</v>
      </c>
      <c r="B2067" s="152">
        <v>2022</v>
      </c>
      <c r="C2067" s="152">
        <v>9</v>
      </c>
      <c r="D2067" s="33" t="str">
        <f t="shared" si="602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3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4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18"/>
        <v>1.13</v>
      </c>
      <c r="Z2067" s="18">
        <f t="shared" si="615"/>
        <v>700000</v>
      </c>
      <c r="AA2067" s="13">
        <v>1.1000000000000001</v>
      </c>
      <c r="AB2067" s="21">
        <f t="shared" si="605"/>
        <v>681415.92920353985</v>
      </c>
      <c r="AC2067" s="130">
        <f t="shared" si="606"/>
        <v>103643.36283185842</v>
      </c>
      <c r="AD2067" s="169">
        <v>0.15210000000000001</v>
      </c>
      <c r="AE2067" s="154">
        <f t="shared" si="607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6"/>
        <v>22717528.991150443</v>
      </c>
      <c r="AJ2067" s="19">
        <f t="shared" si="617"/>
        <v>3947747.192555753</v>
      </c>
      <c r="AK2067" s="20">
        <f t="shared" si="608"/>
        <v>0.1737753782153679</v>
      </c>
      <c r="AL2067" s="17"/>
      <c r="AM2067" s="17"/>
      <c r="AN2067" s="17"/>
      <c r="AO2067" s="17"/>
      <c r="AP2067" s="28" t="str">
        <f t="shared" si="609"/>
        <v>202210</v>
      </c>
      <c r="AQ2067" s="28" t="str">
        <f t="shared" si="610"/>
        <v>202210RMB</v>
      </c>
      <c r="AR2067" s="206" t="str">
        <f t="shared" si="611"/>
        <v>YAMAHA_Mounter</v>
      </c>
      <c r="AS2067" s="22">
        <f t="shared" si="612"/>
        <v>1</v>
      </c>
      <c r="AT2067" s="24" t="str">
        <f t="shared" si="613"/>
        <v>0-3 months</v>
      </c>
    </row>
    <row r="2068" spans="1:46" s="12" customFormat="1">
      <c r="A2068" s="33" t="str">
        <f t="shared" si="601"/>
        <v>FY 22/23</v>
      </c>
      <c r="B2068" s="152">
        <v>2022</v>
      </c>
      <c r="C2068" s="152">
        <v>10</v>
      </c>
      <c r="D2068" s="33" t="str">
        <f t="shared" si="602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3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4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18"/>
        <v>1.13</v>
      </c>
      <c r="Z2068" s="18">
        <f t="shared" si="615"/>
        <v>925000</v>
      </c>
      <c r="AA2068" s="13">
        <v>1.1000000000000001</v>
      </c>
      <c r="AB2068" s="21">
        <f t="shared" si="605"/>
        <v>900442.47787610639</v>
      </c>
      <c r="AC2068" s="130">
        <f t="shared" si="606"/>
        <v>162169.69026548677</v>
      </c>
      <c r="AD2068" s="169">
        <v>0.18010000000000001</v>
      </c>
      <c r="AE2068" s="154">
        <f t="shared" si="607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6"/>
        <v>22717528.991150443</v>
      </c>
      <c r="AJ2068" s="19">
        <f t="shared" si="617"/>
        <v>3947747.192555753</v>
      </c>
      <c r="AK2068" s="20">
        <f t="shared" si="608"/>
        <v>0.1737753782153679</v>
      </c>
      <c r="AL2068" s="17"/>
      <c r="AM2068" s="17"/>
      <c r="AN2068" s="17"/>
      <c r="AO2068" s="17"/>
      <c r="AP2068" s="28" t="str">
        <f t="shared" si="609"/>
        <v>202210</v>
      </c>
      <c r="AQ2068" s="28" t="str">
        <f t="shared" si="610"/>
        <v>202210RMB</v>
      </c>
      <c r="AR2068" s="206" t="str">
        <f t="shared" si="611"/>
        <v>YAMAHA_Mounter</v>
      </c>
      <c r="AS2068" s="22">
        <f t="shared" si="612"/>
        <v>0</v>
      </c>
      <c r="AT2068" s="24" t="str">
        <f t="shared" si="613"/>
        <v>0-3 months</v>
      </c>
    </row>
    <row r="2069" spans="1:46" s="12" customFormat="1">
      <c r="A2069" s="33" t="str">
        <f t="shared" si="601"/>
        <v>FY 22/23</v>
      </c>
      <c r="B2069" s="152">
        <v>2022</v>
      </c>
      <c r="C2069" s="152">
        <v>10</v>
      </c>
      <c r="D2069" s="33" t="str">
        <f t="shared" si="602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3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4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18"/>
        <v>1.13</v>
      </c>
      <c r="Z2069" s="18">
        <f t="shared" si="615"/>
        <v>925000</v>
      </c>
      <c r="AA2069" s="13">
        <v>1.1000000000000001</v>
      </c>
      <c r="AB2069" s="21">
        <f t="shared" si="605"/>
        <v>900442.47787610639</v>
      </c>
      <c r="AC2069" s="130">
        <f t="shared" si="606"/>
        <v>162169.69026548677</v>
      </c>
      <c r="AD2069" s="169">
        <v>0.18010000000000001</v>
      </c>
      <c r="AE2069" s="154">
        <f t="shared" si="607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6"/>
        <v>22717528.991150443</v>
      </c>
      <c r="AJ2069" s="19">
        <f t="shared" si="617"/>
        <v>3947747.192555753</v>
      </c>
      <c r="AK2069" s="20">
        <f t="shared" si="608"/>
        <v>0.1737753782153679</v>
      </c>
      <c r="AL2069" s="17"/>
      <c r="AM2069" s="17"/>
      <c r="AN2069" s="17"/>
      <c r="AO2069" s="17"/>
      <c r="AP2069" s="28" t="str">
        <f t="shared" si="609"/>
        <v>202210</v>
      </c>
      <c r="AQ2069" s="28" t="str">
        <f t="shared" si="610"/>
        <v>202210RMB</v>
      </c>
      <c r="AR2069" s="206" t="str">
        <f t="shared" si="611"/>
        <v>YAMAHA_Mounter</v>
      </c>
      <c r="AS2069" s="22">
        <f t="shared" si="612"/>
        <v>0</v>
      </c>
      <c r="AT2069" s="24" t="str">
        <f t="shared" si="613"/>
        <v>0-3 months</v>
      </c>
    </row>
    <row r="2070" spans="1:46" s="12" customFormat="1">
      <c r="A2070" s="33" t="str">
        <f t="shared" si="601"/>
        <v>FY 22/23</v>
      </c>
      <c r="B2070" s="152">
        <v>2022</v>
      </c>
      <c r="C2070" s="152">
        <v>10</v>
      </c>
      <c r="D2070" s="33" t="str">
        <f t="shared" si="602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3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4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18"/>
        <v>1.13</v>
      </c>
      <c r="Z2070" s="18">
        <f t="shared" si="615"/>
        <v>925000</v>
      </c>
      <c r="AA2070" s="13">
        <v>1.1000000000000001</v>
      </c>
      <c r="AB2070" s="21">
        <f t="shared" si="605"/>
        <v>900442.47787610639</v>
      </c>
      <c r="AC2070" s="130">
        <f t="shared" si="606"/>
        <v>162169.69026548677</v>
      </c>
      <c r="AD2070" s="169">
        <v>0.18010000000000001</v>
      </c>
      <c r="AE2070" s="154">
        <f t="shared" si="607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6"/>
        <v>22717528.991150443</v>
      </c>
      <c r="AJ2070" s="19">
        <f t="shared" si="617"/>
        <v>3947747.192555753</v>
      </c>
      <c r="AK2070" s="20">
        <f t="shared" si="608"/>
        <v>0.1737753782153679</v>
      </c>
      <c r="AL2070" s="17"/>
      <c r="AM2070" s="17"/>
      <c r="AN2070" s="17"/>
      <c r="AO2070" s="17"/>
      <c r="AP2070" s="28" t="str">
        <f t="shared" si="609"/>
        <v>202210</v>
      </c>
      <c r="AQ2070" s="28" t="str">
        <f t="shared" si="610"/>
        <v>202210RMB</v>
      </c>
      <c r="AR2070" s="206" t="str">
        <f t="shared" si="611"/>
        <v>YAMAHA_Mounter</v>
      </c>
      <c r="AS2070" s="22">
        <f t="shared" si="612"/>
        <v>0</v>
      </c>
      <c r="AT2070" s="24" t="str">
        <f t="shared" si="613"/>
        <v>0-3 months</v>
      </c>
    </row>
    <row r="2071" spans="1:46" s="12" customFormat="1">
      <c r="A2071" s="33" t="str">
        <f t="shared" si="601"/>
        <v>FY 22/23</v>
      </c>
      <c r="B2071" s="152">
        <v>2022</v>
      </c>
      <c r="C2071" s="152">
        <v>10</v>
      </c>
      <c r="D2071" s="33" t="str">
        <f t="shared" si="602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3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4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18"/>
        <v>1.13</v>
      </c>
      <c r="Z2071" s="18">
        <f t="shared" si="615"/>
        <v>925000</v>
      </c>
      <c r="AA2071" s="13">
        <v>1.1000000000000001</v>
      </c>
      <c r="AB2071" s="21">
        <f t="shared" si="605"/>
        <v>900442.47787610639</v>
      </c>
      <c r="AC2071" s="130">
        <f t="shared" si="606"/>
        <v>162169.69026548677</v>
      </c>
      <c r="AD2071" s="172">
        <v>0.18010000000000001</v>
      </c>
      <c r="AE2071" s="154">
        <f t="shared" si="607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6"/>
        <v>22717528.991150443</v>
      </c>
      <c r="AJ2071" s="19">
        <f t="shared" si="617"/>
        <v>3947747.192555753</v>
      </c>
      <c r="AK2071" s="20">
        <f t="shared" si="608"/>
        <v>0.1737753782153679</v>
      </c>
      <c r="AL2071" s="17"/>
      <c r="AM2071" s="17"/>
      <c r="AN2071" s="17"/>
      <c r="AO2071" s="17"/>
      <c r="AP2071" s="28" t="str">
        <f t="shared" si="609"/>
        <v>202210</v>
      </c>
      <c r="AQ2071" s="28" t="str">
        <f t="shared" si="610"/>
        <v>202210RMB</v>
      </c>
      <c r="AR2071" s="206" t="str">
        <f t="shared" si="611"/>
        <v>YAMAHA_Mounter</v>
      </c>
      <c r="AS2071" s="22">
        <f t="shared" si="612"/>
        <v>0</v>
      </c>
      <c r="AT2071" s="24" t="str">
        <f t="shared" si="613"/>
        <v>0-3 months</v>
      </c>
    </row>
    <row r="2072" spans="1:46" s="12" customFormat="1">
      <c r="A2072" s="33" t="str">
        <f t="shared" si="601"/>
        <v>FY 22/23</v>
      </c>
      <c r="B2072" s="152">
        <v>2022</v>
      </c>
      <c r="C2072" s="152">
        <v>10</v>
      </c>
      <c r="D2072" s="33" t="str">
        <f t="shared" si="602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3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4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18"/>
        <v>1.13</v>
      </c>
      <c r="Z2072" s="18">
        <f t="shared" si="615"/>
        <v>710800</v>
      </c>
      <c r="AA2072" s="13">
        <v>1.1000000000000001</v>
      </c>
      <c r="AB2072" s="21">
        <f t="shared" si="605"/>
        <v>691929.20353982307</v>
      </c>
      <c r="AC2072" s="130">
        <f t="shared" si="606"/>
        <v>124616.44955752214</v>
      </c>
      <c r="AD2072" s="172">
        <v>0.18010000000000001</v>
      </c>
      <c r="AE2072" s="154">
        <f t="shared" si="607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6"/>
        <v>22717528.991150443</v>
      </c>
      <c r="AJ2072" s="19">
        <f t="shared" si="617"/>
        <v>3947747.192555753</v>
      </c>
      <c r="AK2072" s="20">
        <f t="shared" si="608"/>
        <v>0.1737753782153679</v>
      </c>
      <c r="AL2072" s="17"/>
      <c r="AM2072" s="17"/>
      <c r="AN2072" s="17"/>
      <c r="AO2072" s="17"/>
      <c r="AP2072" s="28" t="str">
        <f t="shared" si="609"/>
        <v>202210</v>
      </c>
      <c r="AQ2072" s="28" t="str">
        <f t="shared" si="610"/>
        <v>202210RMB</v>
      </c>
      <c r="AR2072" s="206" t="str">
        <f t="shared" si="611"/>
        <v>YAMAHA_Mounter</v>
      </c>
      <c r="AS2072" s="22">
        <f t="shared" si="612"/>
        <v>0</v>
      </c>
      <c r="AT2072" s="24" t="str">
        <f t="shared" si="613"/>
        <v>0-3 months</v>
      </c>
    </row>
    <row r="2073" spans="1:46" s="12" customFormat="1">
      <c r="A2073" s="33" t="str">
        <f t="shared" si="601"/>
        <v>FY 22/23</v>
      </c>
      <c r="B2073" s="152">
        <v>2022</v>
      </c>
      <c r="C2073" s="152">
        <v>10</v>
      </c>
      <c r="D2073" s="33" t="str">
        <f t="shared" si="602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3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4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18"/>
        <v>1.13</v>
      </c>
      <c r="Z2073" s="18">
        <f t="shared" si="615"/>
        <v>710800</v>
      </c>
      <c r="AA2073" s="13">
        <v>1.1000000000000001</v>
      </c>
      <c r="AB2073" s="21">
        <f t="shared" si="605"/>
        <v>691929.20353982307</v>
      </c>
      <c r="AC2073" s="130">
        <f t="shared" si="606"/>
        <v>124616.44955752214</v>
      </c>
      <c r="AD2073" s="169">
        <v>0.18010000000000001</v>
      </c>
      <c r="AE2073" s="154">
        <f t="shared" si="607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6"/>
        <v>22717528.991150443</v>
      </c>
      <c r="AJ2073" s="19">
        <f t="shared" si="617"/>
        <v>3947747.192555753</v>
      </c>
      <c r="AK2073" s="20">
        <f t="shared" si="608"/>
        <v>0.1737753782153679</v>
      </c>
      <c r="AL2073" s="17"/>
      <c r="AM2073" s="17"/>
      <c r="AN2073" s="17"/>
      <c r="AO2073" s="17"/>
      <c r="AP2073" s="28" t="str">
        <f t="shared" si="609"/>
        <v>202210</v>
      </c>
      <c r="AQ2073" s="28" t="str">
        <f t="shared" si="610"/>
        <v>202210RMB</v>
      </c>
      <c r="AR2073" s="206" t="str">
        <f t="shared" si="611"/>
        <v>YAMAHA_Mounter</v>
      </c>
      <c r="AS2073" s="22">
        <f t="shared" si="612"/>
        <v>0</v>
      </c>
      <c r="AT2073" s="24" t="str">
        <f t="shared" si="613"/>
        <v>0-3 months</v>
      </c>
    </row>
    <row r="2074" spans="1:46" s="12" customFormat="1">
      <c r="A2074" s="33" t="str">
        <f t="shared" si="601"/>
        <v>FY 22/23</v>
      </c>
      <c r="B2074" s="152">
        <v>2022</v>
      </c>
      <c r="C2074" s="152">
        <v>11</v>
      </c>
      <c r="D2074" s="33" t="str">
        <f t="shared" si="602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3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4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18"/>
        <v>1.13</v>
      </c>
      <c r="Z2074" s="18">
        <f t="shared" si="615"/>
        <v>990000</v>
      </c>
      <c r="AA2074" s="13">
        <v>1.08</v>
      </c>
      <c r="AB2074" s="21">
        <f t="shared" si="605"/>
        <v>946194.69026548683</v>
      </c>
      <c r="AC2074" s="130">
        <f t="shared" si="606"/>
        <v>174194.44247787615</v>
      </c>
      <c r="AD2074" s="169">
        <v>0.18410000000000001</v>
      </c>
      <c r="AE2074" s="154">
        <f t="shared" si="607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6"/>
        <v>31017966.201968137</v>
      </c>
      <c r="AJ2074" s="19">
        <f t="shared" si="617"/>
        <v>4704250.3347305888</v>
      </c>
      <c r="AK2074" s="20">
        <f t="shared" si="608"/>
        <v>0.15166211427595458</v>
      </c>
      <c r="AL2074" s="17"/>
      <c r="AM2074" s="17"/>
      <c r="AN2074" s="17"/>
      <c r="AO2074" s="17"/>
      <c r="AP2074" s="28" t="str">
        <f t="shared" si="609"/>
        <v>202211</v>
      </c>
      <c r="AQ2074" s="28" t="str">
        <f t="shared" si="610"/>
        <v>202211RMB</v>
      </c>
      <c r="AR2074" s="206" t="str">
        <f t="shared" si="611"/>
        <v>YAMAHA_Mounter</v>
      </c>
      <c r="AS2074" s="22">
        <f t="shared" si="612"/>
        <v>0</v>
      </c>
      <c r="AT2074" s="24" t="str">
        <f t="shared" si="613"/>
        <v>0-3 months</v>
      </c>
    </row>
    <row r="2075" spans="1:46" s="12" customFormat="1">
      <c r="A2075" s="33" t="str">
        <f t="shared" si="601"/>
        <v>FY 22/23</v>
      </c>
      <c r="B2075" s="152">
        <v>2022</v>
      </c>
      <c r="C2075" s="152">
        <v>11</v>
      </c>
      <c r="D2075" s="33" t="str">
        <f t="shared" si="602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3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4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18"/>
        <v>1.13</v>
      </c>
      <c r="Z2075" s="18">
        <f t="shared" si="615"/>
        <v>990000</v>
      </c>
      <c r="AA2075" s="13">
        <v>1.08</v>
      </c>
      <c r="AB2075" s="21">
        <f t="shared" si="605"/>
        <v>946194.69026548683</v>
      </c>
      <c r="AC2075" s="130">
        <f t="shared" si="606"/>
        <v>174194.44247787615</v>
      </c>
      <c r="AD2075" s="169">
        <v>0.18410000000000001</v>
      </c>
      <c r="AE2075" s="154">
        <f t="shared" si="607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6"/>
        <v>31017966.201968137</v>
      </c>
      <c r="AJ2075" s="19">
        <f t="shared" si="617"/>
        <v>4704250.3347305888</v>
      </c>
      <c r="AK2075" s="20">
        <f t="shared" si="608"/>
        <v>0.15166211427595458</v>
      </c>
      <c r="AL2075" s="17"/>
      <c r="AM2075" s="17"/>
      <c r="AN2075" s="17"/>
      <c r="AO2075" s="17"/>
      <c r="AP2075" s="28" t="str">
        <f t="shared" si="609"/>
        <v>202211</v>
      </c>
      <c r="AQ2075" s="28" t="str">
        <f t="shared" si="610"/>
        <v>202211RMB</v>
      </c>
      <c r="AR2075" s="206" t="str">
        <f t="shared" si="611"/>
        <v>YAMAHA_Mounter</v>
      </c>
      <c r="AS2075" s="22">
        <f t="shared" si="612"/>
        <v>0</v>
      </c>
      <c r="AT2075" s="24" t="str">
        <f t="shared" si="613"/>
        <v>0-3 months</v>
      </c>
    </row>
    <row r="2076" spans="1:46" s="12" customFormat="1">
      <c r="A2076" s="33" t="str">
        <f t="shared" si="601"/>
        <v>FY 22/23</v>
      </c>
      <c r="B2076" s="152">
        <v>2022</v>
      </c>
      <c r="C2076" s="152">
        <v>11</v>
      </c>
      <c r="D2076" s="33" t="str">
        <f t="shared" si="602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3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4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18"/>
        <v>1.13</v>
      </c>
      <c r="Z2076" s="18">
        <f t="shared" si="615"/>
        <v>990000</v>
      </c>
      <c r="AA2076" s="13">
        <v>1.08</v>
      </c>
      <c r="AB2076" s="21">
        <f t="shared" si="605"/>
        <v>946194.69026548683</v>
      </c>
      <c r="AC2076" s="130">
        <f t="shared" si="606"/>
        <v>174194.44247787615</v>
      </c>
      <c r="AD2076" s="169">
        <v>0.18410000000000001</v>
      </c>
      <c r="AE2076" s="154">
        <f t="shared" si="607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6"/>
        <v>31017966.201968137</v>
      </c>
      <c r="AJ2076" s="19">
        <f t="shared" si="617"/>
        <v>4704250.3347305888</v>
      </c>
      <c r="AK2076" s="20">
        <f t="shared" si="608"/>
        <v>0.15166211427595458</v>
      </c>
      <c r="AL2076" s="17"/>
      <c r="AM2076" s="17"/>
      <c r="AN2076" s="17"/>
      <c r="AO2076" s="17"/>
      <c r="AP2076" s="28" t="str">
        <f t="shared" si="609"/>
        <v>202211</v>
      </c>
      <c r="AQ2076" s="28" t="str">
        <f t="shared" si="610"/>
        <v>202211RMB</v>
      </c>
      <c r="AR2076" s="206" t="str">
        <f t="shared" si="611"/>
        <v>YAMAHA_Mounter</v>
      </c>
      <c r="AS2076" s="22">
        <f t="shared" si="612"/>
        <v>0</v>
      </c>
      <c r="AT2076" s="24" t="str">
        <f t="shared" si="613"/>
        <v>0-3 months</v>
      </c>
    </row>
    <row r="2077" spans="1:46" s="12" customFormat="1">
      <c r="A2077" s="33" t="str">
        <f t="shared" si="601"/>
        <v>FY 22/23</v>
      </c>
      <c r="B2077" s="152">
        <v>2022</v>
      </c>
      <c r="C2077" s="152">
        <v>11</v>
      </c>
      <c r="D2077" s="33" t="str">
        <f t="shared" si="602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3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4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18"/>
        <v>1.13</v>
      </c>
      <c r="Z2077" s="18">
        <f t="shared" si="615"/>
        <v>990000</v>
      </c>
      <c r="AA2077" s="13">
        <v>1.08</v>
      </c>
      <c r="AB2077" s="21">
        <f t="shared" si="605"/>
        <v>946194.69026548683</v>
      </c>
      <c r="AC2077" s="130">
        <f t="shared" si="606"/>
        <v>174194.44247787615</v>
      </c>
      <c r="AD2077" s="169">
        <v>0.18410000000000001</v>
      </c>
      <c r="AE2077" s="154">
        <f t="shared" si="607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6"/>
        <v>31017966.201968137</v>
      </c>
      <c r="AJ2077" s="19">
        <f t="shared" si="617"/>
        <v>4704250.3347305888</v>
      </c>
      <c r="AK2077" s="20">
        <f t="shared" si="608"/>
        <v>0.15166211427595458</v>
      </c>
      <c r="AL2077" s="17"/>
      <c r="AM2077" s="17"/>
      <c r="AN2077" s="17"/>
      <c r="AO2077" s="17"/>
      <c r="AP2077" s="28" t="str">
        <f t="shared" si="609"/>
        <v>202211</v>
      </c>
      <c r="AQ2077" s="28" t="str">
        <f t="shared" si="610"/>
        <v>202211RMB</v>
      </c>
      <c r="AR2077" s="206" t="str">
        <f t="shared" si="611"/>
        <v>YAMAHA_Mounter</v>
      </c>
      <c r="AS2077" s="22">
        <f t="shared" si="612"/>
        <v>0</v>
      </c>
      <c r="AT2077" s="24" t="str">
        <f t="shared" si="613"/>
        <v>0-3 months</v>
      </c>
    </row>
    <row r="2078" spans="1:46" s="12" customFormat="1">
      <c r="A2078" s="33" t="str">
        <f t="shared" si="601"/>
        <v>FY 22/23</v>
      </c>
      <c r="B2078" s="152">
        <v>2022</v>
      </c>
      <c r="C2078" s="152">
        <v>11</v>
      </c>
      <c r="D2078" s="33" t="str">
        <f t="shared" si="602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3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4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18"/>
        <v>1.13</v>
      </c>
      <c r="Z2078" s="18">
        <f t="shared" si="615"/>
        <v>851000</v>
      </c>
      <c r="AA2078" s="13">
        <v>1.08</v>
      </c>
      <c r="AB2078" s="21">
        <f t="shared" si="605"/>
        <v>813345.13274336304</v>
      </c>
      <c r="AC2078" s="130">
        <f t="shared" si="606"/>
        <v>149736.83893805314</v>
      </c>
      <c r="AD2078" s="169">
        <v>0.18410000000000001</v>
      </c>
      <c r="AE2078" s="154">
        <f t="shared" si="607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6"/>
        <v>31017966.201968137</v>
      </c>
      <c r="AJ2078" s="19">
        <f t="shared" si="617"/>
        <v>4704250.3347305888</v>
      </c>
      <c r="AK2078" s="20">
        <f t="shared" si="608"/>
        <v>0.15166211427595458</v>
      </c>
      <c r="AL2078" s="17"/>
      <c r="AM2078" s="17"/>
      <c r="AN2078" s="17"/>
      <c r="AO2078" s="17"/>
      <c r="AP2078" s="28" t="str">
        <f t="shared" si="609"/>
        <v>202211</v>
      </c>
      <c r="AQ2078" s="28" t="str">
        <f t="shared" si="610"/>
        <v>202211RMB</v>
      </c>
      <c r="AR2078" s="206" t="str">
        <f t="shared" si="611"/>
        <v>YAMAHA_Mounter</v>
      </c>
      <c r="AS2078" s="22">
        <f t="shared" si="612"/>
        <v>0</v>
      </c>
      <c r="AT2078" s="24" t="str">
        <f t="shared" si="613"/>
        <v>0-3 months</v>
      </c>
    </row>
    <row r="2079" spans="1:46" s="12" customFormat="1">
      <c r="A2079" s="33" t="str">
        <f t="shared" si="601"/>
        <v>FY 22/23</v>
      </c>
      <c r="B2079" s="152">
        <v>2022</v>
      </c>
      <c r="C2079" s="152">
        <v>11</v>
      </c>
      <c r="D2079" s="33" t="str">
        <f t="shared" si="602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3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4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18"/>
        <v>1.13</v>
      </c>
      <c r="Z2079" s="18">
        <f t="shared" si="615"/>
        <v>851000</v>
      </c>
      <c r="AA2079" s="13">
        <v>1.08</v>
      </c>
      <c r="AB2079" s="21">
        <f t="shared" si="605"/>
        <v>813345.13274336304</v>
      </c>
      <c r="AC2079" s="130">
        <f t="shared" si="606"/>
        <v>149736.83893805314</v>
      </c>
      <c r="AD2079" s="169">
        <v>0.18410000000000001</v>
      </c>
      <c r="AE2079" s="154">
        <f t="shared" si="607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6"/>
        <v>31017966.201968137</v>
      </c>
      <c r="AJ2079" s="19">
        <f t="shared" si="617"/>
        <v>4704250.3347305888</v>
      </c>
      <c r="AK2079" s="20">
        <f t="shared" si="608"/>
        <v>0.15166211427595458</v>
      </c>
      <c r="AL2079" s="17"/>
      <c r="AM2079" s="17"/>
      <c r="AN2079" s="17"/>
      <c r="AO2079" s="17"/>
      <c r="AP2079" s="28" t="str">
        <f t="shared" si="609"/>
        <v>202211</v>
      </c>
      <c r="AQ2079" s="28" t="str">
        <f t="shared" si="610"/>
        <v>202211RMB</v>
      </c>
      <c r="AR2079" s="206" t="str">
        <f t="shared" si="611"/>
        <v>YAMAHA_Mounter</v>
      </c>
      <c r="AS2079" s="22">
        <f t="shared" si="612"/>
        <v>0</v>
      </c>
      <c r="AT2079" s="24" t="str">
        <f t="shared" si="613"/>
        <v>0-3 months</v>
      </c>
    </row>
    <row r="2080" spans="1:46" s="12" customFormat="1">
      <c r="A2080" s="33" t="str">
        <f t="shared" ref="A2080:A2143" si="619">IF(C2080="cancel","cancel",IFERROR(IF(D2080="Q4","FY "&amp;RIGHT(B2080,2)-1&amp;"/"&amp;RIGHT(B2080,2),"FY "&amp;RIGHT(B2080,2)&amp;"/"&amp;RIGHT(B2080,2)+1),""))</f>
        <v>FY 22/23</v>
      </c>
      <c r="B2080" s="152">
        <v>2022</v>
      </c>
      <c r="C2080" s="152">
        <v>11</v>
      </c>
      <c r="D2080" s="33" t="str">
        <f t="shared" ref="D2080:D2143" si="620">IF(B2080="","",IF(AND(C2080&gt;=10,C2080&lt;=12),"Q3",IF(AND(C2080&gt;=1,C2080&lt;=3),"Q4",IF(AND(C2080&gt;=7,C2080&lt;=9),"Q2",IF(AND(C2080&gt;=4,C2080&lt;=6),"Q1")))))</f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ref="I2080:I2143" si="621">IFERROR(IF(F2080="","",IF(F2080="TBA","TBA",IF(F2080="Cancel","Cancel",IF(AND(G2080&gt;=10,G2080&lt;=12),"Q3",IF(AND(G2080&gt;=1,G2080&lt;=3),"Q4",IF(AND(G2080&gt;=7,G2080&lt;=9),"Q2",IF(AND(G2080&gt;=4,G2080&lt;=6),"Q1"))))))),"")</f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ref="P2080:P2143" si="622">IF(M2080="","",IF(AND(N2080&gt;0,L2080&lt;&gt;""),"MAIN UNIT",IF(AND(O2080&gt;0,L2080&lt;&gt;""),"SERVICE/ PARTS","C66 SERVICE/OTHERS")))</f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18"/>
        <v>1.13</v>
      </c>
      <c r="Z2080" s="18">
        <f t="shared" si="615"/>
        <v>851000</v>
      </c>
      <c r="AA2080" s="13">
        <v>1.08</v>
      </c>
      <c r="AB2080" s="21">
        <f t="shared" ref="AB2080:AB2143" si="623">IF(AND(R2080&lt;&gt;"C66",R2080&lt;&gt;""),Z2080/Y2080*AA2080,"")</f>
        <v>813345.13274336304</v>
      </c>
      <c r="AC2080" s="130">
        <f t="shared" ref="AC2080:AC2143" si="624">IF(R2080&lt;&gt;"",AB2080*AD2080,"")</f>
        <v>149736.83893805314</v>
      </c>
      <c r="AD2080" s="169">
        <v>0.18410000000000001</v>
      </c>
      <c r="AE2080" s="154">
        <f t="shared" ref="AE2080:AE2143" si="625">IF(Q2080="","",IF(Q2080="Yes",1,0))</f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6"/>
        <v>31017966.201968137</v>
      </c>
      <c r="AJ2080" s="19">
        <f t="shared" si="617"/>
        <v>4704250.3347305888</v>
      </c>
      <c r="AK2080" s="20">
        <f t="shared" ref="AK2080:AK2143" si="626">IF(AJ2080&gt;0,AJ2080/AI2080,"")</f>
        <v>0.15166211427595458</v>
      </c>
      <c r="AL2080" s="17"/>
      <c r="AM2080" s="17"/>
      <c r="AN2080" s="17"/>
      <c r="AO2080" s="17"/>
      <c r="AP2080" s="28" t="str">
        <f t="shared" ref="AP2080:AP2143" si="627">IF(F2080="","",F2080&amp;G2080)</f>
        <v>202211</v>
      </c>
      <c r="AQ2080" s="28" t="str">
        <f t="shared" ref="AQ2080:AQ2143" si="628">IF(W2080="","",F2080&amp;G2080&amp;W2080)</f>
        <v>202211RMB</v>
      </c>
      <c r="AR2080" s="206" t="str">
        <f t="shared" ref="AR2080:AR2143" si="629">IFERROR(IF(AND(M2080="YAMAHA", R2080="C28"), "YAMAHA_Non_Mounter", IF(AND(M2080="YAMAHA", R2080="C49"), "YAMAHA_Mounter", M2080)),"")</f>
        <v>YAMAHA_Mounter</v>
      </c>
      <c r="AS2080" s="22">
        <f t="shared" ref="AS2080:AS2143" si="630">IFERROR(IF(OR(G2080="TBA", G2080=""), "", DATEDIF(DATE(B2080, C2080, 1), DATE(F2080, G2080, 1), "M")),"")</f>
        <v>0</v>
      </c>
      <c r="AT2080" s="24" t="str">
        <f t="shared" ref="AT2080:AT2143" si="631">IF(ISNUMBER(AS2080), IF(AS2080&gt;=0, IF(AS2080&lt;=3, "0-3 months", IF(AS2080&lt;=6, "4-6 months", "&gt; 6 months"))), "")</f>
        <v>0-3 months</v>
      </c>
    </row>
    <row r="2081" spans="1:46" s="12" customFormat="1">
      <c r="A2081" s="33" t="str">
        <f t="shared" si="619"/>
        <v>FY 22/23</v>
      </c>
      <c r="B2081" s="152">
        <v>2022</v>
      </c>
      <c r="C2081" s="152">
        <v>11</v>
      </c>
      <c r="D2081" s="33" t="str">
        <f t="shared" si="620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21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22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18"/>
        <v>1.13</v>
      </c>
      <c r="Z2081" s="18">
        <f t="shared" si="615"/>
        <v>851000</v>
      </c>
      <c r="AA2081" s="13">
        <v>1.08</v>
      </c>
      <c r="AB2081" s="21">
        <f t="shared" si="623"/>
        <v>813345.13274336304</v>
      </c>
      <c r="AC2081" s="130">
        <f t="shared" si="624"/>
        <v>149736.83893805314</v>
      </c>
      <c r="AD2081" s="169">
        <v>0.18410000000000001</v>
      </c>
      <c r="AE2081" s="154">
        <f t="shared" si="625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6"/>
        <v>31017966.201968137</v>
      </c>
      <c r="AJ2081" s="19">
        <f t="shared" si="617"/>
        <v>4704250.3347305888</v>
      </c>
      <c r="AK2081" s="20">
        <f t="shared" si="626"/>
        <v>0.15166211427595458</v>
      </c>
      <c r="AL2081" s="17"/>
      <c r="AM2081" s="17"/>
      <c r="AN2081" s="17"/>
      <c r="AO2081" s="17"/>
      <c r="AP2081" s="28" t="str">
        <f t="shared" si="627"/>
        <v>202211</v>
      </c>
      <c r="AQ2081" s="28" t="str">
        <f t="shared" si="628"/>
        <v>202211RMB</v>
      </c>
      <c r="AR2081" s="206" t="str">
        <f t="shared" si="629"/>
        <v>YAMAHA_Mounter</v>
      </c>
      <c r="AS2081" s="22">
        <f t="shared" si="630"/>
        <v>0</v>
      </c>
      <c r="AT2081" s="24" t="str">
        <f t="shared" si="631"/>
        <v>0-3 months</v>
      </c>
    </row>
    <row r="2082" spans="1:46" s="12" customFormat="1">
      <c r="A2082" s="33" t="str">
        <f t="shared" si="619"/>
        <v>cancel</v>
      </c>
      <c r="B2082" s="152"/>
      <c r="C2082" s="152" t="s">
        <v>186</v>
      </c>
      <c r="D2082" s="33" t="str">
        <f t="shared" si="620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21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22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15"/>
        <v>30000000</v>
      </c>
      <c r="AA2082" s="13">
        <v>7.2099999999999997E-2</v>
      </c>
      <c r="AB2082" s="21">
        <f t="shared" si="623"/>
        <v>2163000</v>
      </c>
      <c r="AC2082" s="130">
        <f t="shared" si="624"/>
        <v>259560</v>
      </c>
      <c r="AD2082" s="169">
        <v>0.12</v>
      </c>
      <c r="AE2082" s="154">
        <f t="shared" si="625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6"/>
        <v>477651199.57437885</v>
      </c>
      <c r="AJ2082" s="19">
        <f t="shared" si="617"/>
        <v>56918800.518691957</v>
      </c>
      <c r="AK2082" s="20">
        <f t="shared" si="626"/>
        <v>0.11916394341605475</v>
      </c>
      <c r="AL2082" s="17"/>
      <c r="AM2082" s="17"/>
      <c r="AN2082" s="17"/>
      <c r="AO2082" s="17"/>
      <c r="AP2082" s="28" t="str">
        <f t="shared" si="627"/>
        <v>CancelCancel</v>
      </c>
      <c r="AQ2082" s="28" t="str">
        <f t="shared" si="628"/>
        <v>CancelCancelJPY</v>
      </c>
      <c r="AR2082" s="206" t="str">
        <f t="shared" si="629"/>
        <v>YAMAHA_Mounter</v>
      </c>
      <c r="AS2082" s="22" t="str">
        <f t="shared" si="630"/>
        <v/>
      </c>
      <c r="AT2082" s="24" t="str">
        <f t="shared" si="631"/>
        <v/>
      </c>
    </row>
    <row r="2083" spans="1:46" s="12" customFormat="1">
      <c r="A2083" s="33" t="str">
        <f t="shared" si="619"/>
        <v>cancel</v>
      </c>
      <c r="B2083" s="152"/>
      <c r="C2083" s="152" t="s">
        <v>186</v>
      </c>
      <c r="D2083" s="33" t="str">
        <f t="shared" si="620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21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22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15"/>
        <v>23880000</v>
      </c>
      <c r="AA2083" s="13">
        <v>7.2099999999999997E-2</v>
      </c>
      <c r="AB2083" s="21">
        <f t="shared" si="623"/>
        <v>1721748</v>
      </c>
      <c r="AC2083" s="130">
        <f t="shared" si="624"/>
        <v>206609.75999999998</v>
      </c>
      <c r="AD2083" s="169">
        <v>0.12</v>
      </c>
      <c r="AE2083" s="154">
        <f t="shared" si="625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6"/>
        <v>477651199.57437885</v>
      </c>
      <c r="AJ2083" s="19">
        <f t="shared" si="617"/>
        <v>56918800.518691957</v>
      </c>
      <c r="AK2083" s="20">
        <f t="shared" si="626"/>
        <v>0.11916394341605475</v>
      </c>
      <c r="AL2083" s="17"/>
      <c r="AM2083" s="17"/>
      <c r="AN2083" s="17"/>
      <c r="AO2083" s="17"/>
      <c r="AP2083" s="28" t="str">
        <f t="shared" si="627"/>
        <v>CancelCancel</v>
      </c>
      <c r="AQ2083" s="28" t="str">
        <f t="shared" si="628"/>
        <v>CancelCancelJPY</v>
      </c>
      <c r="AR2083" s="206" t="str">
        <f t="shared" si="629"/>
        <v>YAMAHA_Mounter</v>
      </c>
      <c r="AS2083" s="22" t="str">
        <f t="shared" si="630"/>
        <v/>
      </c>
      <c r="AT2083" s="24" t="str">
        <f t="shared" si="631"/>
        <v/>
      </c>
    </row>
    <row r="2084" spans="1:46" s="12" customFormat="1">
      <c r="A2084" s="33" t="str">
        <f t="shared" si="619"/>
        <v>FY 17/18</v>
      </c>
      <c r="B2084" s="152">
        <v>2018</v>
      </c>
      <c r="C2084" s="152">
        <v>1</v>
      </c>
      <c r="D2084" s="33" t="str">
        <f t="shared" si="620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21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22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15"/>
        <v>30000000</v>
      </c>
      <c r="AA2084" s="13">
        <v>7.0699999999999999E-2</v>
      </c>
      <c r="AB2084" s="21">
        <f t="shared" si="623"/>
        <v>2121000</v>
      </c>
      <c r="AC2084" s="130">
        <f t="shared" si="624"/>
        <v>254520</v>
      </c>
      <c r="AD2084" s="169">
        <v>0.12</v>
      </c>
      <c r="AE2084" s="154">
        <f t="shared" si="625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6"/>
        <v>477651199.57437885</v>
      </c>
      <c r="AJ2084" s="19">
        <f t="shared" si="617"/>
        <v>56918800.518691957</v>
      </c>
      <c r="AK2084" s="20">
        <f t="shared" si="626"/>
        <v>0.11916394341605475</v>
      </c>
      <c r="AL2084" s="17"/>
      <c r="AM2084" s="17"/>
      <c r="AN2084" s="17"/>
      <c r="AO2084" s="17"/>
      <c r="AP2084" s="28" t="str">
        <f t="shared" si="627"/>
        <v>CancelCancel</v>
      </c>
      <c r="AQ2084" s="28" t="str">
        <f t="shared" si="628"/>
        <v>CancelCancelJPY</v>
      </c>
      <c r="AR2084" s="206" t="str">
        <f t="shared" si="629"/>
        <v>YAMAHA_Mounter</v>
      </c>
      <c r="AS2084" s="22" t="str">
        <f t="shared" si="630"/>
        <v/>
      </c>
      <c r="AT2084" s="24" t="str">
        <f t="shared" si="631"/>
        <v/>
      </c>
    </row>
    <row r="2085" spans="1:46" s="12" customFormat="1">
      <c r="A2085" s="33" t="str">
        <f t="shared" si="619"/>
        <v>FY 18/19</v>
      </c>
      <c r="B2085" s="152">
        <v>2018</v>
      </c>
      <c r="C2085" s="152">
        <v>7</v>
      </c>
      <c r="D2085" s="33" t="str">
        <f t="shared" si="620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21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22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15"/>
        <v>13500000</v>
      </c>
      <c r="AA2085" s="13">
        <v>7.0199999999999999E-2</v>
      </c>
      <c r="AB2085" s="21">
        <f t="shared" si="623"/>
        <v>947700</v>
      </c>
      <c r="AC2085" s="130">
        <f t="shared" si="624"/>
        <v>113724</v>
      </c>
      <c r="AD2085" s="169">
        <v>0.12</v>
      </c>
      <c r="AE2085" s="154">
        <f t="shared" si="625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6"/>
        <v>477651199.57437885</v>
      </c>
      <c r="AJ2085" s="19">
        <f t="shared" si="617"/>
        <v>56918800.518691957</v>
      </c>
      <c r="AK2085" s="20">
        <f t="shared" si="626"/>
        <v>0.11916394341605475</v>
      </c>
      <c r="AL2085" s="17"/>
      <c r="AM2085" s="17"/>
      <c r="AN2085" s="17"/>
      <c r="AO2085" s="17" t="s">
        <v>615</v>
      </c>
      <c r="AP2085" s="28" t="str">
        <f t="shared" si="627"/>
        <v>CancelCancel</v>
      </c>
      <c r="AQ2085" s="28" t="str">
        <f t="shared" si="628"/>
        <v>CancelCancelJPY</v>
      </c>
      <c r="AR2085" s="206" t="str">
        <f t="shared" si="629"/>
        <v>YAMAHA_Mounter</v>
      </c>
      <c r="AS2085" s="22" t="str">
        <f t="shared" si="630"/>
        <v/>
      </c>
      <c r="AT2085" s="24" t="str">
        <f t="shared" si="631"/>
        <v/>
      </c>
    </row>
    <row r="2086" spans="1:46" s="12" customFormat="1">
      <c r="A2086" s="33" t="str">
        <f t="shared" si="619"/>
        <v>FY 18/19</v>
      </c>
      <c r="B2086" s="152">
        <v>2018</v>
      </c>
      <c r="C2086" s="152">
        <v>7</v>
      </c>
      <c r="D2086" s="33" t="str">
        <f t="shared" si="620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21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22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15"/>
        <v>13500000</v>
      </c>
      <c r="AA2086" s="13">
        <v>7.2300000000000003E-2</v>
      </c>
      <c r="AB2086" s="21">
        <f t="shared" si="623"/>
        <v>976050</v>
      </c>
      <c r="AC2086" s="130">
        <f t="shared" si="624"/>
        <v>117126</v>
      </c>
      <c r="AD2086" s="169">
        <v>0.12</v>
      </c>
      <c r="AE2086" s="154">
        <f t="shared" si="625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6"/>
        <v>477651199.57437885</v>
      </c>
      <c r="AJ2086" s="19">
        <f t="shared" si="617"/>
        <v>56918800.518691957</v>
      </c>
      <c r="AK2086" s="20">
        <f t="shared" si="626"/>
        <v>0.11916394341605475</v>
      </c>
      <c r="AL2086" s="17"/>
      <c r="AM2086" s="17"/>
      <c r="AN2086" s="17"/>
      <c r="AO2086" s="17"/>
      <c r="AP2086" s="28" t="str">
        <f t="shared" si="627"/>
        <v>CancelCancel</v>
      </c>
      <c r="AQ2086" s="28" t="str">
        <f t="shared" si="628"/>
        <v>CancelCancelJPY</v>
      </c>
      <c r="AR2086" s="206" t="str">
        <f t="shared" si="629"/>
        <v>YAMAHA_Mounter</v>
      </c>
      <c r="AS2086" s="22" t="str">
        <f t="shared" si="630"/>
        <v/>
      </c>
      <c r="AT2086" s="24" t="str">
        <f t="shared" si="631"/>
        <v/>
      </c>
    </row>
    <row r="2087" spans="1:46" s="12" customFormat="1">
      <c r="A2087" s="33" t="str">
        <f t="shared" si="619"/>
        <v>FY 18/19</v>
      </c>
      <c r="B2087" s="152">
        <v>2018</v>
      </c>
      <c r="C2087" s="152">
        <v>7</v>
      </c>
      <c r="D2087" s="33" t="str">
        <f t="shared" si="620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21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22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15"/>
        <v>27000000</v>
      </c>
      <c r="AA2087" s="13">
        <v>7.0199999999999999E-2</v>
      </c>
      <c r="AB2087" s="21">
        <f t="shared" si="623"/>
        <v>1895400</v>
      </c>
      <c r="AC2087" s="130">
        <f t="shared" si="624"/>
        <v>227448</v>
      </c>
      <c r="AD2087" s="169">
        <v>0.12</v>
      </c>
      <c r="AE2087" s="154">
        <f t="shared" si="625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6"/>
        <v>477651199.57437885</v>
      </c>
      <c r="AJ2087" s="19">
        <f t="shared" si="617"/>
        <v>56918800.518691957</v>
      </c>
      <c r="AK2087" s="20">
        <f t="shared" si="626"/>
        <v>0.11916394341605475</v>
      </c>
      <c r="AL2087" s="17"/>
      <c r="AM2087" s="17"/>
      <c r="AN2087" s="17"/>
      <c r="AO2087" s="17"/>
      <c r="AP2087" s="28" t="str">
        <f t="shared" si="627"/>
        <v>CancelCancel</v>
      </c>
      <c r="AQ2087" s="28" t="str">
        <f t="shared" si="628"/>
        <v>CancelCancelJPY</v>
      </c>
      <c r="AR2087" s="206" t="str">
        <f t="shared" si="629"/>
        <v>YAMAHA_Mounter</v>
      </c>
      <c r="AS2087" s="22" t="str">
        <f t="shared" si="630"/>
        <v/>
      </c>
      <c r="AT2087" s="24" t="str">
        <f t="shared" si="631"/>
        <v/>
      </c>
    </row>
    <row r="2088" spans="1:46" s="12" customFormat="1">
      <c r="A2088" s="33" t="str">
        <f t="shared" si="619"/>
        <v>cancel</v>
      </c>
      <c r="B2088" s="152"/>
      <c r="C2088" s="152" t="s">
        <v>186</v>
      </c>
      <c r="D2088" s="33" t="str">
        <f t="shared" si="620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21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22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15"/>
        <v>15000000</v>
      </c>
      <c r="AA2088" s="13">
        <v>7.2300000000000003E-2</v>
      </c>
      <c r="AB2088" s="21">
        <f t="shared" si="623"/>
        <v>1084500</v>
      </c>
      <c r="AC2088" s="130">
        <f t="shared" si="624"/>
        <v>130140</v>
      </c>
      <c r="AD2088" s="169">
        <v>0.12</v>
      </c>
      <c r="AE2088" s="154" t="str">
        <f t="shared" si="625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6"/>
        <v>477651199.57437885</v>
      </c>
      <c r="AJ2088" s="19">
        <f t="shared" si="617"/>
        <v>56918800.518691957</v>
      </c>
      <c r="AK2088" s="20">
        <f t="shared" si="626"/>
        <v>0.11916394341605475</v>
      </c>
      <c r="AL2088" s="17"/>
      <c r="AM2088" s="17"/>
      <c r="AN2088" s="17"/>
      <c r="AO2088" s="17"/>
      <c r="AP2088" s="28" t="str">
        <f t="shared" si="627"/>
        <v>CancelCancel</v>
      </c>
      <c r="AQ2088" s="28" t="str">
        <f t="shared" si="628"/>
        <v>CancelCancelJPY</v>
      </c>
      <c r="AR2088" s="206" t="str">
        <f t="shared" si="629"/>
        <v>YAMAHA_Mounter</v>
      </c>
      <c r="AS2088" s="22" t="str">
        <f t="shared" si="630"/>
        <v/>
      </c>
      <c r="AT2088" s="24" t="str">
        <f t="shared" si="631"/>
        <v/>
      </c>
    </row>
    <row r="2089" spans="1:46" s="12" customFormat="1">
      <c r="A2089" s="33" t="str">
        <f t="shared" si="619"/>
        <v>cancel</v>
      </c>
      <c r="B2089" s="152"/>
      <c r="C2089" s="152" t="s">
        <v>186</v>
      </c>
      <c r="D2089" s="33" t="str">
        <f t="shared" si="620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21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22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15"/>
        <v>15000000</v>
      </c>
      <c r="AA2089" s="13">
        <v>7.2300000000000003E-2</v>
      </c>
      <c r="AB2089" s="21">
        <f t="shared" si="623"/>
        <v>1084500</v>
      </c>
      <c r="AC2089" s="130">
        <f t="shared" si="624"/>
        <v>130140</v>
      </c>
      <c r="AD2089" s="169">
        <v>0.12</v>
      </c>
      <c r="AE2089" s="154" t="str">
        <f t="shared" si="625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6"/>
        <v>477651199.57437885</v>
      </c>
      <c r="AJ2089" s="19">
        <f t="shared" si="617"/>
        <v>56918800.518691957</v>
      </c>
      <c r="AK2089" s="20">
        <f t="shared" si="626"/>
        <v>0.11916394341605475</v>
      </c>
      <c r="AL2089" s="17"/>
      <c r="AM2089" s="17"/>
      <c r="AN2089" s="17"/>
      <c r="AO2089" s="17"/>
      <c r="AP2089" s="28" t="str">
        <f t="shared" si="627"/>
        <v>CancelCancel</v>
      </c>
      <c r="AQ2089" s="28" t="str">
        <f t="shared" si="628"/>
        <v>CancelCancelJPY</v>
      </c>
      <c r="AR2089" s="206" t="str">
        <f t="shared" si="629"/>
        <v>YAMAHA_Mounter</v>
      </c>
      <c r="AS2089" s="22" t="str">
        <f t="shared" si="630"/>
        <v/>
      </c>
      <c r="AT2089" s="24" t="str">
        <f t="shared" si="631"/>
        <v/>
      </c>
    </row>
    <row r="2090" spans="1:46" s="12" customFormat="1">
      <c r="A2090" s="33" t="str">
        <f t="shared" si="619"/>
        <v>FY 18/19</v>
      </c>
      <c r="B2090" s="152">
        <v>2018</v>
      </c>
      <c r="C2090" s="152">
        <v>6</v>
      </c>
      <c r="D2090" s="33" t="str">
        <f t="shared" si="620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21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22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15"/>
        <v>18550000</v>
      </c>
      <c r="AA2090" s="13">
        <v>7.22E-2</v>
      </c>
      <c r="AB2090" s="21">
        <f t="shared" si="623"/>
        <v>1339310</v>
      </c>
      <c r="AC2090" s="130">
        <f t="shared" si="624"/>
        <v>216700.35800000001</v>
      </c>
      <c r="AD2090" s="169">
        <v>0.1618</v>
      </c>
      <c r="AE2090" s="154">
        <f t="shared" si="625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6"/>
        <v>47416008.333399981</v>
      </c>
      <c r="AJ2090" s="19">
        <f t="shared" si="617"/>
        <v>6981738.4465290187</v>
      </c>
      <c r="AK2090" s="20">
        <f t="shared" si="626"/>
        <v>0.14724433143839863</v>
      </c>
      <c r="AL2090" s="17"/>
      <c r="AM2090" s="17"/>
      <c r="AN2090" s="17"/>
      <c r="AO2090" s="17"/>
      <c r="AP2090" s="28" t="str">
        <f t="shared" si="627"/>
        <v>20193</v>
      </c>
      <c r="AQ2090" s="28" t="str">
        <f t="shared" si="628"/>
        <v>20193JPY</v>
      </c>
      <c r="AR2090" s="206" t="str">
        <f t="shared" si="629"/>
        <v>YAMAHA_Mounter</v>
      </c>
      <c r="AS2090" s="22">
        <f t="shared" si="630"/>
        <v>9</v>
      </c>
      <c r="AT2090" s="24" t="str">
        <f t="shared" si="631"/>
        <v>&gt; 6 months</v>
      </c>
    </row>
    <row r="2091" spans="1:46" s="12" customFormat="1">
      <c r="A2091" s="33" t="str">
        <f t="shared" si="619"/>
        <v>FY 18/19</v>
      </c>
      <c r="B2091" s="152">
        <v>2018</v>
      </c>
      <c r="C2091" s="152">
        <v>11</v>
      </c>
      <c r="D2091" s="33" t="str">
        <f t="shared" si="620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21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22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15"/>
        <v>12500000</v>
      </c>
      <c r="AA2091" s="13">
        <v>7.0400000000000004E-2</v>
      </c>
      <c r="AB2091" s="21">
        <f t="shared" si="623"/>
        <v>880000</v>
      </c>
      <c r="AC2091" s="130">
        <f t="shared" si="624"/>
        <v>104544</v>
      </c>
      <c r="AD2091" s="169">
        <v>0.1188</v>
      </c>
      <c r="AE2091" s="154">
        <f t="shared" si="625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6"/>
        <v>29840797.698275864</v>
      </c>
      <c r="AJ2091" s="19">
        <f t="shared" si="617"/>
        <v>3940167.6555448272</v>
      </c>
      <c r="AK2091" s="20">
        <f t="shared" si="626"/>
        <v>0.13203962224416277</v>
      </c>
      <c r="AL2091" s="17"/>
      <c r="AM2091" s="17"/>
      <c r="AN2091" s="17"/>
      <c r="AO2091" s="17"/>
      <c r="AP2091" s="28" t="str">
        <f t="shared" si="627"/>
        <v>201812</v>
      </c>
      <c r="AQ2091" s="28" t="str">
        <f t="shared" si="628"/>
        <v>201812JPY</v>
      </c>
      <c r="AR2091" s="206" t="str">
        <f t="shared" si="629"/>
        <v>YAMAHA_Mounter</v>
      </c>
      <c r="AS2091" s="22">
        <f t="shared" si="630"/>
        <v>1</v>
      </c>
      <c r="AT2091" s="24" t="str">
        <f t="shared" si="631"/>
        <v>0-3 months</v>
      </c>
    </row>
    <row r="2092" spans="1:46" s="12" customFormat="1">
      <c r="A2092" s="33" t="str">
        <f t="shared" si="619"/>
        <v>FY 20/21</v>
      </c>
      <c r="B2092" s="152">
        <v>2020</v>
      </c>
      <c r="C2092" s="152">
        <v>7</v>
      </c>
      <c r="D2092" s="33" t="str">
        <f t="shared" si="620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21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22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15"/>
        <v>7300000</v>
      </c>
      <c r="AA2092" s="13">
        <v>7.5700000000000003E-2</v>
      </c>
      <c r="AB2092" s="21">
        <f t="shared" si="623"/>
        <v>552610</v>
      </c>
      <c r="AC2092" s="130">
        <f t="shared" si="624"/>
        <v>69242.032999999996</v>
      </c>
      <c r="AD2092" s="169">
        <v>0.12529999999999999</v>
      </c>
      <c r="AE2092" s="154">
        <f t="shared" si="625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6"/>
        <v>37969334.083628319</v>
      </c>
      <c r="AJ2092" s="19">
        <f t="shared" si="617"/>
        <v>5097226.4551657084</v>
      </c>
      <c r="AK2092" s="20">
        <f t="shared" si="626"/>
        <v>0.13424587441904964</v>
      </c>
      <c r="AL2092" s="17"/>
      <c r="AM2092" s="17"/>
      <c r="AN2092" s="17"/>
      <c r="AO2092" s="17"/>
      <c r="AP2092" s="28" t="str">
        <f t="shared" si="627"/>
        <v>20208</v>
      </c>
      <c r="AQ2092" s="28" t="str">
        <f t="shared" si="628"/>
        <v>20208JPY</v>
      </c>
      <c r="AR2092" s="206" t="str">
        <f t="shared" si="629"/>
        <v>YAMAHA_Mounter</v>
      </c>
      <c r="AS2092" s="22">
        <f t="shared" si="630"/>
        <v>1</v>
      </c>
      <c r="AT2092" s="24" t="str">
        <f t="shared" si="631"/>
        <v>0-3 months</v>
      </c>
    </row>
    <row r="2093" spans="1:46" s="12" customFormat="1">
      <c r="A2093" s="33" t="str">
        <f t="shared" si="619"/>
        <v>FY 20/21</v>
      </c>
      <c r="B2093" s="152">
        <v>2020</v>
      </c>
      <c r="C2093" s="152">
        <v>7</v>
      </c>
      <c r="D2093" s="33" t="str">
        <f t="shared" si="620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21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22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15"/>
        <v>7300000</v>
      </c>
      <c r="AA2093" s="13">
        <v>7.5700000000000003E-2</v>
      </c>
      <c r="AB2093" s="21">
        <f t="shared" si="623"/>
        <v>552610</v>
      </c>
      <c r="AC2093" s="130">
        <f t="shared" si="624"/>
        <v>69242.032999999996</v>
      </c>
      <c r="AD2093" s="169">
        <v>0.12529999999999999</v>
      </c>
      <c r="AE2093" s="154">
        <f t="shared" si="625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6"/>
        <v>37969334.083628319</v>
      </c>
      <c r="AJ2093" s="19">
        <f t="shared" si="617"/>
        <v>5097226.4551657084</v>
      </c>
      <c r="AK2093" s="20">
        <f t="shared" si="626"/>
        <v>0.13424587441904964</v>
      </c>
      <c r="AL2093" s="17"/>
      <c r="AM2093" s="17"/>
      <c r="AN2093" s="17"/>
      <c r="AO2093" s="17"/>
      <c r="AP2093" s="28" t="str">
        <f t="shared" si="627"/>
        <v>20208</v>
      </c>
      <c r="AQ2093" s="28" t="str">
        <f t="shared" si="628"/>
        <v>20208JPY</v>
      </c>
      <c r="AR2093" s="206" t="str">
        <f t="shared" si="629"/>
        <v>YAMAHA_Mounter</v>
      </c>
      <c r="AS2093" s="22">
        <f t="shared" si="630"/>
        <v>1</v>
      </c>
      <c r="AT2093" s="24" t="str">
        <f t="shared" si="631"/>
        <v>0-3 months</v>
      </c>
    </row>
    <row r="2094" spans="1:46" s="12" customFormat="1">
      <c r="A2094" s="33" t="str">
        <f t="shared" si="619"/>
        <v>FY 22/23</v>
      </c>
      <c r="B2094" s="152">
        <v>2022</v>
      </c>
      <c r="C2094" s="152">
        <v>10</v>
      </c>
      <c r="D2094" s="33" t="str">
        <f t="shared" si="620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21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22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15"/>
        <v>840000</v>
      </c>
      <c r="AA2094" s="13">
        <v>1.08</v>
      </c>
      <c r="AB2094" s="21">
        <f t="shared" si="623"/>
        <v>802831.85840707971</v>
      </c>
      <c r="AC2094" s="130">
        <f t="shared" si="624"/>
        <v>77954.973451327445</v>
      </c>
      <c r="AD2094" s="169">
        <v>9.7100000000000006E-2</v>
      </c>
      <c r="AE2094" s="154">
        <f t="shared" si="625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6"/>
        <v>31017966.201968137</v>
      </c>
      <c r="AJ2094" s="19">
        <f t="shared" si="617"/>
        <v>4704250.3347305888</v>
      </c>
      <c r="AK2094" s="20">
        <f t="shared" si="626"/>
        <v>0.15166211427595458</v>
      </c>
      <c r="AL2094" s="17"/>
      <c r="AM2094" s="17"/>
      <c r="AN2094" s="17"/>
      <c r="AO2094" s="17"/>
      <c r="AP2094" s="28" t="str">
        <f t="shared" si="627"/>
        <v>202211</v>
      </c>
      <c r="AQ2094" s="28" t="str">
        <f t="shared" si="628"/>
        <v>202211RMB</v>
      </c>
      <c r="AR2094" s="206" t="str">
        <f t="shared" si="629"/>
        <v>YAMAHA_Mounter</v>
      </c>
      <c r="AS2094" s="22">
        <f t="shared" si="630"/>
        <v>1</v>
      </c>
      <c r="AT2094" s="24" t="str">
        <f t="shared" si="631"/>
        <v>0-3 months</v>
      </c>
    </row>
    <row r="2095" spans="1:46" s="12" customFormat="1">
      <c r="A2095" s="33" t="str">
        <f t="shared" si="619"/>
        <v>FY 23/24</v>
      </c>
      <c r="B2095" s="23">
        <v>2024</v>
      </c>
      <c r="C2095" s="152">
        <v>1</v>
      </c>
      <c r="D2095" s="33" t="str">
        <f t="shared" si="620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21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22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15"/>
        <v>12500000</v>
      </c>
      <c r="AA2095" s="22">
        <v>5.4100000000000002E-2</v>
      </c>
      <c r="AB2095" s="21">
        <f t="shared" si="623"/>
        <v>676250</v>
      </c>
      <c r="AC2095" s="25">
        <f t="shared" si="624"/>
        <v>65055.249999999993</v>
      </c>
      <c r="AD2095" s="169">
        <v>9.6199999999999994E-2</v>
      </c>
      <c r="AE2095" s="26">
        <f t="shared" si="625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6"/>
        <v>10524262.405309737</v>
      </c>
      <c r="AJ2095" s="27">
        <f t="shared" si="617"/>
        <v>1479050.9527127435</v>
      </c>
      <c r="AK2095" s="28">
        <f t="shared" si="626"/>
        <v>0.14053725532028996</v>
      </c>
      <c r="AL2095" s="24"/>
      <c r="AM2095" s="24"/>
      <c r="AN2095" s="24"/>
      <c r="AO2095" s="24"/>
      <c r="AP2095" s="28" t="str">
        <f t="shared" si="627"/>
        <v>20242</v>
      </c>
      <c r="AQ2095" s="28" t="str">
        <f t="shared" si="628"/>
        <v>20242JPY</v>
      </c>
      <c r="AR2095" s="206" t="str">
        <f t="shared" si="629"/>
        <v>YAMAHA_Mounter</v>
      </c>
      <c r="AS2095" s="22">
        <f t="shared" si="630"/>
        <v>1</v>
      </c>
      <c r="AT2095" s="24" t="str">
        <f t="shared" si="631"/>
        <v>0-3 months</v>
      </c>
    </row>
    <row r="2096" spans="1:46" s="12" customFormat="1">
      <c r="A2096" s="33" t="str">
        <f t="shared" si="619"/>
        <v>FY 23/24</v>
      </c>
      <c r="B2096" s="152">
        <v>2023</v>
      </c>
      <c r="C2096" s="152">
        <v>4</v>
      </c>
      <c r="D2096" s="33" t="str">
        <f t="shared" si="620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21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22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15"/>
        <v>10000000</v>
      </c>
      <c r="AA2096" s="13">
        <v>0.06</v>
      </c>
      <c r="AB2096" s="21">
        <f t="shared" si="623"/>
        <v>600000</v>
      </c>
      <c r="AC2096" s="130">
        <f t="shared" si="624"/>
        <v>69600</v>
      </c>
      <c r="AD2096" s="169">
        <v>0.11600000000000001</v>
      </c>
      <c r="AE2096" s="154">
        <f t="shared" si="625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6"/>
        <v>30573205.452778768</v>
      </c>
      <c r="AJ2096" s="19">
        <f t="shared" si="617"/>
        <v>3790930.1683151261</v>
      </c>
      <c r="AK2096" s="20">
        <f t="shared" si="626"/>
        <v>0.12399518179964254</v>
      </c>
      <c r="AL2096" s="17"/>
      <c r="AM2096" s="17"/>
      <c r="AN2096" s="17"/>
      <c r="AO2096" s="17"/>
      <c r="AP2096" s="28" t="str">
        <f t="shared" si="627"/>
        <v>20234</v>
      </c>
      <c r="AQ2096" s="28" t="str">
        <f t="shared" si="628"/>
        <v>20234JPY</v>
      </c>
      <c r="AR2096" s="206" t="str">
        <f t="shared" si="629"/>
        <v>YAMAHA_Mounter</v>
      </c>
      <c r="AS2096" s="22">
        <f t="shared" si="630"/>
        <v>0</v>
      </c>
      <c r="AT2096" s="24" t="str">
        <f t="shared" si="631"/>
        <v>0-3 months</v>
      </c>
    </row>
    <row r="2097" spans="1:46" s="12" customFormat="1">
      <c r="A2097" s="33" t="str">
        <f t="shared" si="619"/>
        <v>FY 23/24</v>
      </c>
      <c r="B2097" s="152">
        <v>2023</v>
      </c>
      <c r="C2097" s="152">
        <v>4</v>
      </c>
      <c r="D2097" s="33" t="str">
        <f t="shared" si="620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21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22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15"/>
        <v>13800000</v>
      </c>
      <c r="AA2097" s="13">
        <v>0.06</v>
      </c>
      <c r="AB2097" s="21">
        <f t="shared" si="623"/>
        <v>828000</v>
      </c>
      <c r="AC2097" s="130">
        <f t="shared" si="624"/>
        <v>96048</v>
      </c>
      <c r="AD2097" s="169">
        <v>0.11600000000000001</v>
      </c>
      <c r="AE2097" s="154">
        <f t="shared" si="625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6"/>
        <v>30573205.452778768</v>
      </c>
      <c r="AJ2097" s="19">
        <f t="shared" si="617"/>
        <v>3790930.1683151261</v>
      </c>
      <c r="AK2097" s="20">
        <f t="shared" si="626"/>
        <v>0.12399518179964254</v>
      </c>
      <c r="AL2097" s="17"/>
      <c r="AM2097" s="17"/>
      <c r="AN2097" s="17"/>
      <c r="AO2097" s="17"/>
      <c r="AP2097" s="28" t="str">
        <f t="shared" si="627"/>
        <v>20234</v>
      </c>
      <c r="AQ2097" s="28" t="str">
        <f t="shared" si="628"/>
        <v>20234JPY</v>
      </c>
      <c r="AR2097" s="206" t="str">
        <f t="shared" si="629"/>
        <v>YAMAHA_Mounter</v>
      </c>
      <c r="AS2097" s="22">
        <f t="shared" si="630"/>
        <v>0</v>
      </c>
      <c r="AT2097" s="24" t="str">
        <f t="shared" si="631"/>
        <v>0-3 months</v>
      </c>
    </row>
    <row r="2098" spans="1:46" s="12" customFormat="1">
      <c r="A2098" s="33" t="str">
        <f t="shared" si="619"/>
        <v>FY 21/22</v>
      </c>
      <c r="B2098" s="152">
        <v>2021</v>
      </c>
      <c r="C2098" s="152">
        <v>5</v>
      </c>
      <c r="D2098" s="33" t="str">
        <f t="shared" si="620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21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22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15"/>
        <v>8800000</v>
      </c>
      <c r="AA2098" s="13">
        <v>7.2099999999999997E-2</v>
      </c>
      <c r="AB2098" s="21">
        <f t="shared" si="623"/>
        <v>634480</v>
      </c>
      <c r="AC2098" s="130">
        <f t="shared" si="624"/>
        <v>83624.464000000007</v>
      </c>
      <c r="AD2098" s="169">
        <v>0.1318</v>
      </c>
      <c r="AE2098" s="154">
        <f t="shared" si="625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6"/>
        <v>54700260.692079648</v>
      </c>
      <c r="AJ2098" s="19">
        <f t="shared" si="617"/>
        <v>7482899.5749188727</v>
      </c>
      <c r="AK2098" s="20">
        <f t="shared" si="626"/>
        <v>0.13679824337660537</v>
      </c>
      <c r="AL2098" s="17"/>
      <c r="AM2098" s="17"/>
      <c r="AN2098" s="17"/>
      <c r="AO2098" s="17"/>
      <c r="AP2098" s="28" t="str">
        <f t="shared" si="627"/>
        <v>20216</v>
      </c>
      <c r="AQ2098" s="28" t="str">
        <f t="shared" si="628"/>
        <v>20216JPY</v>
      </c>
      <c r="AR2098" s="206" t="str">
        <f t="shared" si="629"/>
        <v>YAMAHA_Mounter</v>
      </c>
      <c r="AS2098" s="22">
        <f t="shared" si="630"/>
        <v>1</v>
      </c>
      <c r="AT2098" s="24" t="str">
        <f t="shared" si="631"/>
        <v>0-3 months</v>
      </c>
    </row>
    <row r="2099" spans="1:46" s="12" customFormat="1">
      <c r="A2099" s="33" t="str">
        <f t="shared" si="619"/>
        <v>FY 21/22</v>
      </c>
      <c r="B2099" s="152">
        <v>2021</v>
      </c>
      <c r="C2099" s="152">
        <v>5</v>
      </c>
      <c r="D2099" s="33" t="str">
        <f t="shared" si="620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21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22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15"/>
        <v>13000000</v>
      </c>
      <c r="AA2099" s="13">
        <v>6.9199999999999998E-2</v>
      </c>
      <c r="AB2099" s="21">
        <f t="shared" si="623"/>
        <v>899600</v>
      </c>
      <c r="AC2099" s="130">
        <f t="shared" si="624"/>
        <v>118567.28</v>
      </c>
      <c r="AD2099" s="169">
        <v>0.1318</v>
      </c>
      <c r="AE2099" s="154">
        <f t="shared" si="625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6"/>
        <v>28726768.133805312</v>
      </c>
      <c r="AJ2099" s="19">
        <f t="shared" si="617"/>
        <v>3853638.1988864429</v>
      </c>
      <c r="AK2099" s="20">
        <f t="shared" si="626"/>
        <v>0.1341479898099476</v>
      </c>
      <c r="AL2099" s="17"/>
      <c r="AM2099" s="17"/>
      <c r="AN2099" s="17"/>
      <c r="AO2099" s="17"/>
      <c r="AP2099" s="28" t="str">
        <f t="shared" si="627"/>
        <v>20223</v>
      </c>
      <c r="AQ2099" s="28" t="str">
        <f t="shared" si="628"/>
        <v>20223JPY</v>
      </c>
      <c r="AR2099" s="206" t="str">
        <f t="shared" si="629"/>
        <v>YAMAHA_Mounter</v>
      </c>
      <c r="AS2099" s="22">
        <f t="shared" si="630"/>
        <v>10</v>
      </c>
      <c r="AT2099" s="24" t="str">
        <f t="shared" si="631"/>
        <v>&gt; 6 months</v>
      </c>
    </row>
    <row r="2100" spans="1:46" s="12" customFormat="1">
      <c r="A2100" s="33" t="str">
        <f t="shared" si="619"/>
        <v>FY 19/20</v>
      </c>
      <c r="B2100" s="152">
        <v>2020</v>
      </c>
      <c r="C2100" s="152">
        <v>3</v>
      </c>
      <c r="D2100" s="33" t="str">
        <f t="shared" si="620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21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22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15"/>
        <v>10800000</v>
      </c>
      <c r="AA2100" s="13">
        <v>7.2999999999999995E-2</v>
      </c>
      <c r="AB2100" s="21">
        <f t="shared" si="623"/>
        <v>788400</v>
      </c>
      <c r="AC2100" s="130">
        <f t="shared" si="624"/>
        <v>89325.72</v>
      </c>
      <c r="AD2100" s="169">
        <v>0.1133</v>
      </c>
      <c r="AE2100" s="154">
        <f t="shared" si="625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6"/>
        <v>23168285.927433632</v>
      </c>
      <c r="AJ2100" s="19">
        <f t="shared" si="617"/>
        <v>2764878.916878053</v>
      </c>
      <c r="AK2100" s="20">
        <f t="shared" si="626"/>
        <v>0.11933895004309111</v>
      </c>
      <c r="AL2100" s="17"/>
      <c r="AM2100" s="17"/>
      <c r="AN2100" s="17"/>
      <c r="AO2100" s="17"/>
      <c r="AP2100" s="28" t="str">
        <f t="shared" si="627"/>
        <v>20203</v>
      </c>
      <c r="AQ2100" s="28" t="str">
        <f t="shared" si="628"/>
        <v>20203JPY</v>
      </c>
      <c r="AR2100" s="206" t="str">
        <f t="shared" si="629"/>
        <v>YAMAHA_Mounter</v>
      </c>
      <c r="AS2100" s="22">
        <f t="shared" si="630"/>
        <v>0</v>
      </c>
      <c r="AT2100" s="24" t="str">
        <f t="shared" si="631"/>
        <v>0-3 months</v>
      </c>
    </row>
    <row r="2101" spans="1:46" s="12" customFormat="1">
      <c r="A2101" s="33" t="str">
        <f t="shared" si="619"/>
        <v>FY 23/24</v>
      </c>
      <c r="B2101" s="152">
        <v>2023</v>
      </c>
      <c r="C2101" s="152">
        <v>7</v>
      </c>
      <c r="D2101" s="33" t="str">
        <f t="shared" si="620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21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22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15"/>
        <v>523000</v>
      </c>
      <c r="AA2101" s="13">
        <v>1.077</v>
      </c>
      <c r="AB2101" s="21">
        <f t="shared" si="623"/>
        <v>498469.91150442482</v>
      </c>
      <c r="AC2101" s="130">
        <f t="shared" si="624"/>
        <v>69985.175575221248</v>
      </c>
      <c r="AD2101" s="169">
        <v>0.1404</v>
      </c>
      <c r="AE2101" s="154">
        <f t="shared" si="625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6"/>
        <v>26078226.463097349</v>
      </c>
      <c r="AJ2101" s="19">
        <f t="shared" si="617"/>
        <v>3137870.4427774516</v>
      </c>
      <c r="AK2101" s="20">
        <f t="shared" si="626"/>
        <v>0.12032530077218917</v>
      </c>
      <c r="AL2101" s="17"/>
      <c r="AM2101" s="17"/>
      <c r="AN2101" s="17"/>
      <c r="AO2101" s="17"/>
      <c r="AP2101" s="28" t="str">
        <f t="shared" si="627"/>
        <v>20239</v>
      </c>
      <c r="AQ2101" s="28" t="str">
        <f t="shared" si="628"/>
        <v>20239RMB</v>
      </c>
      <c r="AR2101" s="206" t="str">
        <f t="shared" si="629"/>
        <v>YAMAHA_Mounter</v>
      </c>
      <c r="AS2101" s="22">
        <f t="shared" si="630"/>
        <v>2</v>
      </c>
      <c r="AT2101" s="24" t="str">
        <f t="shared" si="631"/>
        <v>0-3 months</v>
      </c>
    </row>
    <row r="2102" spans="1:46" s="12" customFormat="1">
      <c r="A2102" s="33" t="str">
        <f t="shared" si="619"/>
        <v>FY 23/24</v>
      </c>
      <c r="B2102" s="152">
        <v>2023</v>
      </c>
      <c r="C2102" s="152">
        <v>7</v>
      </c>
      <c r="D2102" s="33" t="str">
        <f t="shared" si="620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21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22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15"/>
        <v>523000</v>
      </c>
      <c r="AA2102" s="13">
        <v>1.077</v>
      </c>
      <c r="AB2102" s="21">
        <f t="shared" si="623"/>
        <v>498469.91150442482</v>
      </c>
      <c r="AC2102" s="130">
        <f t="shared" si="624"/>
        <v>69985.175575221248</v>
      </c>
      <c r="AD2102" s="169">
        <v>0.1404</v>
      </c>
      <c r="AE2102" s="154">
        <f t="shared" si="625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6"/>
        <v>26078226.463097349</v>
      </c>
      <c r="AJ2102" s="19">
        <f t="shared" si="617"/>
        <v>3137870.4427774516</v>
      </c>
      <c r="AK2102" s="20">
        <f t="shared" si="626"/>
        <v>0.12032530077218917</v>
      </c>
      <c r="AL2102" s="17"/>
      <c r="AM2102" s="17"/>
      <c r="AN2102" s="17"/>
      <c r="AO2102" s="17"/>
      <c r="AP2102" s="28" t="str">
        <f t="shared" si="627"/>
        <v>20239</v>
      </c>
      <c r="AQ2102" s="28" t="str">
        <f t="shared" si="628"/>
        <v>20239RMB</v>
      </c>
      <c r="AR2102" s="206" t="str">
        <f t="shared" si="629"/>
        <v>YAMAHA_Mounter</v>
      </c>
      <c r="AS2102" s="22">
        <f t="shared" si="630"/>
        <v>2</v>
      </c>
      <c r="AT2102" s="24" t="str">
        <f t="shared" si="631"/>
        <v>0-3 months</v>
      </c>
    </row>
    <row r="2103" spans="1:46" s="12" customFormat="1">
      <c r="A2103" s="33" t="str">
        <f t="shared" si="619"/>
        <v>FY 21/22</v>
      </c>
      <c r="B2103" s="152">
        <v>2021</v>
      </c>
      <c r="C2103" s="152">
        <v>9</v>
      </c>
      <c r="D2103" s="33" t="str">
        <f t="shared" si="620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21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22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15"/>
        <v>136000</v>
      </c>
      <c r="AA2103" s="13">
        <v>7.8</v>
      </c>
      <c r="AB2103" s="21">
        <f t="shared" si="623"/>
        <v>1060800</v>
      </c>
      <c r="AC2103" s="130">
        <f t="shared" si="624"/>
        <v>106822.56</v>
      </c>
      <c r="AD2103" s="169">
        <v>0.1007</v>
      </c>
      <c r="AE2103" s="154">
        <f t="shared" si="625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6"/>
        <v>31750699.113741599</v>
      </c>
      <c r="AJ2103" s="19">
        <f t="shared" si="617"/>
        <v>4396077.3195289988</v>
      </c>
      <c r="AK2103" s="20">
        <f t="shared" si="626"/>
        <v>0.13845607946397598</v>
      </c>
      <c r="AL2103" s="17"/>
      <c r="AM2103" s="17"/>
      <c r="AN2103" s="17"/>
      <c r="AO2103" s="17"/>
      <c r="AP2103" s="28" t="str">
        <f t="shared" si="627"/>
        <v>20222</v>
      </c>
      <c r="AQ2103" s="28" t="str">
        <f t="shared" si="628"/>
        <v>20222USD</v>
      </c>
      <c r="AR2103" s="206" t="str">
        <f t="shared" si="629"/>
        <v>PEMTRON</v>
      </c>
      <c r="AS2103" s="22">
        <f t="shared" si="630"/>
        <v>5</v>
      </c>
      <c r="AT2103" s="24" t="str">
        <f t="shared" si="631"/>
        <v>4-6 months</v>
      </c>
    </row>
    <row r="2104" spans="1:46" s="12" customFormat="1">
      <c r="A2104" s="33" t="str">
        <f t="shared" si="619"/>
        <v>FY 22/23</v>
      </c>
      <c r="B2104" s="152">
        <v>2023</v>
      </c>
      <c r="C2104" s="152">
        <v>3</v>
      </c>
      <c r="D2104" s="33" t="str">
        <f t="shared" si="620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21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22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15"/>
        <v>113500</v>
      </c>
      <c r="AA2104" s="13">
        <v>7.8</v>
      </c>
      <c r="AB2104" s="21">
        <f t="shared" si="623"/>
        <v>885300</v>
      </c>
      <c r="AC2104" s="130">
        <f t="shared" si="624"/>
        <v>168118.47</v>
      </c>
      <c r="AD2104" s="169">
        <v>0.18990000000000001</v>
      </c>
      <c r="AE2104" s="154">
        <f t="shared" si="625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6"/>
        <v>13640480.497522123</v>
      </c>
      <c r="AJ2104" s="19">
        <f t="shared" si="617"/>
        <v>1928605.8020906283</v>
      </c>
      <c r="AK2104" s="20">
        <f t="shared" si="626"/>
        <v>0.1413884065477731</v>
      </c>
      <c r="AL2104" s="17"/>
      <c r="AM2104" s="17"/>
      <c r="AN2104" s="17"/>
      <c r="AO2104" s="17"/>
      <c r="AP2104" s="28" t="str">
        <f t="shared" si="627"/>
        <v>20236</v>
      </c>
      <c r="AQ2104" s="28" t="str">
        <f t="shared" si="628"/>
        <v>20236USD</v>
      </c>
      <c r="AR2104" s="206" t="str">
        <f t="shared" si="629"/>
        <v>PEMTRON</v>
      </c>
      <c r="AS2104" s="22">
        <f t="shared" si="630"/>
        <v>3</v>
      </c>
      <c r="AT2104" s="24" t="str">
        <f t="shared" si="631"/>
        <v>0-3 months</v>
      </c>
    </row>
    <row r="2105" spans="1:46" s="12" customFormat="1">
      <c r="A2105" s="33" t="str">
        <f t="shared" si="619"/>
        <v>cancel</v>
      </c>
      <c r="B2105" s="152"/>
      <c r="C2105" s="152" t="s">
        <v>186</v>
      </c>
      <c r="D2105" s="33" t="str">
        <f t="shared" si="620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21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22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15"/>
        <v>12914000</v>
      </c>
      <c r="AA2105" s="13">
        <v>7.2800000000000004E-2</v>
      </c>
      <c r="AB2105" s="21">
        <f t="shared" si="623"/>
        <v>940139.20000000007</v>
      </c>
      <c r="AC2105" s="130">
        <f t="shared" si="624"/>
        <v>112816.704</v>
      </c>
      <c r="AD2105" s="169">
        <v>0.12</v>
      </c>
      <c r="AE2105" s="154">
        <f t="shared" si="625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6"/>
        <v>477651199.57437885</v>
      </c>
      <c r="AJ2105" s="19">
        <f t="shared" si="617"/>
        <v>56918800.518691957</v>
      </c>
      <c r="AK2105" s="20">
        <f t="shared" si="626"/>
        <v>0.11916394341605475</v>
      </c>
      <c r="AL2105" s="17"/>
      <c r="AM2105" s="17"/>
      <c r="AN2105" s="17"/>
      <c r="AO2105" s="17"/>
      <c r="AP2105" s="28" t="str">
        <f t="shared" si="627"/>
        <v>CancelCANCEL</v>
      </c>
      <c r="AQ2105" s="28" t="str">
        <f t="shared" si="628"/>
        <v>CancelCANCELJPY</v>
      </c>
      <c r="AR2105" s="206" t="str">
        <f t="shared" si="629"/>
        <v>YAMAHA_Mounter</v>
      </c>
      <c r="AS2105" s="22" t="str">
        <f t="shared" si="630"/>
        <v/>
      </c>
      <c r="AT2105" s="24" t="str">
        <f t="shared" si="631"/>
        <v/>
      </c>
    </row>
    <row r="2106" spans="1:46" s="12" customFormat="1">
      <c r="A2106" s="33" t="str">
        <f t="shared" si="619"/>
        <v>FY 20/21</v>
      </c>
      <c r="B2106" s="152">
        <v>2021</v>
      </c>
      <c r="C2106" s="152">
        <v>1</v>
      </c>
      <c r="D2106" s="33" t="str">
        <f t="shared" si="620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21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22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15"/>
        <v>8900000</v>
      </c>
      <c r="AA2106" s="13">
        <v>7.2800000000000004E-2</v>
      </c>
      <c r="AB2106" s="21">
        <f t="shared" si="623"/>
        <v>647920</v>
      </c>
      <c r="AC2106" s="130">
        <f t="shared" si="624"/>
        <v>82350.631999999998</v>
      </c>
      <c r="AD2106" s="169">
        <v>0.12709999999999999</v>
      </c>
      <c r="AE2106" s="154">
        <f t="shared" si="625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6"/>
        <v>63006605.696460173</v>
      </c>
      <c r="AJ2106" s="19">
        <f t="shared" si="617"/>
        <v>8897485.660753984</v>
      </c>
      <c r="AK2106" s="20">
        <f t="shared" si="626"/>
        <v>0.141215124388995</v>
      </c>
      <c r="AL2106" s="17"/>
      <c r="AM2106" s="17"/>
      <c r="AN2106" s="17"/>
      <c r="AO2106" s="17"/>
      <c r="AP2106" s="28" t="str">
        <f t="shared" si="627"/>
        <v>20215</v>
      </c>
      <c r="AQ2106" s="28" t="str">
        <f t="shared" si="628"/>
        <v>20215JPY</v>
      </c>
      <c r="AR2106" s="206" t="str">
        <f t="shared" si="629"/>
        <v>YAMAHA_Mounter</v>
      </c>
      <c r="AS2106" s="22">
        <f t="shared" si="630"/>
        <v>4</v>
      </c>
      <c r="AT2106" s="24" t="str">
        <f t="shared" si="631"/>
        <v>4-6 months</v>
      </c>
    </row>
    <row r="2107" spans="1:46" s="12" customFormat="1">
      <c r="A2107" s="33" t="str">
        <f t="shared" si="619"/>
        <v>FY 20/21</v>
      </c>
      <c r="B2107" s="152">
        <v>2021</v>
      </c>
      <c r="C2107" s="152">
        <v>1</v>
      </c>
      <c r="D2107" s="33" t="str">
        <f t="shared" si="620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21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22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15"/>
        <v>12000000</v>
      </c>
      <c r="AA2107" s="13">
        <v>7.2800000000000004E-2</v>
      </c>
      <c r="AB2107" s="21">
        <f t="shared" si="623"/>
        <v>873600</v>
      </c>
      <c r="AC2107" s="130">
        <f t="shared" si="624"/>
        <v>111034.56</v>
      </c>
      <c r="AD2107" s="169">
        <v>0.12709999999999999</v>
      </c>
      <c r="AE2107" s="154">
        <f t="shared" si="625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6"/>
        <v>63006605.696460173</v>
      </c>
      <c r="AJ2107" s="19">
        <f t="shared" si="617"/>
        <v>8897485.660753984</v>
      </c>
      <c r="AK2107" s="20">
        <f t="shared" si="626"/>
        <v>0.141215124388995</v>
      </c>
      <c r="AL2107" s="17"/>
      <c r="AM2107" s="17"/>
      <c r="AN2107" s="17"/>
      <c r="AO2107" s="17"/>
      <c r="AP2107" s="28" t="str">
        <f t="shared" si="627"/>
        <v>20215</v>
      </c>
      <c r="AQ2107" s="28" t="str">
        <f t="shared" si="628"/>
        <v>20215JPY</v>
      </c>
      <c r="AR2107" s="206" t="str">
        <f t="shared" si="629"/>
        <v>YAMAHA_Mounter</v>
      </c>
      <c r="AS2107" s="22">
        <f t="shared" si="630"/>
        <v>4</v>
      </c>
      <c r="AT2107" s="24" t="str">
        <f t="shared" si="631"/>
        <v>4-6 months</v>
      </c>
    </row>
    <row r="2108" spans="1:46" s="12" customFormat="1">
      <c r="A2108" s="33" t="str">
        <f t="shared" si="619"/>
        <v>FY 23/24</v>
      </c>
      <c r="B2108" s="152">
        <v>2023</v>
      </c>
      <c r="C2108" s="152">
        <v>10</v>
      </c>
      <c r="D2108" s="33" t="str">
        <f t="shared" si="620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21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22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ref="Z2108:Z2171" si="632">IF(X2108="","",X2108*MAX(O2108,N2108))</f>
        <v>8400000</v>
      </c>
      <c r="AA2108" s="13">
        <v>5.4199999999999998E-2</v>
      </c>
      <c r="AB2108" s="21">
        <f t="shared" si="623"/>
        <v>455280</v>
      </c>
      <c r="AC2108" s="130">
        <f t="shared" si="624"/>
        <v>54633.599999999999</v>
      </c>
      <c r="AD2108" s="169">
        <v>0.12</v>
      </c>
      <c r="AE2108" s="154">
        <f t="shared" si="625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6"/>
        <v>477651199.57437885</v>
      </c>
      <c r="AJ2108" s="19">
        <f t="shared" si="617"/>
        <v>56918800.518691957</v>
      </c>
      <c r="AK2108" s="20">
        <f t="shared" si="626"/>
        <v>0.11916394341605475</v>
      </c>
      <c r="AL2108" s="17"/>
      <c r="AM2108" s="17"/>
      <c r="AN2108" s="17"/>
      <c r="AO2108" s="17"/>
      <c r="AP2108" s="28" t="str">
        <f t="shared" si="627"/>
        <v>CancelCancel</v>
      </c>
      <c r="AQ2108" s="28" t="str">
        <f t="shared" si="628"/>
        <v>CancelCancelJPY</v>
      </c>
      <c r="AR2108" s="206" t="str">
        <f t="shared" si="629"/>
        <v>YAMAHA_Mounter</v>
      </c>
      <c r="AS2108" s="22" t="str">
        <f t="shared" si="630"/>
        <v/>
      </c>
      <c r="AT2108" s="24" t="str">
        <f t="shared" si="631"/>
        <v/>
      </c>
    </row>
    <row r="2109" spans="1:46" s="12" customFormat="1">
      <c r="A2109" s="33" t="str">
        <f t="shared" si="619"/>
        <v>FY 23/24</v>
      </c>
      <c r="B2109" s="152">
        <v>2023</v>
      </c>
      <c r="C2109" s="152">
        <v>10</v>
      </c>
      <c r="D2109" s="33" t="str">
        <f t="shared" si="620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21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22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32"/>
        <v>14000000</v>
      </c>
      <c r="AA2109" s="13">
        <v>5.4199999999999998E-2</v>
      </c>
      <c r="AB2109" s="21">
        <f t="shared" si="623"/>
        <v>758800</v>
      </c>
      <c r="AC2109" s="130">
        <f t="shared" si="624"/>
        <v>91056</v>
      </c>
      <c r="AD2109" s="169">
        <v>0.12</v>
      </c>
      <c r="AE2109" s="154">
        <f t="shared" si="625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6"/>
        <v>477651199.57437885</v>
      </c>
      <c r="AJ2109" s="19">
        <f t="shared" si="617"/>
        <v>56918800.518691957</v>
      </c>
      <c r="AK2109" s="20">
        <f t="shared" si="626"/>
        <v>0.11916394341605475</v>
      </c>
      <c r="AL2109" s="17"/>
      <c r="AM2109" s="17"/>
      <c r="AN2109" s="17"/>
      <c r="AO2109" s="17"/>
      <c r="AP2109" s="28" t="str">
        <f t="shared" si="627"/>
        <v>CancelCancel</v>
      </c>
      <c r="AQ2109" s="28" t="str">
        <f t="shared" si="628"/>
        <v>CancelCancelJPY</v>
      </c>
      <c r="AR2109" s="206" t="str">
        <f t="shared" si="629"/>
        <v>YAMAHA_Mounter</v>
      </c>
      <c r="AS2109" s="22" t="str">
        <f t="shared" si="630"/>
        <v/>
      </c>
      <c r="AT2109" s="24" t="str">
        <f t="shared" si="631"/>
        <v/>
      </c>
    </row>
    <row r="2110" spans="1:46" s="12" customFormat="1">
      <c r="A2110" s="33" t="str">
        <f t="shared" si="619"/>
        <v>FY 24/25</v>
      </c>
      <c r="B2110" s="23">
        <v>2024</v>
      </c>
      <c r="C2110" s="152">
        <v>4</v>
      </c>
      <c r="D2110" s="33" t="str">
        <f t="shared" si="620"/>
        <v>Q1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21"/>
        <v>Q1</v>
      </c>
      <c r="J2110" s="188" t="s">
        <v>3377</v>
      </c>
      <c r="K2110" s="29" t="s">
        <v>3378</v>
      </c>
      <c r="L2110" s="17" t="s">
        <v>68</v>
      </c>
      <c r="M2110" s="22" t="s">
        <v>61</v>
      </c>
      <c r="N2110" s="22">
        <v>1</v>
      </c>
      <c r="O2110" s="22"/>
      <c r="P2110" s="33" t="str">
        <f t="shared" si="622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127</v>
      </c>
      <c r="W2110" s="22" t="s">
        <v>110</v>
      </c>
      <c r="X2110" s="30">
        <v>6750000</v>
      </c>
      <c r="Y2110" s="31" t="str">
        <f>IF(W2110="","",IF(W2110="RMB","1.13", "1"))</f>
        <v>1</v>
      </c>
      <c r="Z2110" s="18">
        <f t="shared" si="632"/>
        <v>6750000</v>
      </c>
      <c r="AA2110" s="22">
        <v>5.0999999999999997E-2</v>
      </c>
      <c r="AB2110" s="21">
        <f t="shared" si="623"/>
        <v>344250</v>
      </c>
      <c r="AC2110" s="25">
        <f t="shared" si="624"/>
        <v>28469.474999999999</v>
      </c>
      <c r="AD2110" s="170">
        <v>8.2699999999999996E-2</v>
      </c>
      <c r="AE2110" s="26">
        <f t="shared" si="625"/>
        <v>0</v>
      </c>
      <c r="AF2110" s="26" t="str">
        <f>IF(AND(COUNTIFS($J$18:J2110,J2110)=1,AE2110=1),1,"")</f>
        <v/>
      </c>
      <c r="AG2110" s="26">
        <f>IF(C2110="","",IF(AND(COUNTIFS($J$18:J2110,J2110)=1,C2110&lt;&gt;""),1,""))</f>
        <v>1</v>
      </c>
      <c r="AH2110" s="26">
        <f>IF(G2110="","",IF(AND(COUNTIFS($J$18:J2110,J2110)=1,G2110&lt;&gt;""),1,""))</f>
        <v>1</v>
      </c>
      <c r="AI2110" s="27">
        <f t="shared" si="616"/>
        <v>27308925.887079656</v>
      </c>
      <c r="AJ2110" s="27">
        <f t="shared" si="617"/>
        <v>3319273.860338124</v>
      </c>
      <c r="AK2110" s="28">
        <f t="shared" si="626"/>
        <v>0.12154538314919709</v>
      </c>
      <c r="AL2110" s="24"/>
      <c r="AM2110" s="24"/>
      <c r="AN2110" s="24"/>
      <c r="AO2110" s="24"/>
      <c r="AP2110" s="28" t="str">
        <f t="shared" si="627"/>
        <v>20246</v>
      </c>
      <c r="AQ2110" s="28" t="str">
        <f t="shared" si="628"/>
        <v>20246JPY</v>
      </c>
      <c r="AR2110" s="206" t="str">
        <f t="shared" si="629"/>
        <v>YAMAHA_Mounter</v>
      </c>
      <c r="AS2110" s="22">
        <f t="shared" si="630"/>
        <v>2</v>
      </c>
      <c r="AT2110" s="24" t="str">
        <f t="shared" si="631"/>
        <v>0-3 months</v>
      </c>
    </row>
    <row r="2111" spans="1:46" s="12" customFormat="1">
      <c r="A2111" s="33" t="str">
        <f t="shared" si="619"/>
        <v>FY 24/25</v>
      </c>
      <c r="B2111" s="23">
        <v>2024</v>
      </c>
      <c r="C2111" s="152">
        <v>4</v>
      </c>
      <c r="D2111" s="33" t="str">
        <f t="shared" si="620"/>
        <v>Q1</v>
      </c>
      <c r="E2111" s="33" t="s">
        <v>3173</v>
      </c>
      <c r="F2111" s="23">
        <v>2024</v>
      </c>
      <c r="G2111" s="23">
        <v>6</v>
      </c>
      <c r="H2111" s="29"/>
      <c r="I2111" s="33" t="str">
        <f t="shared" si="621"/>
        <v>Q1</v>
      </c>
      <c r="J2111" s="190" t="s">
        <v>3384</v>
      </c>
      <c r="K2111" s="29" t="s">
        <v>3385</v>
      </c>
      <c r="L2111" s="17" t="s">
        <v>93</v>
      </c>
      <c r="M2111" s="22" t="s">
        <v>61</v>
      </c>
      <c r="N2111" s="22">
        <v>1</v>
      </c>
      <c r="O2111" s="22"/>
      <c r="P2111" s="33" t="str">
        <f t="shared" si="622"/>
        <v>MAIN UNIT</v>
      </c>
      <c r="Q2111" s="13" t="s">
        <v>69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312</v>
      </c>
      <c r="W2111" s="22" t="s">
        <v>110</v>
      </c>
      <c r="X2111" s="30">
        <v>12000000</v>
      </c>
      <c r="Y2111" s="31" t="str">
        <f>IF(W2111="","",IF(W2111="RMB","1.13", "1"))</f>
        <v>1</v>
      </c>
      <c r="Z2111" s="18">
        <f t="shared" si="632"/>
        <v>12000000</v>
      </c>
      <c r="AA2111" s="22">
        <v>5.0999999999999997E-2</v>
      </c>
      <c r="AB2111" s="21">
        <f t="shared" si="623"/>
        <v>612000</v>
      </c>
      <c r="AC2111" s="25">
        <f t="shared" si="624"/>
        <v>50428.800000000003</v>
      </c>
      <c r="AD2111" s="192">
        <v>8.2400000000000001E-2</v>
      </c>
      <c r="AE2111" s="26">
        <f t="shared" si="625"/>
        <v>1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6"/>
        <v>27308925.887079656</v>
      </c>
      <c r="AJ2111" s="27">
        <f t="shared" si="617"/>
        <v>3319273.860338124</v>
      </c>
      <c r="AK2111" s="28">
        <f t="shared" si="626"/>
        <v>0.12154538314919709</v>
      </c>
      <c r="AL2111" s="24"/>
      <c r="AM2111" s="24"/>
      <c r="AN2111" s="24"/>
      <c r="AO2111" s="24"/>
      <c r="AP2111" s="28" t="str">
        <f t="shared" si="627"/>
        <v>20246</v>
      </c>
      <c r="AQ2111" s="28" t="str">
        <f t="shared" si="628"/>
        <v>20246JPY</v>
      </c>
      <c r="AR2111" s="206" t="str">
        <f t="shared" si="629"/>
        <v>YAMAHA_Mounter</v>
      </c>
      <c r="AS2111" s="22">
        <f t="shared" si="630"/>
        <v>2</v>
      </c>
      <c r="AT2111" s="24" t="str">
        <f t="shared" si="631"/>
        <v>0-3 months</v>
      </c>
    </row>
    <row r="2112" spans="1:46" s="12" customFormat="1">
      <c r="A2112" s="33" t="str">
        <f t="shared" si="619"/>
        <v>FY 20/21</v>
      </c>
      <c r="B2112" s="152">
        <v>2020</v>
      </c>
      <c r="C2112" s="152">
        <v>7</v>
      </c>
      <c r="D2112" s="33" t="str">
        <f t="shared" si="620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21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22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32"/>
        <v>12365000</v>
      </c>
      <c r="AA2112" s="13">
        <v>7.5700000000000003E-2</v>
      </c>
      <c r="AB2112" s="21">
        <f t="shared" si="623"/>
        <v>936030.5</v>
      </c>
      <c r="AC2112" s="130">
        <f t="shared" si="624"/>
        <v>109796.37764999999</v>
      </c>
      <c r="AD2112" s="169">
        <v>0.1173</v>
      </c>
      <c r="AE2112" s="154">
        <f t="shared" si="625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6"/>
        <v>37969334.083628319</v>
      </c>
      <c r="AJ2112" s="19">
        <f t="shared" si="617"/>
        <v>5097226.4551657084</v>
      </c>
      <c r="AK2112" s="20">
        <f t="shared" si="626"/>
        <v>0.13424587441904964</v>
      </c>
      <c r="AL2112" s="17"/>
      <c r="AM2112" s="17"/>
      <c r="AN2112" s="17"/>
      <c r="AO2112" s="17"/>
      <c r="AP2112" s="28" t="str">
        <f t="shared" si="627"/>
        <v>20208</v>
      </c>
      <c r="AQ2112" s="28" t="str">
        <f t="shared" si="628"/>
        <v>20208JPY</v>
      </c>
      <c r="AR2112" s="206" t="str">
        <f t="shared" si="629"/>
        <v>YAMAHA_Mounter</v>
      </c>
      <c r="AS2112" s="22">
        <f t="shared" si="630"/>
        <v>1</v>
      </c>
      <c r="AT2112" s="24" t="str">
        <f t="shared" si="631"/>
        <v>0-3 months</v>
      </c>
    </row>
    <row r="2113" spans="1:46" s="12" customFormat="1">
      <c r="A2113" s="33" t="str">
        <f t="shared" si="619"/>
        <v>FY 20/21</v>
      </c>
      <c r="B2113" s="152">
        <v>2020</v>
      </c>
      <c r="C2113" s="152">
        <v>10</v>
      </c>
      <c r="D2113" s="33" t="str">
        <f t="shared" si="620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21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22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32"/>
        <v>12575000</v>
      </c>
      <c r="AA2113" s="13">
        <v>7.6799999999999993E-2</v>
      </c>
      <c r="AB2113" s="21">
        <f t="shared" si="623"/>
        <v>965759.99999999988</v>
      </c>
      <c r="AC2113" s="130">
        <f t="shared" si="624"/>
        <v>127673.47199999999</v>
      </c>
      <c r="AD2113" s="169">
        <v>0.13220000000000001</v>
      </c>
      <c r="AE2113" s="154">
        <f t="shared" si="625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6"/>
        <v>45803245.025628321</v>
      </c>
      <c r="AJ2113" s="19">
        <f t="shared" si="617"/>
        <v>5664636.2584379362</v>
      </c>
      <c r="AK2113" s="20">
        <f t="shared" si="626"/>
        <v>0.12367325186825515</v>
      </c>
      <c r="AL2113" s="17"/>
      <c r="AM2113" s="17"/>
      <c r="AN2113" s="17"/>
      <c r="AO2113" s="17" t="s">
        <v>1513</v>
      </c>
      <c r="AP2113" s="28" t="str">
        <f t="shared" si="627"/>
        <v>20211</v>
      </c>
      <c r="AQ2113" s="28" t="str">
        <f t="shared" si="628"/>
        <v>20211JPY</v>
      </c>
      <c r="AR2113" s="206" t="str">
        <f t="shared" si="629"/>
        <v>YAMAHA_Mounter</v>
      </c>
      <c r="AS2113" s="22">
        <f t="shared" si="630"/>
        <v>3</v>
      </c>
      <c r="AT2113" s="24" t="str">
        <f t="shared" si="631"/>
        <v>0-3 months</v>
      </c>
    </row>
    <row r="2114" spans="1:46" s="12" customFormat="1">
      <c r="A2114" s="33" t="str">
        <f t="shared" si="619"/>
        <v>FY 21/22</v>
      </c>
      <c r="B2114" s="152">
        <v>2022</v>
      </c>
      <c r="C2114" s="152">
        <v>3</v>
      </c>
      <c r="D2114" s="33" t="str">
        <f t="shared" si="620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21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22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32"/>
        <v>13990000</v>
      </c>
      <c r="AA2114" s="13">
        <v>5.8700000000000002E-2</v>
      </c>
      <c r="AB2114" s="21">
        <f t="shared" si="623"/>
        <v>821213</v>
      </c>
      <c r="AC2114" s="130">
        <f t="shared" si="624"/>
        <v>75305.232100000008</v>
      </c>
      <c r="AD2114" s="169">
        <v>9.1700000000000004E-2</v>
      </c>
      <c r="AE2114" s="154">
        <f t="shared" si="625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33">IF(P2114="C66 SERVICE","",SUMIFS(AB:AB,F:F,F2114,G:G,G2114,E:E,E2114))</f>
        <v>36480247.665929198</v>
      </c>
      <c r="AJ2114" s="19">
        <f t="shared" ref="AJ2114:AJ2177" si="634">IF(P2114="C66 SERVICE","",SUMIFS(AC:AC,F:F,F2114,G:G,G2114,E:E,E2114))</f>
        <v>5330996.6372757526</v>
      </c>
      <c r="AK2114" s="20">
        <f t="shared" si="626"/>
        <v>0.14613378412599562</v>
      </c>
      <c r="AL2114" s="17"/>
      <c r="AM2114" s="17"/>
      <c r="AN2114" s="17"/>
      <c r="AO2114" s="17"/>
      <c r="AP2114" s="28" t="str">
        <f t="shared" si="627"/>
        <v>20227</v>
      </c>
      <c r="AQ2114" s="28" t="str">
        <f t="shared" si="628"/>
        <v>20227JPY</v>
      </c>
      <c r="AR2114" s="206" t="str">
        <f t="shared" si="629"/>
        <v>YAMAHA_Mounter</v>
      </c>
      <c r="AS2114" s="22">
        <f t="shared" si="630"/>
        <v>4</v>
      </c>
      <c r="AT2114" s="24" t="str">
        <f t="shared" si="631"/>
        <v>4-6 months</v>
      </c>
    </row>
    <row r="2115" spans="1:46" s="12" customFormat="1">
      <c r="A2115" s="33" t="str">
        <f t="shared" si="619"/>
        <v>FY 23/24</v>
      </c>
      <c r="B2115" s="152">
        <v>2023</v>
      </c>
      <c r="C2115" s="152">
        <v>8</v>
      </c>
      <c r="D2115" s="33" t="str">
        <f t="shared" si="620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21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22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32"/>
        <v>480000</v>
      </c>
      <c r="AA2115" s="13">
        <v>1.0920000000000001</v>
      </c>
      <c r="AB2115" s="21">
        <f t="shared" si="623"/>
        <v>463858.40707964607</v>
      </c>
      <c r="AC2115" s="130">
        <f t="shared" si="624"/>
        <v>51998.527433628326</v>
      </c>
      <c r="AD2115" s="169">
        <v>0.11210000000000001</v>
      </c>
      <c r="AE2115" s="154">
        <f t="shared" si="625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33"/>
        <v>22953677.784070797</v>
      </c>
      <c r="AJ2115" s="19">
        <f t="shared" si="634"/>
        <v>4168706.6744155753</v>
      </c>
      <c r="AK2115" s="20">
        <f t="shared" si="626"/>
        <v>0.18161388835511752</v>
      </c>
      <c r="AL2115" s="17"/>
      <c r="AM2115" s="17"/>
      <c r="AN2115" s="17"/>
      <c r="AO2115" s="17"/>
      <c r="AP2115" s="28" t="str">
        <f t="shared" si="627"/>
        <v>20238</v>
      </c>
      <c r="AQ2115" s="28" t="str">
        <f t="shared" si="628"/>
        <v>20238RMB</v>
      </c>
      <c r="AR2115" s="206" t="str">
        <f t="shared" si="629"/>
        <v>YAMAHA_Mounter</v>
      </c>
      <c r="AS2115" s="22">
        <f t="shared" si="630"/>
        <v>0</v>
      </c>
      <c r="AT2115" s="24" t="str">
        <f t="shared" si="631"/>
        <v>0-3 months</v>
      </c>
    </row>
    <row r="2116" spans="1:46" s="12" customFormat="1">
      <c r="A2116" s="33" t="str">
        <f t="shared" si="619"/>
        <v>FY 21/22</v>
      </c>
      <c r="B2116" s="152">
        <v>2022</v>
      </c>
      <c r="C2116" s="152">
        <v>3</v>
      </c>
      <c r="D2116" s="33" t="str">
        <f t="shared" si="620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21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22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32"/>
        <v>700000</v>
      </c>
      <c r="AA2116" s="13">
        <v>1.22</v>
      </c>
      <c r="AB2116" s="21">
        <f t="shared" si="623"/>
        <v>755752.21238938055</v>
      </c>
      <c r="AC2116" s="130">
        <f t="shared" si="624"/>
        <v>110490.97345132743</v>
      </c>
      <c r="AD2116" s="169">
        <v>0.1462</v>
      </c>
      <c r="AE2116" s="154">
        <f t="shared" si="625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33"/>
        <v>46600814.041769907</v>
      </c>
      <c r="AJ2116" s="19">
        <f t="shared" si="634"/>
        <v>5956366.3435927071</v>
      </c>
      <c r="AK2116" s="20">
        <f t="shared" si="626"/>
        <v>0.1278167874546958</v>
      </c>
      <c r="AL2116" s="17"/>
      <c r="AM2116" s="17"/>
      <c r="AN2116" s="17"/>
      <c r="AO2116" s="17"/>
      <c r="AP2116" s="28" t="str">
        <f t="shared" si="627"/>
        <v>20224</v>
      </c>
      <c r="AQ2116" s="28" t="str">
        <f t="shared" si="628"/>
        <v>20224RMB</v>
      </c>
      <c r="AR2116" s="206" t="str">
        <f t="shared" si="629"/>
        <v>YAMAHA_Non_Mounter</v>
      </c>
      <c r="AS2116" s="22">
        <f t="shared" si="630"/>
        <v>1</v>
      </c>
      <c r="AT2116" s="24" t="str">
        <f t="shared" si="631"/>
        <v>0-3 months</v>
      </c>
    </row>
    <row r="2117" spans="1:46" s="12" customFormat="1">
      <c r="A2117" s="33" t="str">
        <f t="shared" si="619"/>
        <v>FY 19/20</v>
      </c>
      <c r="B2117" s="152">
        <v>2020</v>
      </c>
      <c r="C2117" s="152">
        <v>3</v>
      </c>
      <c r="D2117" s="33" t="str">
        <f t="shared" si="620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21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22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32"/>
        <v>580000</v>
      </c>
      <c r="AA2117" s="13">
        <v>1.095</v>
      </c>
      <c r="AB2117" s="21">
        <f t="shared" si="623"/>
        <v>562035.39823008853</v>
      </c>
      <c r="AC2117" s="130">
        <f t="shared" si="624"/>
        <v>47267.176991150445</v>
      </c>
      <c r="AD2117" s="169">
        <v>8.4099999999999994E-2</v>
      </c>
      <c r="AE2117" s="154">
        <f t="shared" si="625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33"/>
        <v>33477255.428389374</v>
      </c>
      <c r="AJ2117" s="19">
        <f t="shared" si="634"/>
        <v>4578663.362915583</v>
      </c>
      <c r="AK2117" s="20">
        <f t="shared" si="626"/>
        <v>0.13676937682988152</v>
      </c>
      <c r="AL2117" s="17"/>
      <c r="AM2117" s="17"/>
      <c r="AN2117" s="17"/>
      <c r="AO2117" s="17"/>
      <c r="AP2117" s="28" t="str">
        <f t="shared" si="627"/>
        <v>20204</v>
      </c>
      <c r="AQ2117" s="28" t="str">
        <f t="shared" si="628"/>
        <v>20204RMB</v>
      </c>
      <c r="AR2117" s="206" t="str">
        <f t="shared" si="629"/>
        <v>YAMAHA_Mounter</v>
      </c>
      <c r="AS2117" s="22">
        <f t="shared" si="630"/>
        <v>1</v>
      </c>
      <c r="AT2117" s="24" t="str">
        <f t="shared" si="631"/>
        <v>0-3 months</v>
      </c>
    </row>
    <row r="2118" spans="1:46" s="12" customFormat="1">
      <c r="A2118" s="33" t="str">
        <f t="shared" si="619"/>
        <v>FY 20/21</v>
      </c>
      <c r="B2118" s="152">
        <v>2020</v>
      </c>
      <c r="C2118" s="152">
        <v>4</v>
      </c>
      <c r="D2118" s="33" t="str">
        <f t="shared" si="620"/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si="621"/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si="622"/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32"/>
        <v>770000</v>
      </c>
      <c r="AA2118" s="13">
        <v>1.095</v>
      </c>
      <c r="AB2118" s="21">
        <f t="shared" si="623"/>
        <v>746150.44247787609</v>
      </c>
      <c r="AC2118" s="130">
        <f t="shared" si="624"/>
        <v>65661.238938053095</v>
      </c>
      <c r="AD2118" s="169">
        <v>8.7999999999999995E-2</v>
      </c>
      <c r="AE2118" s="154">
        <f t="shared" si="625"/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33"/>
        <v>33477255.428389374</v>
      </c>
      <c r="AJ2118" s="19">
        <f t="shared" si="634"/>
        <v>4578663.362915583</v>
      </c>
      <c r="AK2118" s="20">
        <f t="shared" si="626"/>
        <v>0.13676937682988152</v>
      </c>
      <c r="AL2118" s="17"/>
      <c r="AM2118" s="17"/>
      <c r="AN2118" s="17"/>
      <c r="AO2118" s="17"/>
      <c r="AP2118" s="28" t="str">
        <f t="shared" si="627"/>
        <v>20204</v>
      </c>
      <c r="AQ2118" s="28" t="str">
        <f t="shared" si="628"/>
        <v>20204RMB</v>
      </c>
      <c r="AR2118" s="206" t="str">
        <f t="shared" si="629"/>
        <v>YAMAHA_Mounter</v>
      </c>
      <c r="AS2118" s="22">
        <f t="shared" si="630"/>
        <v>0</v>
      </c>
      <c r="AT2118" s="24" t="str">
        <f t="shared" si="631"/>
        <v>0-3 months</v>
      </c>
    </row>
    <row r="2119" spans="1:46" s="12" customFormat="1">
      <c r="A2119" s="33" t="str">
        <f t="shared" si="619"/>
        <v>FY 22/23</v>
      </c>
      <c r="B2119" s="152">
        <v>2022</v>
      </c>
      <c r="C2119" s="152">
        <v>8</v>
      </c>
      <c r="D2119" s="33" t="str">
        <f t="shared" si="620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1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2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32"/>
        <v>1133889</v>
      </c>
      <c r="AA2119" s="13">
        <v>1.08</v>
      </c>
      <c r="AB2119" s="21">
        <f t="shared" si="623"/>
        <v>1083716.9203539826</v>
      </c>
      <c r="AC2119" s="130">
        <f t="shared" si="624"/>
        <v>164941.71527787615</v>
      </c>
      <c r="AD2119" s="169">
        <v>0.1522</v>
      </c>
      <c r="AE2119" s="154">
        <f t="shared" si="625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33"/>
        <v>31017966.201968137</v>
      </c>
      <c r="AJ2119" s="19">
        <f t="shared" si="634"/>
        <v>4704250.3347305888</v>
      </c>
      <c r="AK2119" s="20">
        <f t="shared" si="626"/>
        <v>0.15166211427595458</v>
      </c>
      <c r="AL2119" s="17"/>
      <c r="AM2119" s="17"/>
      <c r="AN2119" s="17"/>
      <c r="AO2119" s="17"/>
      <c r="AP2119" s="28" t="str">
        <f t="shared" si="627"/>
        <v>202211</v>
      </c>
      <c r="AQ2119" s="28" t="str">
        <f t="shared" si="628"/>
        <v>202211RMB</v>
      </c>
      <c r="AR2119" s="206" t="str">
        <f t="shared" si="629"/>
        <v>YAMAHA_Mounter</v>
      </c>
      <c r="AS2119" s="22">
        <f t="shared" si="630"/>
        <v>3</v>
      </c>
      <c r="AT2119" s="24" t="str">
        <f t="shared" si="631"/>
        <v>0-3 months</v>
      </c>
    </row>
    <row r="2120" spans="1:46" s="12" customFormat="1">
      <c r="A2120" s="33" t="str">
        <f t="shared" si="619"/>
        <v>FY 22/23</v>
      </c>
      <c r="B2120" s="152">
        <v>2022</v>
      </c>
      <c r="C2120" s="152">
        <v>8</v>
      </c>
      <c r="D2120" s="33" t="str">
        <f t="shared" si="620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1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2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32"/>
        <v>545000</v>
      </c>
      <c r="AA2120" s="13">
        <v>1.08</v>
      </c>
      <c r="AB2120" s="21">
        <f t="shared" si="623"/>
        <v>520884.95575221244</v>
      </c>
      <c r="AC2120" s="130">
        <f t="shared" si="624"/>
        <v>79278.69026548673</v>
      </c>
      <c r="AD2120" s="169">
        <v>0.1522</v>
      </c>
      <c r="AE2120" s="154">
        <f t="shared" si="625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33"/>
        <v>31017966.201968137</v>
      </c>
      <c r="AJ2120" s="19">
        <f t="shared" si="634"/>
        <v>4704250.3347305888</v>
      </c>
      <c r="AK2120" s="20">
        <f t="shared" si="626"/>
        <v>0.15166211427595458</v>
      </c>
      <c r="AL2120" s="17"/>
      <c r="AM2120" s="17"/>
      <c r="AN2120" s="17"/>
      <c r="AO2120" s="17"/>
      <c r="AP2120" s="28" t="str">
        <f t="shared" si="627"/>
        <v>202211</v>
      </c>
      <c r="AQ2120" s="28" t="str">
        <f t="shared" si="628"/>
        <v>202211RMB</v>
      </c>
      <c r="AR2120" s="206" t="str">
        <f t="shared" si="629"/>
        <v>YAMAHA_Mounter</v>
      </c>
      <c r="AS2120" s="22">
        <f t="shared" si="630"/>
        <v>3</v>
      </c>
      <c r="AT2120" s="24" t="str">
        <f t="shared" si="631"/>
        <v>0-3 months</v>
      </c>
    </row>
    <row r="2121" spans="1:46" s="12" customFormat="1">
      <c r="A2121" s="33" t="str">
        <f t="shared" si="619"/>
        <v>FY 22/23</v>
      </c>
      <c r="B2121" s="152">
        <v>2022</v>
      </c>
      <c r="C2121" s="152">
        <v>8</v>
      </c>
      <c r="D2121" s="33" t="str">
        <f t="shared" si="620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1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2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32"/>
        <v>680000</v>
      </c>
      <c r="AA2121" s="13">
        <v>1.08</v>
      </c>
      <c r="AB2121" s="21">
        <f t="shared" si="623"/>
        <v>649911.50442477886</v>
      </c>
      <c r="AC2121" s="130">
        <f t="shared" si="624"/>
        <v>98916.530973451343</v>
      </c>
      <c r="AD2121" s="169">
        <v>0.1522</v>
      </c>
      <c r="AE2121" s="154">
        <f t="shared" si="625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33"/>
        <v>31017966.201968137</v>
      </c>
      <c r="AJ2121" s="19">
        <f t="shared" si="634"/>
        <v>4704250.3347305888</v>
      </c>
      <c r="AK2121" s="20">
        <f t="shared" si="626"/>
        <v>0.15166211427595458</v>
      </c>
      <c r="AL2121" s="17"/>
      <c r="AM2121" s="17"/>
      <c r="AN2121" s="17"/>
      <c r="AO2121" s="17"/>
      <c r="AP2121" s="28" t="str">
        <f t="shared" si="627"/>
        <v>202211</v>
      </c>
      <c r="AQ2121" s="28" t="str">
        <f t="shared" si="628"/>
        <v>202211RMB</v>
      </c>
      <c r="AR2121" s="206" t="str">
        <f t="shared" si="629"/>
        <v>YAMAHA_Mounter</v>
      </c>
      <c r="AS2121" s="22">
        <f t="shared" si="630"/>
        <v>3</v>
      </c>
      <c r="AT2121" s="24" t="str">
        <f t="shared" si="631"/>
        <v>0-3 months</v>
      </c>
    </row>
    <row r="2122" spans="1:46" s="12" customFormat="1">
      <c r="A2122" s="33" t="str">
        <f t="shared" si="619"/>
        <v>FY 20/21</v>
      </c>
      <c r="B2122" s="152">
        <v>2020</v>
      </c>
      <c r="C2122" s="152">
        <v>5</v>
      </c>
      <c r="D2122" s="33" t="str">
        <f t="shared" si="620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1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2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si="632"/>
        <v>950000</v>
      </c>
      <c r="AA2122" s="13">
        <v>1.105</v>
      </c>
      <c r="AB2122" s="21">
        <f t="shared" si="623"/>
        <v>928982.30088495591</v>
      </c>
      <c r="AC2122" s="130">
        <f t="shared" si="624"/>
        <v>75247.566371681431</v>
      </c>
      <c r="AD2122" s="169">
        <v>8.1000000000000003E-2</v>
      </c>
      <c r="AE2122" s="154">
        <f t="shared" si="625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33"/>
        <v>37969334.083628319</v>
      </c>
      <c r="AJ2122" s="19">
        <f t="shared" si="634"/>
        <v>5097226.4551657084</v>
      </c>
      <c r="AK2122" s="20">
        <f t="shared" si="626"/>
        <v>0.13424587441904964</v>
      </c>
      <c r="AL2122" s="17"/>
      <c r="AM2122" s="17"/>
      <c r="AN2122" s="17"/>
      <c r="AO2122" s="17"/>
      <c r="AP2122" s="28" t="str">
        <f t="shared" si="627"/>
        <v>20208</v>
      </c>
      <c r="AQ2122" s="28" t="str">
        <f t="shared" si="628"/>
        <v>20208RMB</v>
      </c>
      <c r="AR2122" s="206" t="str">
        <f t="shared" si="629"/>
        <v>YAMAHA_Non_Mounter</v>
      </c>
      <c r="AS2122" s="22">
        <f t="shared" si="630"/>
        <v>3</v>
      </c>
      <c r="AT2122" s="24" t="str">
        <f t="shared" si="631"/>
        <v>0-3 months</v>
      </c>
    </row>
    <row r="2123" spans="1:46" s="12" customFormat="1">
      <c r="A2123" s="33" t="str">
        <f t="shared" si="619"/>
        <v>FY 22/23</v>
      </c>
      <c r="B2123" s="152">
        <v>2022</v>
      </c>
      <c r="C2123" s="152">
        <v>8</v>
      </c>
      <c r="D2123" s="33" t="str">
        <f t="shared" si="620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1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2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2"/>
        <v>600000</v>
      </c>
      <c r="AA2123" s="13">
        <v>1.08</v>
      </c>
      <c r="AB2123" s="21">
        <f t="shared" si="623"/>
        <v>573451.32743362838</v>
      </c>
      <c r="AC2123" s="130">
        <f t="shared" si="624"/>
        <v>168250.61946902657</v>
      </c>
      <c r="AD2123" s="169">
        <v>0.29339999999999999</v>
      </c>
      <c r="AE2123" s="154">
        <f t="shared" si="625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33"/>
        <v>31017966.201968137</v>
      </c>
      <c r="AJ2123" s="19">
        <f t="shared" si="634"/>
        <v>4704250.3347305888</v>
      </c>
      <c r="AK2123" s="20">
        <f t="shared" si="626"/>
        <v>0.15166211427595458</v>
      </c>
      <c r="AL2123" s="17"/>
      <c r="AM2123" s="17"/>
      <c r="AN2123" s="17"/>
      <c r="AO2123" s="17"/>
      <c r="AP2123" s="28" t="str">
        <f t="shared" si="627"/>
        <v>202211</v>
      </c>
      <c r="AQ2123" s="28" t="str">
        <f t="shared" si="628"/>
        <v>202211RMB</v>
      </c>
      <c r="AR2123" s="206" t="str">
        <f t="shared" si="629"/>
        <v>YAMAHA_Non_Mounter</v>
      </c>
      <c r="AS2123" s="22">
        <f t="shared" si="630"/>
        <v>3</v>
      </c>
      <c r="AT2123" s="24" t="str">
        <f t="shared" si="631"/>
        <v>0-3 months</v>
      </c>
    </row>
    <row r="2124" spans="1:46" s="12" customFormat="1">
      <c r="A2124" s="33" t="str">
        <f t="shared" si="619"/>
        <v>FY 22/23</v>
      </c>
      <c r="B2124" s="152">
        <v>2022</v>
      </c>
      <c r="C2124" s="152">
        <v>8</v>
      </c>
      <c r="D2124" s="33" t="str">
        <f t="shared" si="620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1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2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2"/>
        <v>600000</v>
      </c>
      <c r="AA2124" s="13">
        <v>1.08</v>
      </c>
      <c r="AB2124" s="21">
        <f t="shared" si="623"/>
        <v>573451.32743362838</v>
      </c>
      <c r="AC2124" s="130">
        <f t="shared" si="624"/>
        <v>168250.61946902657</v>
      </c>
      <c r="AD2124" s="169">
        <v>0.29339999999999999</v>
      </c>
      <c r="AE2124" s="154">
        <f t="shared" si="625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33"/>
        <v>31017966.201968137</v>
      </c>
      <c r="AJ2124" s="19">
        <f t="shared" si="634"/>
        <v>4704250.3347305888</v>
      </c>
      <c r="AK2124" s="20">
        <f t="shared" si="626"/>
        <v>0.15166211427595458</v>
      </c>
      <c r="AL2124" s="17"/>
      <c r="AM2124" s="17"/>
      <c r="AN2124" s="17"/>
      <c r="AO2124" s="17"/>
      <c r="AP2124" s="28" t="str">
        <f t="shared" si="627"/>
        <v>202211</v>
      </c>
      <c r="AQ2124" s="28" t="str">
        <f t="shared" si="628"/>
        <v>202211RMB</v>
      </c>
      <c r="AR2124" s="206" t="str">
        <f t="shared" si="629"/>
        <v>YAMAHA_Non_Mounter</v>
      </c>
      <c r="AS2124" s="22">
        <f t="shared" si="630"/>
        <v>3</v>
      </c>
      <c r="AT2124" s="24" t="str">
        <f t="shared" si="631"/>
        <v>0-3 months</v>
      </c>
    </row>
    <row r="2125" spans="1:46" s="12" customFormat="1">
      <c r="A2125" s="33" t="str">
        <f t="shared" si="619"/>
        <v>FY 22/23</v>
      </c>
      <c r="B2125" s="152">
        <v>2022</v>
      </c>
      <c r="C2125" s="152">
        <v>8</v>
      </c>
      <c r="D2125" s="33" t="str">
        <f t="shared" si="620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1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2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2"/>
        <v>600000</v>
      </c>
      <c r="AA2125" s="13">
        <v>1.08</v>
      </c>
      <c r="AB2125" s="21">
        <f t="shared" si="623"/>
        <v>573451.32743362838</v>
      </c>
      <c r="AC2125" s="130">
        <f t="shared" si="624"/>
        <v>168250.61946902657</v>
      </c>
      <c r="AD2125" s="169">
        <v>0.29339999999999999</v>
      </c>
      <c r="AE2125" s="154">
        <f t="shared" si="625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33"/>
        <v>31017966.201968137</v>
      </c>
      <c r="AJ2125" s="19">
        <f t="shared" si="634"/>
        <v>4704250.3347305888</v>
      </c>
      <c r="AK2125" s="20">
        <f t="shared" si="626"/>
        <v>0.15166211427595458</v>
      </c>
      <c r="AL2125" s="17"/>
      <c r="AM2125" s="17"/>
      <c r="AN2125" s="17"/>
      <c r="AO2125" s="17"/>
      <c r="AP2125" s="28" t="str">
        <f t="shared" si="627"/>
        <v>202211</v>
      </c>
      <c r="AQ2125" s="28" t="str">
        <f t="shared" si="628"/>
        <v>202211RMB</v>
      </c>
      <c r="AR2125" s="206" t="str">
        <f t="shared" si="629"/>
        <v>YAMAHA_Non_Mounter</v>
      </c>
      <c r="AS2125" s="22">
        <f t="shared" si="630"/>
        <v>3</v>
      </c>
      <c r="AT2125" s="24" t="str">
        <f t="shared" si="631"/>
        <v>0-3 months</v>
      </c>
    </row>
    <row r="2126" spans="1:46" s="12" customFormat="1">
      <c r="A2126" s="33" t="str">
        <f t="shared" si="619"/>
        <v>FY 22/23</v>
      </c>
      <c r="B2126" s="152">
        <v>2022</v>
      </c>
      <c r="C2126" s="152">
        <v>8</v>
      </c>
      <c r="D2126" s="33" t="str">
        <f t="shared" si="620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1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2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2"/>
        <v>600000</v>
      </c>
      <c r="AA2126" s="13">
        <v>1.08</v>
      </c>
      <c r="AB2126" s="21">
        <f t="shared" si="623"/>
        <v>573451.32743362838</v>
      </c>
      <c r="AC2126" s="130">
        <f t="shared" si="624"/>
        <v>168250.61946902657</v>
      </c>
      <c r="AD2126" s="169">
        <v>0.29339999999999999</v>
      </c>
      <c r="AE2126" s="154">
        <f t="shared" si="625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33"/>
        <v>31017966.201968137</v>
      </c>
      <c r="AJ2126" s="19">
        <f t="shared" si="634"/>
        <v>4704250.3347305888</v>
      </c>
      <c r="AK2126" s="20">
        <f t="shared" si="626"/>
        <v>0.15166211427595458</v>
      </c>
      <c r="AL2126" s="17"/>
      <c r="AM2126" s="17"/>
      <c r="AN2126" s="17"/>
      <c r="AO2126" s="17"/>
      <c r="AP2126" s="28" t="str">
        <f t="shared" si="627"/>
        <v>202211</v>
      </c>
      <c r="AQ2126" s="28" t="str">
        <f t="shared" si="628"/>
        <v>202211RMB</v>
      </c>
      <c r="AR2126" s="206" t="str">
        <f t="shared" si="629"/>
        <v>YAMAHA_Non_Mounter</v>
      </c>
      <c r="AS2126" s="22">
        <f t="shared" si="630"/>
        <v>3</v>
      </c>
      <c r="AT2126" s="24" t="str">
        <f t="shared" si="631"/>
        <v>0-3 months</v>
      </c>
    </row>
    <row r="2127" spans="1:46" s="12" customFormat="1">
      <c r="A2127" s="33" t="str">
        <f t="shared" si="619"/>
        <v>FY 22/23</v>
      </c>
      <c r="B2127" s="152">
        <v>2023</v>
      </c>
      <c r="C2127" s="152">
        <v>2</v>
      </c>
      <c r="D2127" s="33" t="str">
        <f t="shared" si="620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1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2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2"/>
        <v>500000</v>
      </c>
      <c r="AA2127" s="13">
        <v>1.1299999999999999</v>
      </c>
      <c r="AB2127" s="21">
        <f t="shared" si="623"/>
        <v>500000</v>
      </c>
      <c r="AC2127" s="130">
        <f t="shared" si="624"/>
        <v>84550</v>
      </c>
      <c r="AD2127" s="169">
        <v>0.1691</v>
      </c>
      <c r="AE2127" s="154">
        <f t="shared" si="625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33"/>
        <v>33543315.897345133</v>
      </c>
      <c r="AJ2127" s="19">
        <f t="shared" si="634"/>
        <v>4706169.3252984071</v>
      </c>
      <c r="AK2127" s="20">
        <f t="shared" si="626"/>
        <v>0.14030125523967318</v>
      </c>
      <c r="AL2127" s="17"/>
      <c r="AM2127" s="17"/>
      <c r="AN2127" s="17"/>
      <c r="AO2127" s="17"/>
      <c r="AP2127" s="28" t="str">
        <f t="shared" si="627"/>
        <v>20233</v>
      </c>
      <c r="AQ2127" s="28" t="str">
        <f t="shared" si="628"/>
        <v>20233RMB</v>
      </c>
      <c r="AR2127" s="206" t="str">
        <f t="shared" si="629"/>
        <v>YAMAHA_Non_Mounter</v>
      </c>
      <c r="AS2127" s="22">
        <f t="shared" si="630"/>
        <v>1</v>
      </c>
      <c r="AT2127" s="24" t="str">
        <f t="shared" si="631"/>
        <v>0-3 months</v>
      </c>
    </row>
    <row r="2128" spans="1:46" s="12" customFormat="1">
      <c r="A2128" s="33" t="str">
        <f t="shared" si="619"/>
        <v>FY 17/18</v>
      </c>
      <c r="B2128" s="152">
        <v>2018</v>
      </c>
      <c r="C2128" s="152">
        <v>1</v>
      </c>
      <c r="D2128" s="33" t="str">
        <f t="shared" si="620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1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2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2"/>
        <v>528000</v>
      </c>
      <c r="AA2128" s="13">
        <v>1.23</v>
      </c>
      <c r="AB2128" s="21">
        <f t="shared" si="623"/>
        <v>555076.92307692312</v>
      </c>
      <c r="AC2128" s="130">
        <f t="shared" si="624"/>
        <v>92586.830769230772</v>
      </c>
      <c r="AD2128" s="169">
        <v>0.1668</v>
      </c>
      <c r="AE2128" s="154">
        <f t="shared" si="625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33"/>
        <v>29288201.603076916</v>
      </c>
      <c r="AJ2128" s="19">
        <f t="shared" si="634"/>
        <v>3870159.1769246152</v>
      </c>
      <c r="AK2128" s="20">
        <f t="shared" si="626"/>
        <v>0.13214055370740244</v>
      </c>
      <c r="AL2128" s="17"/>
      <c r="AM2128" s="17"/>
      <c r="AN2128" s="17"/>
      <c r="AO2128" s="17"/>
      <c r="AP2128" s="28" t="str">
        <f t="shared" si="627"/>
        <v>20184</v>
      </c>
      <c r="AQ2128" s="28" t="str">
        <f t="shared" si="628"/>
        <v>20184RMB</v>
      </c>
      <c r="AR2128" s="206" t="str">
        <f t="shared" si="629"/>
        <v>YAMAHA_Mounter</v>
      </c>
      <c r="AS2128" s="22">
        <f t="shared" si="630"/>
        <v>3</v>
      </c>
      <c r="AT2128" s="24" t="str">
        <f t="shared" si="631"/>
        <v>0-3 months</v>
      </c>
    </row>
    <row r="2129" spans="1:46" s="12" customFormat="1">
      <c r="A2129" s="33" t="str">
        <f t="shared" si="619"/>
        <v>FY 20/21</v>
      </c>
      <c r="B2129" s="152">
        <v>2020</v>
      </c>
      <c r="C2129" s="152">
        <v>8</v>
      </c>
      <c r="D2129" s="33" t="str">
        <f t="shared" si="620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1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2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2"/>
        <v>980000</v>
      </c>
      <c r="AA2129" s="13">
        <v>1.135</v>
      </c>
      <c r="AB2129" s="21">
        <f t="shared" si="623"/>
        <v>984336.28318584082</v>
      </c>
      <c r="AC2129" s="130">
        <f t="shared" si="624"/>
        <v>126388.77876106194</v>
      </c>
      <c r="AD2129" s="169">
        <v>0.12839999999999999</v>
      </c>
      <c r="AE2129" s="154">
        <f t="shared" si="625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33"/>
        <v>28011162.254106201</v>
      </c>
      <c r="AJ2129" s="19">
        <f t="shared" si="634"/>
        <v>3401347.1124888416</v>
      </c>
      <c r="AK2129" s="20">
        <f t="shared" si="626"/>
        <v>0.12142827497242578</v>
      </c>
      <c r="AL2129" s="17"/>
      <c r="AM2129" s="17"/>
      <c r="AN2129" s="17"/>
      <c r="AO2129" s="17"/>
      <c r="AP2129" s="28" t="str">
        <f t="shared" si="627"/>
        <v>202010</v>
      </c>
      <c r="AQ2129" s="28" t="str">
        <f t="shared" si="628"/>
        <v>202010RMB</v>
      </c>
      <c r="AR2129" s="206" t="str">
        <f t="shared" si="629"/>
        <v>YAMAHA_Mounter</v>
      </c>
      <c r="AS2129" s="22">
        <f t="shared" si="630"/>
        <v>2</v>
      </c>
      <c r="AT2129" s="24" t="str">
        <f t="shared" si="631"/>
        <v>0-3 months</v>
      </c>
    </row>
    <row r="2130" spans="1:46" s="12" customFormat="1">
      <c r="A2130" s="33" t="str">
        <f t="shared" si="619"/>
        <v>FY 20/21</v>
      </c>
      <c r="B2130" s="152">
        <v>2020</v>
      </c>
      <c r="C2130" s="152">
        <v>8</v>
      </c>
      <c r="D2130" s="33" t="str">
        <f t="shared" si="620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1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2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2"/>
        <v>700000</v>
      </c>
      <c r="AA2130" s="13">
        <v>1.135</v>
      </c>
      <c r="AB2130" s="21">
        <f t="shared" si="623"/>
        <v>703097.34513274336</v>
      </c>
      <c r="AC2130" s="130">
        <f t="shared" si="624"/>
        <v>90277.699115044234</v>
      </c>
      <c r="AD2130" s="169">
        <v>0.12839999999999999</v>
      </c>
      <c r="AE2130" s="154">
        <f t="shared" si="625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33"/>
        <v>28011162.254106201</v>
      </c>
      <c r="AJ2130" s="19">
        <f t="shared" si="634"/>
        <v>3401347.1124888416</v>
      </c>
      <c r="AK2130" s="20">
        <f t="shared" si="626"/>
        <v>0.12142827497242578</v>
      </c>
      <c r="AL2130" s="17"/>
      <c r="AM2130" s="17"/>
      <c r="AN2130" s="17"/>
      <c r="AO2130" s="17"/>
      <c r="AP2130" s="28" t="str">
        <f t="shared" si="627"/>
        <v>202010</v>
      </c>
      <c r="AQ2130" s="28" t="str">
        <f t="shared" si="628"/>
        <v>202010RMB</v>
      </c>
      <c r="AR2130" s="206" t="str">
        <f t="shared" si="629"/>
        <v>YAMAHA_Mounter</v>
      </c>
      <c r="AS2130" s="22">
        <f t="shared" si="630"/>
        <v>2</v>
      </c>
      <c r="AT2130" s="24" t="str">
        <f t="shared" si="631"/>
        <v>0-3 months</v>
      </c>
    </row>
    <row r="2131" spans="1:46" s="12" customFormat="1">
      <c r="A2131" s="33" t="str">
        <f t="shared" si="619"/>
        <v>FY 22/23</v>
      </c>
      <c r="B2131" s="152">
        <v>2022</v>
      </c>
      <c r="C2131" s="152">
        <v>5</v>
      </c>
      <c r="D2131" s="33" t="str">
        <f t="shared" si="620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1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2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5">IF(W2131="RMB","1.13", "1")</f>
        <v>1.13</v>
      </c>
      <c r="Z2131" s="18">
        <f t="shared" si="632"/>
        <v>520000</v>
      </c>
      <c r="AA2131" s="13">
        <v>1.1599999999999999</v>
      </c>
      <c r="AB2131" s="21">
        <f t="shared" si="623"/>
        <v>533805.30973451328</v>
      </c>
      <c r="AC2131" s="130">
        <f t="shared" si="624"/>
        <v>75373.30973451327</v>
      </c>
      <c r="AD2131" s="169">
        <v>0.14119999999999999</v>
      </c>
      <c r="AE2131" s="154">
        <f t="shared" si="625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33"/>
        <v>21045012.884955753</v>
      </c>
      <c r="AJ2131" s="19">
        <f t="shared" si="634"/>
        <v>2650260.9603327443</v>
      </c>
      <c r="AK2131" s="20">
        <f t="shared" si="626"/>
        <v>0.12593296924172048</v>
      </c>
      <c r="AL2131" s="17"/>
      <c r="AM2131" s="17"/>
      <c r="AN2131" s="17"/>
      <c r="AO2131" s="17"/>
      <c r="AP2131" s="28" t="str">
        <f t="shared" si="627"/>
        <v>20232</v>
      </c>
      <c r="AQ2131" s="28" t="str">
        <f t="shared" si="628"/>
        <v>20232RMB</v>
      </c>
      <c r="AR2131" s="206" t="str">
        <f t="shared" si="629"/>
        <v>YAMAHA_Mounter</v>
      </c>
      <c r="AS2131" s="22">
        <f t="shared" si="630"/>
        <v>9</v>
      </c>
      <c r="AT2131" s="24" t="str">
        <f t="shared" si="631"/>
        <v>&gt; 6 months</v>
      </c>
    </row>
    <row r="2132" spans="1:46" s="12" customFormat="1">
      <c r="A2132" s="33" t="str">
        <f t="shared" si="619"/>
        <v>FY 22/23</v>
      </c>
      <c r="B2132" s="152">
        <v>2022</v>
      </c>
      <c r="C2132" s="152">
        <v>5</v>
      </c>
      <c r="D2132" s="33" t="str">
        <f t="shared" si="620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1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2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5"/>
        <v>1.13</v>
      </c>
      <c r="Z2132" s="18">
        <f t="shared" si="632"/>
        <v>520000</v>
      </c>
      <c r="AA2132" s="13">
        <v>1.1599999999999999</v>
      </c>
      <c r="AB2132" s="21">
        <f t="shared" si="623"/>
        <v>533805.30973451328</v>
      </c>
      <c r="AC2132" s="130">
        <f t="shared" si="624"/>
        <v>75373.30973451327</v>
      </c>
      <c r="AD2132" s="169">
        <v>0.14119999999999999</v>
      </c>
      <c r="AE2132" s="154">
        <f t="shared" si="625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33"/>
        <v>21045012.884955753</v>
      </c>
      <c r="AJ2132" s="19">
        <f t="shared" si="634"/>
        <v>2650260.9603327443</v>
      </c>
      <c r="AK2132" s="20">
        <f t="shared" si="626"/>
        <v>0.12593296924172048</v>
      </c>
      <c r="AL2132" s="17"/>
      <c r="AM2132" s="17"/>
      <c r="AN2132" s="17"/>
      <c r="AO2132" s="17"/>
      <c r="AP2132" s="28" t="str">
        <f t="shared" si="627"/>
        <v>20232</v>
      </c>
      <c r="AQ2132" s="28" t="str">
        <f t="shared" si="628"/>
        <v>20232RMB</v>
      </c>
      <c r="AR2132" s="206" t="str">
        <f t="shared" si="629"/>
        <v>YAMAHA_Mounter</v>
      </c>
      <c r="AS2132" s="22">
        <f t="shared" si="630"/>
        <v>9</v>
      </c>
      <c r="AT2132" s="24" t="str">
        <f t="shared" si="631"/>
        <v>&gt; 6 months</v>
      </c>
    </row>
    <row r="2133" spans="1:46" s="12" customFormat="1">
      <c r="A2133" s="33" t="str">
        <f t="shared" si="619"/>
        <v>FY 22/23</v>
      </c>
      <c r="B2133" s="152">
        <v>2022</v>
      </c>
      <c r="C2133" s="152">
        <v>5</v>
      </c>
      <c r="D2133" s="33" t="str">
        <f t="shared" si="620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1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2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5"/>
        <v>1.13</v>
      </c>
      <c r="Z2133" s="18">
        <f t="shared" si="632"/>
        <v>820000</v>
      </c>
      <c r="AA2133" s="13">
        <v>1.1599999999999999</v>
      </c>
      <c r="AB2133" s="21">
        <f t="shared" si="623"/>
        <v>841769.91150442488</v>
      </c>
      <c r="AC2133" s="130">
        <f t="shared" si="624"/>
        <v>118857.91150442479</v>
      </c>
      <c r="AD2133" s="169">
        <v>0.14119999999999999</v>
      </c>
      <c r="AE2133" s="154">
        <f t="shared" si="625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33"/>
        <v>21045012.884955753</v>
      </c>
      <c r="AJ2133" s="19">
        <f t="shared" si="634"/>
        <v>2650260.9603327443</v>
      </c>
      <c r="AK2133" s="20">
        <f t="shared" si="626"/>
        <v>0.12593296924172048</v>
      </c>
      <c r="AL2133" s="17"/>
      <c r="AM2133" s="17"/>
      <c r="AN2133" s="17"/>
      <c r="AO2133" s="17"/>
      <c r="AP2133" s="28" t="str">
        <f t="shared" si="627"/>
        <v>20232</v>
      </c>
      <c r="AQ2133" s="28" t="str">
        <f t="shared" si="628"/>
        <v>20232RMB</v>
      </c>
      <c r="AR2133" s="206" t="str">
        <f t="shared" si="629"/>
        <v>YAMAHA_Mounter</v>
      </c>
      <c r="AS2133" s="22">
        <f t="shared" si="630"/>
        <v>9</v>
      </c>
      <c r="AT2133" s="24" t="str">
        <f t="shared" si="631"/>
        <v>&gt; 6 months</v>
      </c>
    </row>
    <row r="2134" spans="1:46" s="12" customFormat="1">
      <c r="A2134" s="33" t="str">
        <f t="shared" si="619"/>
        <v>FY 22/23</v>
      </c>
      <c r="B2134" s="152">
        <v>2022</v>
      </c>
      <c r="C2134" s="152">
        <v>5</v>
      </c>
      <c r="D2134" s="33" t="str">
        <f t="shared" si="620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1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2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5"/>
        <v>1.13</v>
      </c>
      <c r="Z2134" s="18">
        <f t="shared" si="632"/>
        <v>820000</v>
      </c>
      <c r="AA2134" s="13">
        <v>1.1599999999999999</v>
      </c>
      <c r="AB2134" s="21">
        <f t="shared" si="623"/>
        <v>841769.91150442488</v>
      </c>
      <c r="AC2134" s="130">
        <f t="shared" si="624"/>
        <v>118857.91150442479</v>
      </c>
      <c r="AD2134" s="169">
        <v>0.14119999999999999</v>
      </c>
      <c r="AE2134" s="154">
        <f t="shared" si="625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33"/>
        <v>21045012.884955753</v>
      </c>
      <c r="AJ2134" s="19">
        <f t="shared" si="634"/>
        <v>2650260.9603327443</v>
      </c>
      <c r="AK2134" s="20">
        <f t="shared" si="626"/>
        <v>0.12593296924172048</v>
      </c>
      <c r="AL2134" s="17"/>
      <c r="AM2134" s="17"/>
      <c r="AN2134" s="17"/>
      <c r="AO2134" s="17"/>
      <c r="AP2134" s="28" t="str">
        <f t="shared" si="627"/>
        <v>20232</v>
      </c>
      <c r="AQ2134" s="28" t="str">
        <f t="shared" si="628"/>
        <v>20232RMB</v>
      </c>
      <c r="AR2134" s="206" t="str">
        <f t="shared" si="629"/>
        <v>YAMAHA_Mounter</v>
      </c>
      <c r="AS2134" s="22">
        <f t="shared" si="630"/>
        <v>9</v>
      </c>
      <c r="AT2134" s="24" t="str">
        <f t="shared" si="631"/>
        <v>&gt; 6 months</v>
      </c>
    </row>
    <row r="2135" spans="1:46" s="12" customFormat="1">
      <c r="A2135" s="33" t="str">
        <f t="shared" si="619"/>
        <v>FY 21/22</v>
      </c>
      <c r="B2135" s="152">
        <v>2021</v>
      </c>
      <c r="C2135" s="152">
        <v>4</v>
      </c>
      <c r="D2135" s="33" t="str">
        <f t="shared" si="620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1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2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5"/>
        <v>1.13</v>
      </c>
      <c r="Z2135" s="18">
        <f t="shared" si="632"/>
        <v>481416.5</v>
      </c>
      <c r="AA2135" s="13">
        <v>1.1950000000000001</v>
      </c>
      <c r="AB2135" s="21">
        <f t="shared" si="623"/>
        <v>509108.59955752222</v>
      </c>
      <c r="AC2135" s="130">
        <f t="shared" si="624"/>
        <v>74838.964134955764</v>
      </c>
      <c r="AD2135" s="169">
        <v>0.14699999999999999</v>
      </c>
      <c r="AE2135" s="154">
        <f t="shared" si="625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33"/>
        <v>63006605.696460173</v>
      </c>
      <c r="AJ2135" s="19">
        <f t="shared" si="634"/>
        <v>8897485.660753984</v>
      </c>
      <c r="AK2135" s="20">
        <f t="shared" si="626"/>
        <v>0.141215124388995</v>
      </c>
      <c r="AL2135" s="17"/>
      <c r="AM2135" s="17"/>
      <c r="AN2135" s="17"/>
      <c r="AO2135" s="17"/>
      <c r="AP2135" s="28" t="str">
        <f t="shared" si="627"/>
        <v>20215</v>
      </c>
      <c r="AQ2135" s="28" t="str">
        <f t="shared" si="628"/>
        <v>20215RMB</v>
      </c>
      <c r="AR2135" s="206" t="str">
        <f t="shared" si="629"/>
        <v>YAMAHA_Mounter</v>
      </c>
      <c r="AS2135" s="22">
        <f t="shared" si="630"/>
        <v>1</v>
      </c>
      <c r="AT2135" s="24" t="str">
        <f t="shared" si="631"/>
        <v>0-3 months</v>
      </c>
    </row>
    <row r="2136" spans="1:46" s="12" customFormat="1">
      <c r="A2136" s="33" t="str">
        <f t="shared" si="619"/>
        <v>FY 21/22</v>
      </c>
      <c r="B2136" s="152">
        <v>2021</v>
      </c>
      <c r="C2136" s="152">
        <v>4</v>
      </c>
      <c r="D2136" s="33" t="str">
        <f t="shared" si="620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1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2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5"/>
        <v>1.13</v>
      </c>
      <c r="Z2136" s="18">
        <f t="shared" si="632"/>
        <v>481416.5</v>
      </c>
      <c r="AA2136" s="13">
        <v>1.1950000000000001</v>
      </c>
      <c r="AB2136" s="21">
        <f t="shared" si="623"/>
        <v>509108.59955752222</v>
      </c>
      <c r="AC2136" s="130">
        <f t="shared" si="624"/>
        <v>74838.964134955764</v>
      </c>
      <c r="AD2136" s="169">
        <v>0.14699999999999999</v>
      </c>
      <c r="AE2136" s="154">
        <f t="shared" si="625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33"/>
        <v>63006605.696460173</v>
      </c>
      <c r="AJ2136" s="19">
        <f t="shared" si="634"/>
        <v>8897485.660753984</v>
      </c>
      <c r="AK2136" s="20">
        <f t="shared" si="626"/>
        <v>0.141215124388995</v>
      </c>
      <c r="AL2136" s="17"/>
      <c r="AM2136" s="17"/>
      <c r="AN2136" s="17"/>
      <c r="AO2136" s="17"/>
      <c r="AP2136" s="28" t="str">
        <f t="shared" si="627"/>
        <v>20215</v>
      </c>
      <c r="AQ2136" s="28" t="str">
        <f t="shared" si="628"/>
        <v>20215RMB</v>
      </c>
      <c r="AR2136" s="206" t="str">
        <f t="shared" si="629"/>
        <v>YAMAHA_Mounter</v>
      </c>
      <c r="AS2136" s="22">
        <f t="shared" si="630"/>
        <v>1</v>
      </c>
      <c r="AT2136" s="24" t="str">
        <f t="shared" si="631"/>
        <v>0-3 months</v>
      </c>
    </row>
    <row r="2137" spans="1:46" s="12" customFormat="1">
      <c r="A2137" s="33" t="str">
        <f t="shared" si="619"/>
        <v>FY 21/22</v>
      </c>
      <c r="B2137" s="152">
        <v>2021</v>
      </c>
      <c r="C2137" s="152">
        <v>4</v>
      </c>
      <c r="D2137" s="33" t="str">
        <f t="shared" si="620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1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2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5"/>
        <v>1.13</v>
      </c>
      <c r="Z2137" s="18">
        <f t="shared" si="632"/>
        <v>820700</v>
      </c>
      <c r="AA2137" s="13">
        <v>1.1950000000000001</v>
      </c>
      <c r="AB2137" s="21">
        <f t="shared" si="623"/>
        <v>867908.40707964625</v>
      </c>
      <c r="AC2137" s="130">
        <f t="shared" si="624"/>
        <v>127582.53584070799</v>
      </c>
      <c r="AD2137" s="169">
        <v>0.14699999999999999</v>
      </c>
      <c r="AE2137" s="154">
        <f t="shared" si="625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33"/>
        <v>63006605.696460173</v>
      </c>
      <c r="AJ2137" s="19">
        <f t="shared" si="634"/>
        <v>8897485.660753984</v>
      </c>
      <c r="AK2137" s="20">
        <f t="shared" si="626"/>
        <v>0.141215124388995</v>
      </c>
      <c r="AL2137" s="17"/>
      <c r="AM2137" s="17"/>
      <c r="AN2137" s="17"/>
      <c r="AO2137" s="17"/>
      <c r="AP2137" s="28" t="str">
        <f t="shared" si="627"/>
        <v>20215</v>
      </c>
      <c r="AQ2137" s="28" t="str">
        <f t="shared" si="628"/>
        <v>20215RMB</v>
      </c>
      <c r="AR2137" s="206" t="str">
        <f t="shared" si="629"/>
        <v>YAMAHA_Mounter</v>
      </c>
      <c r="AS2137" s="22">
        <f t="shared" si="630"/>
        <v>1</v>
      </c>
      <c r="AT2137" s="24" t="str">
        <f t="shared" si="631"/>
        <v>0-3 months</v>
      </c>
    </row>
    <row r="2138" spans="1:46" s="12" customFormat="1">
      <c r="A2138" s="33" t="str">
        <f t="shared" si="619"/>
        <v>FY 19/20</v>
      </c>
      <c r="B2138" s="152">
        <v>2019</v>
      </c>
      <c r="C2138" s="152">
        <v>10</v>
      </c>
      <c r="D2138" s="33" t="str">
        <f t="shared" si="620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1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2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2"/>
        <v>1009000</v>
      </c>
      <c r="AA2138" s="13">
        <v>1.1100000000000001</v>
      </c>
      <c r="AB2138" s="21">
        <f t="shared" si="623"/>
        <v>991141.5929203541</v>
      </c>
      <c r="AC2138" s="130">
        <f t="shared" si="624"/>
        <v>93761.994690265507</v>
      </c>
      <c r="AD2138" s="169">
        <v>9.4600000000000004E-2</v>
      </c>
      <c r="AE2138" s="154">
        <f t="shared" si="625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33"/>
        <v>27318180.088495575</v>
      </c>
      <c r="AJ2138" s="19">
        <f t="shared" si="634"/>
        <v>3014099.212353982</v>
      </c>
      <c r="AK2138" s="20">
        <f t="shared" si="626"/>
        <v>0.11033308963444827</v>
      </c>
      <c r="AL2138" s="17"/>
      <c r="AM2138" s="17"/>
      <c r="AN2138" s="17"/>
      <c r="AO2138" s="17"/>
      <c r="AP2138" s="28" t="str">
        <f t="shared" si="627"/>
        <v>201912</v>
      </c>
      <c r="AQ2138" s="28" t="str">
        <f t="shared" si="628"/>
        <v>201912RMB</v>
      </c>
      <c r="AR2138" s="206" t="str">
        <f t="shared" si="629"/>
        <v>YAMAHA_Mounter</v>
      </c>
      <c r="AS2138" s="22">
        <f t="shared" si="630"/>
        <v>2</v>
      </c>
      <c r="AT2138" s="24" t="str">
        <f t="shared" si="631"/>
        <v>0-3 months</v>
      </c>
    </row>
    <row r="2139" spans="1:46" s="12" customFormat="1">
      <c r="A2139" s="33" t="str">
        <f t="shared" si="619"/>
        <v>FY 19/20</v>
      </c>
      <c r="B2139" s="152">
        <v>2019</v>
      </c>
      <c r="C2139" s="152">
        <v>10</v>
      </c>
      <c r="D2139" s="33" t="str">
        <f t="shared" si="620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1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2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2"/>
        <v>1009000</v>
      </c>
      <c r="AA2139" s="13">
        <v>1.1100000000000001</v>
      </c>
      <c r="AB2139" s="21">
        <f t="shared" si="623"/>
        <v>991141.5929203541</v>
      </c>
      <c r="AC2139" s="130">
        <f t="shared" si="624"/>
        <v>93761.994690265507</v>
      </c>
      <c r="AD2139" s="169">
        <v>9.4600000000000004E-2</v>
      </c>
      <c r="AE2139" s="154">
        <f t="shared" si="625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33"/>
        <v>27318180.088495575</v>
      </c>
      <c r="AJ2139" s="19">
        <f t="shared" si="634"/>
        <v>3014099.212353982</v>
      </c>
      <c r="AK2139" s="20">
        <f t="shared" si="626"/>
        <v>0.11033308963444827</v>
      </c>
      <c r="AL2139" s="17"/>
      <c r="AM2139" s="17"/>
      <c r="AN2139" s="17"/>
      <c r="AO2139" s="17"/>
      <c r="AP2139" s="28" t="str">
        <f t="shared" si="627"/>
        <v>201912</v>
      </c>
      <c r="AQ2139" s="28" t="str">
        <f t="shared" si="628"/>
        <v>201912RMB</v>
      </c>
      <c r="AR2139" s="206" t="str">
        <f t="shared" si="629"/>
        <v>YAMAHA_Mounter</v>
      </c>
      <c r="AS2139" s="22">
        <f t="shared" si="630"/>
        <v>2</v>
      </c>
      <c r="AT2139" s="24" t="str">
        <f t="shared" si="631"/>
        <v>0-3 months</v>
      </c>
    </row>
    <row r="2140" spans="1:46" s="12" customFormat="1">
      <c r="A2140" s="33" t="str">
        <f t="shared" si="619"/>
        <v>FY 19/20</v>
      </c>
      <c r="B2140" s="152">
        <v>2019</v>
      </c>
      <c r="C2140" s="152">
        <v>10</v>
      </c>
      <c r="D2140" s="33" t="str">
        <f t="shared" si="620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1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2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2"/>
        <v>370000</v>
      </c>
      <c r="AA2140" s="13">
        <v>1.1100000000000001</v>
      </c>
      <c r="AB2140" s="21">
        <f t="shared" si="623"/>
        <v>363451.32743362838</v>
      </c>
      <c r="AC2140" s="130">
        <f t="shared" si="624"/>
        <v>41651.52212389381</v>
      </c>
      <c r="AD2140" s="169">
        <v>0.11459999999999999</v>
      </c>
      <c r="AE2140" s="154">
        <f t="shared" si="625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33"/>
        <v>27318180.088495575</v>
      </c>
      <c r="AJ2140" s="19">
        <f t="shared" si="634"/>
        <v>3014099.212353982</v>
      </c>
      <c r="AK2140" s="20">
        <f t="shared" si="626"/>
        <v>0.11033308963444827</v>
      </c>
      <c r="AL2140" s="17"/>
      <c r="AM2140" s="17"/>
      <c r="AN2140" s="17"/>
      <c r="AO2140" s="17"/>
      <c r="AP2140" s="28" t="str">
        <f t="shared" si="627"/>
        <v>201912</v>
      </c>
      <c r="AQ2140" s="28" t="str">
        <f t="shared" si="628"/>
        <v>201912RMB</v>
      </c>
      <c r="AR2140" s="206" t="str">
        <f t="shared" si="629"/>
        <v>YAMAHA_Non_Mounter</v>
      </c>
      <c r="AS2140" s="22">
        <f t="shared" si="630"/>
        <v>2</v>
      </c>
      <c r="AT2140" s="24" t="str">
        <f t="shared" si="631"/>
        <v>0-3 months</v>
      </c>
    </row>
    <row r="2141" spans="1:46" s="12" customFormat="1">
      <c r="A2141" s="33" t="str">
        <f t="shared" si="619"/>
        <v>FY 22/23</v>
      </c>
      <c r="B2141" s="152">
        <v>2022</v>
      </c>
      <c r="C2141" s="152">
        <v>11</v>
      </c>
      <c r="D2141" s="33" t="str">
        <f t="shared" si="620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1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2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6">IF(W2141="","",IF(W2141="RMB","1.13", "1"))</f>
        <v>1.13</v>
      </c>
      <c r="Z2141" s="18">
        <f t="shared" si="632"/>
        <v>380000</v>
      </c>
      <c r="AA2141" s="13">
        <v>1.135</v>
      </c>
      <c r="AB2141" s="21">
        <f t="shared" si="623"/>
        <v>381681.41592920356</v>
      </c>
      <c r="AC2141" s="130">
        <f t="shared" si="624"/>
        <v>67824.787610619474</v>
      </c>
      <c r="AD2141" s="169">
        <v>0.1777</v>
      </c>
      <c r="AE2141" s="154">
        <f t="shared" si="625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33"/>
        <v>28177779.013274338</v>
      </c>
      <c r="AJ2141" s="19">
        <f t="shared" si="634"/>
        <v>4727216.6376190251</v>
      </c>
      <c r="AK2141" s="20">
        <f t="shared" si="626"/>
        <v>0.1677639900359808</v>
      </c>
      <c r="AL2141" s="17"/>
      <c r="AM2141" s="17"/>
      <c r="AN2141" s="17"/>
      <c r="AO2141" s="17"/>
      <c r="AP2141" s="28" t="str">
        <f t="shared" si="627"/>
        <v>20235</v>
      </c>
      <c r="AQ2141" s="28" t="str">
        <f t="shared" si="628"/>
        <v>20235RMB</v>
      </c>
      <c r="AR2141" s="206" t="str">
        <f t="shared" si="629"/>
        <v>PEMTRON</v>
      </c>
      <c r="AS2141" s="22">
        <f t="shared" si="630"/>
        <v>6</v>
      </c>
      <c r="AT2141" s="24" t="str">
        <f t="shared" si="631"/>
        <v>4-6 months</v>
      </c>
    </row>
    <row r="2142" spans="1:46" s="12" customFormat="1">
      <c r="A2142" s="33" t="str">
        <f t="shared" si="619"/>
        <v>FY 22/23</v>
      </c>
      <c r="B2142" s="152">
        <v>2022</v>
      </c>
      <c r="C2142" s="152">
        <v>11</v>
      </c>
      <c r="D2142" s="33" t="str">
        <f t="shared" si="620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1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2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6"/>
        <v>1.13</v>
      </c>
      <c r="Z2142" s="18">
        <f t="shared" si="632"/>
        <v>380000</v>
      </c>
      <c r="AA2142" s="13">
        <v>1.135</v>
      </c>
      <c r="AB2142" s="21">
        <f t="shared" si="623"/>
        <v>381681.41592920356</v>
      </c>
      <c r="AC2142" s="130">
        <f t="shared" si="624"/>
        <v>67824.787610619474</v>
      </c>
      <c r="AD2142" s="169">
        <v>0.1777</v>
      </c>
      <c r="AE2142" s="154">
        <f t="shared" si="625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33"/>
        <v>28177779.013274338</v>
      </c>
      <c r="AJ2142" s="19">
        <f t="shared" si="634"/>
        <v>4727216.6376190251</v>
      </c>
      <c r="AK2142" s="20">
        <f t="shared" si="626"/>
        <v>0.1677639900359808</v>
      </c>
      <c r="AL2142" s="17"/>
      <c r="AM2142" s="17"/>
      <c r="AN2142" s="17"/>
      <c r="AO2142" s="17"/>
      <c r="AP2142" s="28" t="str">
        <f t="shared" si="627"/>
        <v>20235</v>
      </c>
      <c r="AQ2142" s="28" t="str">
        <f t="shared" si="628"/>
        <v>20235RMB</v>
      </c>
      <c r="AR2142" s="206" t="str">
        <f t="shared" si="629"/>
        <v>PEMTRON</v>
      </c>
      <c r="AS2142" s="22">
        <f t="shared" si="630"/>
        <v>6</v>
      </c>
      <c r="AT2142" s="24" t="str">
        <f t="shared" si="631"/>
        <v>4-6 months</v>
      </c>
    </row>
    <row r="2143" spans="1:46" s="12" customFormat="1">
      <c r="A2143" s="33" t="str">
        <f t="shared" si="619"/>
        <v>FY 22/23</v>
      </c>
      <c r="B2143" s="152">
        <v>2022</v>
      </c>
      <c r="C2143" s="152">
        <v>11</v>
      </c>
      <c r="D2143" s="33" t="str">
        <f t="shared" si="620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1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2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6"/>
        <v>1.13</v>
      </c>
      <c r="Z2143" s="18">
        <f t="shared" si="632"/>
        <v>380000</v>
      </c>
      <c r="AA2143" s="13">
        <v>1.135</v>
      </c>
      <c r="AB2143" s="21">
        <f t="shared" si="623"/>
        <v>381681.41592920356</v>
      </c>
      <c r="AC2143" s="130">
        <f t="shared" si="624"/>
        <v>67824.787610619474</v>
      </c>
      <c r="AD2143" s="169">
        <v>0.1777</v>
      </c>
      <c r="AE2143" s="154">
        <f t="shared" si="625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33"/>
        <v>28177779.013274338</v>
      </c>
      <c r="AJ2143" s="19">
        <f t="shared" si="634"/>
        <v>4727216.6376190251</v>
      </c>
      <c r="AK2143" s="20">
        <f t="shared" si="626"/>
        <v>0.1677639900359808</v>
      </c>
      <c r="AL2143" s="17"/>
      <c r="AM2143" s="17"/>
      <c r="AN2143" s="17"/>
      <c r="AO2143" s="17"/>
      <c r="AP2143" s="28" t="str">
        <f t="shared" si="627"/>
        <v>20235</v>
      </c>
      <c r="AQ2143" s="28" t="str">
        <f t="shared" si="628"/>
        <v>20235RMB</v>
      </c>
      <c r="AR2143" s="206" t="str">
        <f t="shared" si="629"/>
        <v>PEMTRON</v>
      </c>
      <c r="AS2143" s="22">
        <f t="shared" si="630"/>
        <v>6</v>
      </c>
      <c r="AT2143" s="24" t="str">
        <f t="shared" si="631"/>
        <v>4-6 months</v>
      </c>
    </row>
    <row r="2144" spans="1:46" s="12" customFormat="1">
      <c r="A2144" s="33" t="str">
        <f t="shared" ref="A2144:A2207" si="637">IF(C2144="cancel","cancel",IFERROR(IF(D2144="Q4","FY "&amp;RIGHT(B2144,2)-1&amp;"/"&amp;RIGHT(B2144,2),"FY "&amp;RIGHT(B2144,2)&amp;"/"&amp;RIGHT(B2144,2)+1),""))</f>
        <v>FY 22/23</v>
      </c>
      <c r="B2144" s="152">
        <v>2022</v>
      </c>
      <c r="C2144" s="152">
        <v>11</v>
      </c>
      <c r="D2144" s="33" t="str">
        <f t="shared" ref="D2144:D2207" si="638">IF(B2144="","",IF(AND(C2144&gt;=10,C2144&lt;=12),"Q3",IF(AND(C2144&gt;=1,C2144&lt;=3),"Q4",IF(AND(C2144&gt;=7,C2144&lt;=9),"Q2",IF(AND(C2144&gt;=4,C2144&lt;=6),"Q1")))))</f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ref="I2144:I2207" si="639">IFERROR(IF(F2144="","",IF(F2144="TBA","TBA",IF(F2144="Cancel","Cancel",IF(AND(G2144&gt;=10,G2144&lt;=12),"Q3",IF(AND(G2144&gt;=1,G2144&lt;=3),"Q4",IF(AND(G2144&gt;=7,G2144&lt;=9),"Q2",IF(AND(G2144&gt;=4,G2144&lt;=6),"Q1"))))))),"")</f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ref="P2144:P2207" si="640">IF(M2144="","",IF(AND(N2144&gt;0,L2144&lt;&gt;""),"MAIN UNIT",IF(AND(O2144&gt;0,L2144&lt;&gt;""),"SERVICE/ PARTS","C66 SERVICE/OTHERS")))</f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6"/>
        <v>1.13</v>
      </c>
      <c r="Z2144" s="18">
        <f t="shared" si="632"/>
        <v>380000</v>
      </c>
      <c r="AA2144" s="13">
        <v>1.135</v>
      </c>
      <c r="AB2144" s="21">
        <f t="shared" ref="AB2144:AB2207" si="641">IF(AND(R2144&lt;&gt;"C66",R2144&lt;&gt;""),Z2144/Y2144*AA2144,"")</f>
        <v>381681.41592920356</v>
      </c>
      <c r="AC2144" s="130">
        <f t="shared" ref="AC2144:AC2207" si="642">IF(R2144&lt;&gt;"",AB2144*AD2144,"")</f>
        <v>67824.787610619474</v>
      </c>
      <c r="AD2144" s="169">
        <v>0.1777</v>
      </c>
      <c r="AE2144" s="154">
        <f t="shared" ref="AE2144:AE2207" si="643">IF(Q2144="","",IF(Q2144="Yes",1,0))</f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33"/>
        <v>28177779.013274338</v>
      </c>
      <c r="AJ2144" s="19">
        <f t="shared" si="634"/>
        <v>4727216.6376190251</v>
      </c>
      <c r="AK2144" s="20">
        <f t="shared" ref="AK2144:AK2207" si="644">IF(AJ2144&gt;0,AJ2144/AI2144,"")</f>
        <v>0.1677639900359808</v>
      </c>
      <c r="AL2144" s="17"/>
      <c r="AM2144" s="17"/>
      <c r="AN2144" s="17"/>
      <c r="AO2144" s="17"/>
      <c r="AP2144" s="28" t="str">
        <f t="shared" ref="AP2144:AP2207" si="645">IF(F2144="","",F2144&amp;G2144)</f>
        <v>20235</v>
      </c>
      <c r="AQ2144" s="28" t="str">
        <f t="shared" ref="AQ2144:AQ2207" si="646">IF(W2144="","",F2144&amp;G2144&amp;W2144)</f>
        <v>20235RMB</v>
      </c>
      <c r="AR2144" s="206" t="str">
        <f t="shared" ref="AR2144:AR2207" si="647">IFERROR(IF(AND(M2144="YAMAHA", R2144="C28"), "YAMAHA_Non_Mounter", IF(AND(M2144="YAMAHA", R2144="C49"), "YAMAHA_Mounter", M2144)),"")</f>
        <v>PEMTRON</v>
      </c>
      <c r="AS2144" s="22">
        <f t="shared" ref="AS2144:AS2207" si="648">IFERROR(IF(OR(G2144="TBA", G2144=""), "", DATEDIF(DATE(B2144, C2144, 1), DATE(F2144, G2144, 1), "M")),"")</f>
        <v>6</v>
      </c>
      <c r="AT2144" s="24" t="str">
        <f t="shared" ref="AT2144:AT2207" si="649">IF(ISNUMBER(AS2144), IF(AS2144&gt;=0, IF(AS2144&lt;=3, "0-3 months", IF(AS2144&lt;=6, "4-6 months", "&gt; 6 months"))), "")</f>
        <v>4-6 months</v>
      </c>
    </row>
    <row r="2145" spans="1:46" s="12" customFormat="1">
      <c r="A2145" s="33" t="str">
        <f t="shared" si="637"/>
        <v>FY 22/23</v>
      </c>
      <c r="B2145" s="152">
        <v>2022</v>
      </c>
      <c r="C2145" s="152">
        <v>11</v>
      </c>
      <c r="D2145" s="33" t="str">
        <f t="shared" si="638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39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40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6"/>
        <v>1.13</v>
      </c>
      <c r="Z2145" s="18">
        <f t="shared" si="632"/>
        <v>380000</v>
      </c>
      <c r="AA2145" s="13">
        <v>1.135</v>
      </c>
      <c r="AB2145" s="21">
        <f t="shared" si="641"/>
        <v>381681.41592920356</v>
      </c>
      <c r="AC2145" s="130">
        <f t="shared" si="642"/>
        <v>67824.787610619474</v>
      </c>
      <c r="AD2145" s="169">
        <v>0.1777</v>
      </c>
      <c r="AE2145" s="154">
        <f t="shared" si="643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33"/>
        <v>28177779.013274338</v>
      </c>
      <c r="AJ2145" s="19">
        <f t="shared" si="634"/>
        <v>4727216.6376190251</v>
      </c>
      <c r="AK2145" s="20">
        <f t="shared" si="644"/>
        <v>0.1677639900359808</v>
      </c>
      <c r="AL2145" s="17"/>
      <c r="AM2145" s="17"/>
      <c r="AN2145" s="17"/>
      <c r="AO2145" s="17"/>
      <c r="AP2145" s="28" t="str">
        <f t="shared" si="645"/>
        <v>20235</v>
      </c>
      <c r="AQ2145" s="28" t="str">
        <f t="shared" si="646"/>
        <v>20235RMB</v>
      </c>
      <c r="AR2145" s="206" t="str">
        <f t="shared" si="647"/>
        <v>PEMTRON</v>
      </c>
      <c r="AS2145" s="22">
        <f t="shared" si="648"/>
        <v>6</v>
      </c>
      <c r="AT2145" s="24" t="str">
        <f t="shared" si="649"/>
        <v>4-6 months</v>
      </c>
    </row>
    <row r="2146" spans="1:46" s="12" customFormat="1">
      <c r="A2146" s="33" t="str">
        <f t="shared" si="637"/>
        <v>FY 22/23</v>
      </c>
      <c r="B2146" s="152">
        <v>2022</v>
      </c>
      <c r="C2146" s="152">
        <v>11</v>
      </c>
      <c r="D2146" s="33" t="str">
        <f t="shared" si="638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39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40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6"/>
        <v>1.13</v>
      </c>
      <c r="Z2146" s="18">
        <f t="shared" si="632"/>
        <v>380000</v>
      </c>
      <c r="AA2146" s="13">
        <v>1.135</v>
      </c>
      <c r="AB2146" s="21">
        <f t="shared" si="641"/>
        <v>381681.41592920356</v>
      </c>
      <c r="AC2146" s="130">
        <f t="shared" si="642"/>
        <v>67824.787610619474</v>
      </c>
      <c r="AD2146" s="169">
        <v>0.1777</v>
      </c>
      <c r="AE2146" s="154">
        <f t="shared" si="643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33"/>
        <v>28177779.013274338</v>
      </c>
      <c r="AJ2146" s="19">
        <f t="shared" si="634"/>
        <v>4727216.6376190251</v>
      </c>
      <c r="AK2146" s="20">
        <f t="shared" si="644"/>
        <v>0.1677639900359808</v>
      </c>
      <c r="AL2146" s="17"/>
      <c r="AM2146" s="17"/>
      <c r="AN2146" s="17"/>
      <c r="AO2146" s="17"/>
      <c r="AP2146" s="28" t="str">
        <f t="shared" si="645"/>
        <v>20235</v>
      </c>
      <c r="AQ2146" s="28" t="str">
        <f t="shared" si="646"/>
        <v>20235RMB</v>
      </c>
      <c r="AR2146" s="206" t="str">
        <f t="shared" si="647"/>
        <v>PEMTRON</v>
      </c>
      <c r="AS2146" s="22">
        <f t="shared" si="648"/>
        <v>6</v>
      </c>
      <c r="AT2146" s="24" t="str">
        <f t="shared" si="649"/>
        <v>4-6 months</v>
      </c>
    </row>
    <row r="2147" spans="1:46" s="12" customFormat="1">
      <c r="A2147" s="33" t="str">
        <f t="shared" si="637"/>
        <v>FY 22/23</v>
      </c>
      <c r="B2147" s="152">
        <v>2022</v>
      </c>
      <c r="C2147" s="152">
        <v>11</v>
      </c>
      <c r="D2147" s="33" t="str">
        <f t="shared" si="638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39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40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6"/>
        <v>1.13</v>
      </c>
      <c r="Z2147" s="18">
        <f t="shared" si="632"/>
        <v>380000</v>
      </c>
      <c r="AA2147" s="13">
        <v>1.135</v>
      </c>
      <c r="AB2147" s="21">
        <f t="shared" si="641"/>
        <v>381681.41592920356</v>
      </c>
      <c r="AC2147" s="130">
        <f t="shared" si="642"/>
        <v>67824.787610619474</v>
      </c>
      <c r="AD2147" s="169">
        <v>0.1777</v>
      </c>
      <c r="AE2147" s="154">
        <f t="shared" si="643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33"/>
        <v>28177779.013274338</v>
      </c>
      <c r="AJ2147" s="19">
        <f t="shared" si="634"/>
        <v>4727216.6376190251</v>
      </c>
      <c r="AK2147" s="20">
        <f t="shared" si="644"/>
        <v>0.1677639900359808</v>
      </c>
      <c r="AL2147" s="17"/>
      <c r="AM2147" s="17"/>
      <c r="AN2147" s="17"/>
      <c r="AO2147" s="17"/>
      <c r="AP2147" s="28" t="str">
        <f t="shared" si="645"/>
        <v>20235</v>
      </c>
      <c r="AQ2147" s="28" t="str">
        <f t="shared" si="646"/>
        <v>20235RMB</v>
      </c>
      <c r="AR2147" s="206" t="str">
        <f t="shared" si="647"/>
        <v>PEMTRON</v>
      </c>
      <c r="AS2147" s="22">
        <f t="shared" si="648"/>
        <v>6</v>
      </c>
      <c r="AT2147" s="24" t="str">
        <f t="shared" si="649"/>
        <v>4-6 months</v>
      </c>
    </row>
    <row r="2148" spans="1:46" s="12" customFormat="1">
      <c r="A2148" s="33" t="str">
        <f t="shared" si="637"/>
        <v>FY 24/25</v>
      </c>
      <c r="B2148" s="23">
        <v>2024</v>
      </c>
      <c r="C2148" s="152">
        <v>4</v>
      </c>
      <c r="D2148" s="33" t="str">
        <f t="shared" si="638"/>
        <v>Q1</v>
      </c>
      <c r="E2148" s="33" t="s">
        <v>3173</v>
      </c>
      <c r="F2148" s="23">
        <v>2024</v>
      </c>
      <c r="G2148" s="23">
        <v>6</v>
      </c>
      <c r="H2148" s="29"/>
      <c r="I2148" s="33" t="str">
        <f t="shared" si="639"/>
        <v>Q1</v>
      </c>
      <c r="J2148" s="190" t="s">
        <v>3384</v>
      </c>
      <c r="K2148" s="29" t="s">
        <v>3385</v>
      </c>
      <c r="L2148" s="17" t="s">
        <v>93</v>
      </c>
      <c r="M2148" s="22" t="s">
        <v>61</v>
      </c>
      <c r="N2148" s="22">
        <v>1</v>
      </c>
      <c r="O2148" s="22"/>
      <c r="P2148" s="33" t="str">
        <f t="shared" si="640"/>
        <v>MAIN UNIT</v>
      </c>
      <c r="Q2148" s="13" t="s">
        <v>69</v>
      </c>
      <c r="R2148" s="22" t="s">
        <v>63</v>
      </c>
      <c r="S2148" s="22" t="s">
        <v>50</v>
      </c>
      <c r="T2148" s="22" t="s">
        <v>79</v>
      </c>
      <c r="U2148" s="22" t="s">
        <v>79</v>
      </c>
      <c r="V2148" s="22" t="s">
        <v>312</v>
      </c>
      <c r="W2148" s="22" t="s">
        <v>110</v>
      </c>
      <c r="X2148" s="30">
        <v>12000000</v>
      </c>
      <c r="Y2148" s="31" t="str">
        <f t="shared" si="636"/>
        <v>1</v>
      </c>
      <c r="Z2148" s="18">
        <f t="shared" si="632"/>
        <v>12000000</v>
      </c>
      <c r="AA2148" s="22">
        <v>5.0999999999999997E-2</v>
      </c>
      <c r="AB2148" s="21">
        <f t="shared" si="641"/>
        <v>612000</v>
      </c>
      <c r="AC2148" s="25">
        <f t="shared" si="642"/>
        <v>50428.800000000003</v>
      </c>
      <c r="AD2148" s="192">
        <v>8.2400000000000001E-2</v>
      </c>
      <c r="AE2148" s="26">
        <f t="shared" si="643"/>
        <v>1</v>
      </c>
      <c r="AF2148" s="26" t="str">
        <f>IF(AND(COUNTIFS($J$18:J2148,J2148)=1,AE2148=1),1,"")</f>
        <v/>
      </c>
      <c r="AG2148" s="26" t="str">
        <f>IF(C2148="","",IF(AND(COUNTIFS($J$18:J2148,J2148)=1,C2148&lt;&gt;""),1,""))</f>
        <v/>
      </c>
      <c r="AH2148" s="26" t="str">
        <f>IF(G2148="","",IF(AND(COUNTIFS($J$18:J2148,J2148)=1,G2148&lt;&gt;""),1,""))</f>
        <v/>
      </c>
      <c r="AI2148" s="27">
        <f t="shared" si="633"/>
        <v>27308925.887079656</v>
      </c>
      <c r="AJ2148" s="27">
        <f t="shared" si="634"/>
        <v>3319273.860338124</v>
      </c>
      <c r="AK2148" s="28">
        <f t="shared" si="644"/>
        <v>0.12154538314919709</v>
      </c>
      <c r="AL2148" s="24"/>
      <c r="AM2148" s="24"/>
      <c r="AN2148" s="24"/>
      <c r="AO2148" s="24"/>
      <c r="AP2148" s="28" t="str">
        <f t="shared" si="645"/>
        <v>20246</v>
      </c>
      <c r="AQ2148" s="28" t="str">
        <f t="shared" si="646"/>
        <v>20246JPY</v>
      </c>
      <c r="AR2148" s="206" t="str">
        <f t="shared" si="647"/>
        <v>YAMAHA_Mounter</v>
      </c>
      <c r="AS2148" s="22">
        <f t="shared" si="648"/>
        <v>2</v>
      </c>
      <c r="AT2148" s="24" t="str">
        <f t="shared" si="649"/>
        <v>0-3 months</v>
      </c>
    </row>
    <row r="2149" spans="1:46" s="12" customFormat="1">
      <c r="A2149" s="33" t="str">
        <f t="shared" si="637"/>
        <v>FY 24/25</v>
      </c>
      <c r="B2149" s="23">
        <v>2024</v>
      </c>
      <c r="C2149" s="152">
        <v>4</v>
      </c>
      <c r="D2149" s="33" t="str">
        <f t="shared" si="638"/>
        <v>Q1</v>
      </c>
      <c r="E2149" s="33" t="str">
        <f>IF(G2149="Cancel","Cancel",IF(G2149="TBA","TBA",IFERROR(IF(I2149="Q4","FY "&amp;RIGHT(F2149,2)-1&amp;"/"&amp;RIGHT(F2149,2),"FY "&amp;RIGHT(F2149,2)&amp;"/"&amp;RIGHT(F2149,2)+1),"")))</f>
        <v>FY 24/25</v>
      </c>
      <c r="F2149" s="23">
        <v>2024</v>
      </c>
      <c r="G2149" s="23">
        <v>7</v>
      </c>
      <c r="H2149" s="29"/>
      <c r="I2149" s="33" t="str">
        <f t="shared" si="639"/>
        <v>Q2</v>
      </c>
      <c r="J2149" s="188" t="s">
        <v>3413</v>
      </c>
      <c r="K2149" s="29" t="s">
        <v>1831</v>
      </c>
      <c r="L2149" s="17" t="s">
        <v>68</v>
      </c>
      <c r="M2149" s="22" t="s">
        <v>61</v>
      </c>
      <c r="N2149" s="22">
        <v>1</v>
      </c>
      <c r="O2149" s="22"/>
      <c r="P2149" s="33" t="str">
        <f t="shared" si="640"/>
        <v>MAIN UNIT</v>
      </c>
      <c r="Q2149" s="13" t="s">
        <v>62</v>
      </c>
      <c r="R2149" s="22" t="s">
        <v>63</v>
      </c>
      <c r="S2149" s="22" t="s">
        <v>51</v>
      </c>
      <c r="T2149" s="22" t="s">
        <v>94</v>
      </c>
      <c r="U2149" s="22" t="s">
        <v>71</v>
      </c>
      <c r="V2149" s="22" t="s">
        <v>103</v>
      </c>
      <c r="W2149" s="22" t="s">
        <v>65</v>
      </c>
      <c r="X2149" s="30">
        <v>700000</v>
      </c>
      <c r="Y2149" s="31" t="str">
        <f t="shared" si="636"/>
        <v>1.13</v>
      </c>
      <c r="Z2149" s="18">
        <f t="shared" si="632"/>
        <v>700000</v>
      </c>
      <c r="AA2149" s="22">
        <v>1.075</v>
      </c>
      <c r="AB2149" s="21">
        <f t="shared" si="641"/>
        <v>665929.20353982295</v>
      </c>
      <c r="AC2149" s="25">
        <f t="shared" si="642"/>
        <v>165017.25663716812</v>
      </c>
      <c r="AD2149" s="169">
        <v>0.24779999999999999</v>
      </c>
      <c r="AE2149" s="26">
        <f t="shared" si="643"/>
        <v>0</v>
      </c>
      <c r="AF2149" s="26" t="str">
        <f>IF(AND(COUNTIFS($J$18:J2149,J2149)=1,AE2149=1),1,"")</f>
        <v/>
      </c>
      <c r="AG2149" s="26" t="str">
        <f>IF(C2149="","",IF(AND(COUNTIFS($J$18:J2149,J2149)=1,C2149&lt;&gt;""),1,""))</f>
        <v/>
      </c>
      <c r="AH2149" s="26" t="str">
        <f>IF(G2149="","",IF(AND(COUNTIFS($J$18:J2149,J2149)=1,G2149&lt;&gt;""),1,""))</f>
        <v/>
      </c>
      <c r="AI2149" s="27">
        <f t="shared" si="633"/>
        <v>25458266.694690265</v>
      </c>
      <c r="AJ2149" s="27">
        <f t="shared" si="634"/>
        <v>4116526.778578762</v>
      </c>
      <c r="AK2149" s="28">
        <f t="shared" si="644"/>
        <v>0.16169705612508689</v>
      </c>
      <c r="AL2149" s="24"/>
      <c r="AM2149" s="24"/>
      <c r="AN2149" s="24"/>
      <c r="AO2149" s="24"/>
      <c r="AP2149" s="28" t="str">
        <f t="shared" si="645"/>
        <v>20247</v>
      </c>
      <c r="AQ2149" s="28" t="str">
        <f t="shared" si="646"/>
        <v>20247RMB</v>
      </c>
      <c r="AR2149" s="206" t="str">
        <f t="shared" si="647"/>
        <v>YAMAHA_Mounter</v>
      </c>
      <c r="AS2149" s="22">
        <f t="shared" si="648"/>
        <v>3</v>
      </c>
      <c r="AT2149" s="24" t="str">
        <f t="shared" si="649"/>
        <v>0-3 months</v>
      </c>
    </row>
    <row r="2150" spans="1:46" s="12" customFormat="1">
      <c r="A2150" s="33" t="str">
        <f t="shared" si="637"/>
        <v>FY 19/20</v>
      </c>
      <c r="B2150" s="152">
        <v>2019</v>
      </c>
      <c r="C2150" s="152">
        <v>12</v>
      </c>
      <c r="D2150" s="33" t="str">
        <f t="shared" si="638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39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40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2"/>
        <v>740000</v>
      </c>
      <c r="AA2150" s="13">
        <v>1.089</v>
      </c>
      <c r="AB2150" s="21">
        <f t="shared" si="641"/>
        <v>713150.4424778762</v>
      </c>
      <c r="AC2150" s="130">
        <f t="shared" si="642"/>
        <v>67749.292035398234</v>
      </c>
      <c r="AD2150" s="169">
        <v>9.5000000000000001E-2</v>
      </c>
      <c r="AE2150" s="154">
        <f t="shared" si="643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33"/>
        <v>29183109.05575221</v>
      </c>
      <c r="AJ2150" s="19">
        <f t="shared" si="634"/>
        <v>3741266.5648721238</v>
      </c>
      <c r="AK2150" s="20">
        <f t="shared" si="644"/>
        <v>0.12819972531798121</v>
      </c>
      <c r="AL2150" s="17"/>
      <c r="AM2150" s="17"/>
      <c r="AN2150" s="17"/>
      <c r="AO2150" s="17"/>
      <c r="AP2150" s="28" t="str">
        <f t="shared" si="645"/>
        <v>20206</v>
      </c>
      <c r="AQ2150" s="28" t="str">
        <f t="shared" si="646"/>
        <v>20206RMB</v>
      </c>
      <c r="AR2150" s="206" t="str">
        <f t="shared" si="647"/>
        <v>YAMAHA_Mounter</v>
      </c>
      <c r="AS2150" s="22">
        <f t="shared" si="648"/>
        <v>6</v>
      </c>
      <c r="AT2150" s="24" t="str">
        <f t="shared" si="649"/>
        <v>4-6 months</v>
      </c>
    </row>
    <row r="2151" spans="1:46" s="12" customFormat="1">
      <c r="A2151" s="33" t="str">
        <f t="shared" si="637"/>
        <v>FY 22/23</v>
      </c>
      <c r="B2151" s="152">
        <v>2022</v>
      </c>
      <c r="C2151" s="152">
        <v>11</v>
      </c>
      <c r="D2151" s="33" t="str">
        <f t="shared" si="638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39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40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2"/>
        <v>460000</v>
      </c>
      <c r="AA2151" s="13">
        <v>1.105</v>
      </c>
      <c r="AB2151" s="21">
        <f t="shared" si="641"/>
        <v>449823.00884955755</v>
      </c>
      <c r="AC2151" s="130">
        <f t="shared" si="642"/>
        <v>61760.699115044255</v>
      </c>
      <c r="AD2151" s="169">
        <v>0.13730000000000001</v>
      </c>
      <c r="AE2151" s="154">
        <f t="shared" si="643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33"/>
        <v>13640480.497522123</v>
      </c>
      <c r="AJ2151" s="19">
        <f t="shared" si="634"/>
        <v>1928605.8020906283</v>
      </c>
      <c r="AK2151" s="20">
        <f t="shared" si="644"/>
        <v>0.1413884065477731</v>
      </c>
      <c r="AL2151" s="17"/>
      <c r="AM2151" s="17"/>
      <c r="AN2151" s="17"/>
      <c r="AO2151" s="17"/>
      <c r="AP2151" s="28" t="str">
        <f t="shared" si="645"/>
        <v>20236</v>
      </c>
      <c r="AQ2151" s="28" t="str">
        <f t="shared" si="646"/>
        <v>20236RMB</v>
      </c>
      <c r="AR2151" s="206" t="str">
        <f t="shared" si="647"/>
        <v>YAMAHA_Mounter</v>
      </c>
      <c r="AS2151" s="22">
        <f t="shared" si="648"/>
        <v>7</v>
      </c>
      <c r="AT2151" s="24" t="str">
        <f t="shared" si="649"/>
        <v>&gt; 6 months</v>
      </c>
    </row>
    <row r="2152" spans="1:46" s="12" customFormat="1">
      <c r="A2152" s="33" t="str">
        <f t="shared" si="637"/>
        <v>FY 20/21</v>
      </c>
      <c r="B2152" s="152">
        <v>2020</v>
      </c>
      <c r="C2152" s="152">
        <v>10</v>
      </c>
      <c r="D2152" s="33" t="str">
        <f t="shared" si="638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39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40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2"/>
        <v>1000000</v>
      </c>
      <c r="AA2152" s="13">
        <v>1.1850000000000001</v>
      </c>
      <c r="AB2152" s="21">
        <f t="shared" si="641"/>
        <v>1048672.5663716816</v>
      </c>
      <c r="AC2152" s="130">
        <f t="shared" si="642"/>
        <v>121226.54867256639</v>
      </c>
      <c r="AD2152" s="169">
        <v>0.11559999999999999</v>
      </c>
      <c r="AE2152" s="154">
        <f t="shared" si="643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33"/>
        <v>45803245.025628321</v>
      </c>
      <c r="AJ2152" s="19">
        <f t="shared" si="634"/>
        <v>5664636.2584379362</v>
      </c>
      <c r="AK2152" s="20">
        <f t="shared" si="644"/>
        <v>0.12367325186825515</v>
      </c>
      <c r="AL2152" s="17"/>
      <c r="AM2152" s="17"/>
      <c r="AN2152" s="17"/>
      <c r="AO2152" s="17"/>
      <c r="AP2152" s="28" t="str">
        <f t="shared" si="645"/>
        <v>20211</v>
      </c>
      <c r="AQ2152" s="28" t="str">
        <f t="shared" si="646"/>
        <v>20211RMB</v>
      </c>
      <c r="AR2152" s="206" t="str">
        <f t="shared" si="647"/>
        <v>YAMAHA_Mounter</v>
      </c>
      <c r="AS2152" s="22">
        <f t="shared" si="648"/>
        <v>3</v>
      </c>
      <c r="AT2152" s="24" t="str">
        <f t="shared" si="649"/>
        <v>0-3 months</v>
      </c>
    </row>
    <row r="2153" spans="1:46" s="12" customFormat="1">
      <c r="A2153" s="33" t="str">
        <f t="shared" si="637"/>
        <v>FY 20/21</v>
      </c>
      <c r="B2153" s="152">
        <v>2020</v>
      </c>
      <c r="C2153" s="152">
        <v>10</v>
      </c>
      <c r="D2153" s="33" t="str">
        <f t="shared" si="638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39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40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2"/>
        <v>800800</v>
      </c>
      <c r="AA2153" s="13">
        <v>1.1850000000000001</v>
      </c>
      <c r="AB2153" s="21">
        <f t="shared" si="641"/>
        <v>839776.99115044263</v>
      </c>
      <c r="AC2153" s="130">
        <f t="shared" si="642"/>
        <v>97078.220176991163</v>
      </c>
      <c r="AD2153" s="169">
        <v>0.11559999999999999</v>
      </c>
      <c r="AE2153" s="154">
        <f t="shared" si="643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33"/>
        <v>45803245.025628321</v>
      </c>
      <c r="AJ2153" s="19">
        <f t="shared" si="634"/>
        <v>5664636.2584379362</v>
      </c>
      <c r="AK2153" s="20">
        <f t="shared" si="644"/>
        <v>0.12367325186825515</v>
      </c>
      <c r="AL2153" s="17"/>
      <c r="AM2153" s="17"/>
      <c r="AN2153" s="17"/>
      <c r="AO2153" s="17"/>
      <c r="AP2153" s="28" t="str">
        <f t="shared" si="645"/>
        <v>20211</v>
      </c>
      <c r="AQ2153" s="28" t="str">
        <f t="shared" si="646"/>
        <v>20211RMB</v>
      </c>
      <c r="AR2153" s="206" t="str">
        <f t="shared" si="647"/>
        <v>YAMAHA_Mounter</v>
      </c>
      <c r="AS2153" s="22">
        <f t="shared" si="648"/>
        <v>3</v>
      </c>
      <c r="AT2153" s="24" t="str">
        <f t="shared" si="649"/>
        <v>0-3 months</v>
      </c>
    </row>
    <row r="2154" spans="1:46" s="12" customFormat="1" ht="28">
      <c r="A2154" s="33" t="str">
        <f t="shared" si="637"/>
        <v>FY 20/21</v>
      </c>
      <c r="B2154" s="152">
        <v>2020</v>
      </c>
      <c r="C2154" s="152">
        <v>8</v>
      </c>
      <c r="D2154" s="33" t="str">
        <f t="shared" si="638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39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40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2"/>
        <v>35800</v>
      </c>
      <c r="AA2154" s="13">
        <v>1.105</v>
      </c>
      <c r="AB2154" s="21">
        <f t="shared" si="641"/>
        <v>35007.964601769912</v>
      </c>
      <c r="AC2154" s="130">
        <f t="shared" si="642"/>
        <v>2856.6499115044248</v>
      </c>
      <c r="AD2154" s="169">
        <v>8.1600000000000006E-2</v>
      </c>
      <c r="AE2154" s="154">
        <f t="shared" si="643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33"/>
        <v>37969334.083628319</v>
      </c>
      <c r="AJ2154" s="19">
        <f t="shared" si="634"/>
        <v>5097226.4551657084</v>
      </c>
      <c r="AK2154" s="20">
        <f t="shared" si="644"/>
        <v>0.13424587441904964</v>
      </c>
      <c r="AL2154" s="17"/>
      <c r="AM2154" s="17"/>
      <c r="AN2154" s="17"/>
      <c r="AO2154" s="17"/>
      <c r="AP2154" s="28" t="str">
        <f t="shared" si="645"/>
        <v>20208</v>
      </c>
      <c r="AQ2154" s="28" t="str">
        <f t="shared" si="646"/>
        <v>20208RMB</v>
      </c>
      <c r="AR2154" s="206" t="str">
        <f t="shared" si="647"/>
        <v>YAMAHA_Mounter</v>
      </c>
      <c r="AS2154" s="22">
        <f t="shared" si="648"/>
        <v>0</v>
      </c>
      <c r="AT2154" s="24" t="str">
        <f t="shared" si="649"/>
        <v>0-3 months</v>
      </c>
    </row>
    <row r="2155" spans="1:46" s="12" customFormat="1">
      <c r="A2155" s="33" t="str">
        <f t="shared" si="637"/>
        <v>FY 20/21</v>
      </c>
      <c r="B2155" s="152">
        <v>2020</v>
      </c>
      <c r="C2155" s="152">
        <v>6</v>
      </c>
      <c r="D2155" s="33" t="str">
        <f t="shared" si="638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39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40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2"/>
        <v>750000</v>
      </c>
      <c r="AA2155" s="13">
        <v>1.095</v>
      </c>
      <c r="AB2155" s="21">
        <f t="shared" si="641"/>
        <v>726769.91150442488</v>
      </c>
      <c r="AC2155" s="130">
        <f t="shared" si="642"/>
        <v>68171.017699115051</v>
      </c>
      <c r="AD2155" s="169">
        <v>9.3799999999999994E-2</v>
      </c>
      <c r="AE2155" s="154">
        <f t="shared" si="643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33"/>
        <v>35384300.169380538</v>
      </c>
      <c r="AJ2155" s="19">
        <f t="shared" si="634"/>
        <v>5044538.8896988509</v>
      </c>
      <c r="AK2155" s="20">
        <f t="shared" si="644"/>
        <v>0.14256432557804533</v>
      </c>
      <c r="AL2155" s="17"/>
      <c r="AM2155" s="17"/>
      <c r="AN2155" s="17"/>
      <c r="AO2155" s="17"/>
      <c r="AP2155" s="28" t="str">
        <f t="shared" si="645"/>
        <v>20207</v>
      </c>
      <c r="AQ2155" s="28" t="str">
        <f t="shared" si="646"/>
        <v>20207RMB</v>
      </c>
      <c r="AR2155" s="206" t="str">
        <f t="shared" si="647"/>
        <v>YAMAHA_Mounter</v>
      </c>
      <c r="AS2155" s="22">
        <f t="shared" si="648"/>
        <v>1</v>
      </c>
      <c r="AT2155" s="24" t="str">
        <f t="shared" si="649"/>
        <v>0-3 months</v>
      </c>
    </row>
    <row r="2156" spans="1:46" s="12" customFormat="1">
      <c r="A2156" s="33" t="str">
        <f t="shared" si="637"/>
        <v>FY 20/21</v>
      </c>
      <c r="B2156" s="152">
        <v>2020</v>
      </c>
      <c r="C2156" s="152">
        <v>4</v>
      </c>
      <c r="D2156" s="33" t="str">
        <f t="shared" si="638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39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40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2"/>
        <v>640000</v>
      </c>
      <c r="AA2156" s="13">
        <v>1.095</v>
      </c>
      <c r="AB2156" s="21">
        <f t="shared" si="641"/>
        <v>620176.99115044251</v>
      </c>
      <c r="AC2156" s="130">
        <f t="shared" si="642"/>
        <v>71382.371681415927</v>
      </c>
      <c r="AD2156" s="169">
        <v>0.11509999999999999</v>
      </c>
      <c r="AE2156" s="154">
        <f t="shared" si="643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33"/>
        <v>28065694.408805311</v>
      </c>
      <c r="AJ2156" s="19">
        <f t="shared" si="634"/>
        <v>4157433.2906989697</v>
      </c>
      <c r="AK2156" s="20">
        <f t="shared" si="644"/>
        <v>0.14813220831602228</v>
      </c>
      <c r="AL2156" s="17"/>
      <c r="AM2156" s="17"/>
      <c r="AN2156" s="17"/>
      <c r="AO2156" s="17"/>
      <c r="AP2156" s="28" t="str">
        <f t="shared" si="645"/>
        <v>20205</v>
      </c>
      <c r="AQ2156" s="28" t="str">
        <f t="shared" si="646"/>
        <v>20205RMB</v>
      </c>
      <c r="AR2156" s="206" t="str">
        <f t="shared" si="647"/>
        <v>YAMAHA_Mounter</v>
      </c>
      <c r="AS2156" s="22">
        <f t="shared" si="648"/>
        <v>1</v>
      </c>
      <c r="AT2156" s="24" t="str">
        <f t="shared" si="649"/>
        <v>0-3 months</v>
      </c>
    </row>
    <row r="2157" spans="1:46" s="12" customFormat="1">
      <c r="A2157" s="33" t="str">
        <f t="shared" si="637"/>
        <v>FY 20/21</v>
      </c>
      <c r="B2157" s="152">
        <v>2020</v>
      </c>
      <c r="C2157" s="152">
        <v>4</v>
      </c>
      <c r="D2157" s="33" t="str">
        <f t="shared" si="638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39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40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2"/>
        <v>640000</v>
      </c>
      <c r="AA2157" s="13">
        <v>1.095</v>
      </c>
      <c r="AB2157" s="21">
        <f t="shared" si="641"/>
        <v>620176.99115044251</v>
      </c>
      <c r="AC2157" s="130">
        <f t="shared" si="642"/>
        <v>71382.371681415927</v>
      </c>
      <c r="AD2157" s="169">
        <v>0.11509999999999999</v>
      </c>
      <c r="AE2157" s="154">
        <f t="shared" si="643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33"/>
        <v>28065694.408805311</v>
      </c>
      <c r="AJ2157" s="19">
        <f t="shared" si="634"/>
        <v>4157433.2906989697</v>
      </c>
      <c r="AK2157" s="20">
        <f t="shared" si="644"/>
        <v>0.14813220831602228</v>
      </c>
      <c r="AL2157" s="17"/>
      <c r="AM2157" s="17"/>
      <c r="AN2157" s="17"/>
      <c r="AO2157" s="17"/>
      <c r="AP2157" s="28" t="str">
        <f t="shared" si="645"/>
        <v>20205</v>
      </c>
      <c r="AQ2157" s="28" t="str">
        <f t="shared" si="646"/>
        <v>20205RMB</v>
      </c>
      <c r="AR2157" s="206" t="str">
        <f t="shared" si="647"/>
        <v>YAMAHA_Mounter</v>
      </c>
      <c r="AS2157" s="22">
        <f t="shared" si="648"/>
        <v>1</v>
      </c>
      <c r="AT2157" s="24" t="str">
        <f t="shared" si="649"/>
        <v>0-3 months</v>
      </c>
    </row>
    <row r="2158" spans="1:46" s="12" customFormat="1">
      <c r="A2158" s="33" t="str">
        <f t="shared" si="637"/>
        <v>FY 23/24</v>
      </c>
      <c r="B2158" s="152">
        <v>2023</v>
      </c>
      <c r="C2158" s="152">
        <v>4</v>
      </c>
      <c r="D2158" s="33" t="str">
        <f t="shared" si="638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39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40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2"/>
        <v>910000</v>
      </c>
      <c r="AA2158" s="13">
        <v>1.1399999999999999</v>
      </c>
      <c r="AB2158" s="21">
        <f t="shared" si="641"/>
        <v>918053.09734513273</v>
      </c>
      <c r="AC2158" s="130">
        <f t="shared" si="642"/>
        <v>95477.522123893796</v>
      </c>
      <c r="AD2158" s="169">
        <v>0.104</v>
      </c>
      <c r="AE2158" s="154">
        <f t="shared" si="643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33"/>
        <v>30573205.452778768</v>
      </c>
      <c r="AJ2158" s="19">
        <f t="shared" si="634"/>
        <v>3790930.1683151261</v>
      </c>
      <c r="AK2158" s="20">
        <f t="shared" si="644"/>
        <v>0.12399518179964254</v>
      </c>
      <c r="AL2158" s="17"/>
      <c r="AM2158" s="17"/>
      <c r="AN2158" s="17"/>
      <c r="AO2158" s="17"/>
      <c r="AP2158" s="28" t="str">
        <f t="shared" si="645"/>
        <v>20234</v>
      </c>
      <c r="AQ2158" s="28" t="str">
        <f t="shared" si="646"/>
        <v>20234RMB</v>
      </c>
      <c r="AR2158" s="206" t="str">
        <f t="shared" si="647"/>
        <v>YAMAHA_Mounter</v>
      </c>
      <c r="AS2158" s="22">
        <f t="shared" si="648"/>
        <v>0</v>
      </c>
      <c r="AT2158" s="24" t="str">
        <f t="shared" si="649"/>
        <v>0-3 months</v>
      </c>
    </row>
    <row r="2159" spans="1:46" s="12" customFormat="1">
      <c r="A2159" s="33" t="str">
        <f t="shared" si="637"/>
        <v>FY 18/19</v>
      </c>
      <c r="B2159" s="152">
        <v>2018</v>
      </c>
      <c r="C2159" s="152">
        <v>4</v>
      </c>
      <c r="D2159" s="33" t="str">
        <f t="shared" si="638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39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40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2"/>
        <v>1035500</v>
      </c>
      <c r="AA2159" s="13">
        <v>1.23</v>
      </c>
      <c r="AB2159" s="21">
        <f t="shared" si="641"/>
        <v>1097987.0689655175</v>
      </c>
      <c r="AC2159" s="130">
        <f t="shared" si="642"/>
        <v>136699.39008620693</v>
      </c>
      <c r="AD2159" s="169">
        <v>0.1245</v>
      </c>
      <c r="AE2159" s="154">
        <f t="shared" si="643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33"/>
        <v>34109166.105589926</v>
      </c>
      <c r="AJ2159" s="19">
        <f t="shared" si="634"/>
        <v>4642032.7199573703</v>
      </c>
      <c r="AK2159" s="20">
        <f t="shared" si="644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45"/>
        <v>20185</v>
      </c>
      <c r="AQ2159" s="28" t="str">
        <f t="shared" si="646"/>
        <v>20185RMB</v>
      </c>
      <c r="AR2159" s="206" t="str">
        <f t="shared" si="647"/>
        <v>YAMAHA_Mounter</v>
      </c>
      <c r="AS2159" s="22">
        <f t="shared" si="648"/>
        <v>1</v>
      </c>
      <c r="AT2159" s="24" t="str">
        <f t="shared" si="649"/>
        <v>0-3 months</v>
      </c>
    </row>
    <row r="2160" spans="1:46" s="12" customFormat="1">
      <c r="A2160" s="33" t="str">
        <f t="shared" si="637"/>
        <v>FY 18/19</v>
      </c>
      <c r="B2160" s="152">
        <v>2018</v>
      </c>
      <c r="C2160" s="152">
        <v>4</v>
      </c>
      <c r="D2160" s="33" t="str">
        <f t="shared" si="638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39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40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2"/>
        <v>783700</v>
      </c>
      <c r="AA2160" s="13">
        <v>1.125</v>
      </c>
      <c r="AB2160" s="21">
        <f t="shared" si="641"/>
        <v>760053.87931034493</v>
      </c>
      <c r="AC2160" s="130">
        <f t="shared" si="642"/>
        <v>87786.223060344841</v>
      </c>
      <c r="AD2160" s="169">
        <v>0.11550000000000001</v>
      </c>
      <c r="AE2160" s="154">
        <f t="shared" si="643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33"/>
        <v>10785027.603448275</v>
      </c>
      <c r="AJ2160" s="19">
        <f t="shared" si="634"/>
        <v>1540894.1297982759</v>
      </c>
      <c r="AK2160" s="20">
        <f t="shared" si="644"/>
        <v>0.1428734525728621</v>
      </c>
      <c r="AL2160" s="17"/>
      <c r="AM2160" s="17"/>
      <c r="AN2160" s="17"/>
      <c r="AO2160" s="17"/>
      <c r="AP2160" s="28" t="str">
        <f t="shared" si="645"/>
        <v>201811</v>
      </c>
      <c r="AQ2160" s="28" t="str">
        <f t="shared" si="646"/>
        <v>201811RMB</v>
      </c>
      <c r="AR2160" s="206" t="str">
        <f t="shared" si="647"/>
        <v>YAMAHA_Mounter</v>
      </c>
      <c r="AS2160" s="22">
        <f t="shared" si="648"/>
        <v>7</v>
      </c>
      <c r="AT2160" s="24" t="str">
        <f t="shared" si="649"/>
        <v>&gt; 6 months</v>
      </c>
    </row>
    <row r="2161" spans="1:46" s="12" customFormat="1">
      <c r="A2161" s="33" t="str">
        <f t="shared" si="637"/>
        <v>FY 19/20</v>
      </c>
      <c r="B2161" s="152">
        <v>2019</v>
      </c>
      <c r="C2161" s="152">
        <v>4</v>
      </c>
      <c r="D2161" s="33" t="str">
        <f t="shared" si="638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39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40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2"/>
        <v>983879</v>
      </c>
      <c r="AA2161" s="13">
        <v>1.1599999999999999</v>
      </c>
      <c r="AB2161" s="21">
        <f t="shared" si="641"/>
        <v>1009999.6814159292</v>
      </c>
      <c r="AC2161" s="130">
        <f t="shared" si="642"/>
        <v>112210.96460530974</v>
      </c>
      <c r="AD2161" s="169">
        <v>0.1111</v>
      </c>
      <c r="AE2161" s="154">
        <f t="shared" si="643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33"/>
        <v>32843736.557277881</v>
      </c>
      <c r="AJ2161" s="19">
        <f t="shared" si="634"/>
        <v>3921470.6822663117</v>
      </c>
      <c r="AK2161" s="20">
        <f t="shared" si="644"/>
        <v>0.11939782416131177</v>
      </c>
      <c r="AL2161" s="17"/>
      <c r="AM2161" s="17">
        <v>19</v>
      </c>
      <c r="AN2161" s="17"/>
      <c r="AO2161" s="17"/>
      <c r="AP2161" s="28" t="str">
        <f t="shared" si="645"/>
        <v>20194</v>
      </c>
      <c r="AQ2161" s="28" t="str">
        <f t="shared" si="646"/>
        <v>20194RMB</v>
      </c>
      <c r="AR2161" s="206" t="str">
        <f t="shared" si="647"/>
        <v>YAMAHA_Mounter</v>
      </c>
      <c r="AS2161" s="22">
        <f t="shared" si="648"/>
        <v>0</v>
      </c>
      <c r="AT2161" s="24" t="str">
        <f t="shared" si="649"/>
        <v>0-3 months</v>
      </c>
    </row>
    <row r="2162" spans="1:46" s="12" customFormat="1">
      <c r="A2162" s="33" t="str">
        <f t="shared" si="637"/>
        <v>FY 19/20</v>
      </c>
      <c r="B2162" s="152">
        <v>2019</v>
      </c>
      <c r="C2162" s="152">
        <v>4</v>
      </c>
      <c r="D2162" s="33" t="str">
        <f t="shared" si="638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39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40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2"/>
        <v>2016465</v>
      </c>
      <c r="AA2162" s="13">
        <v>1.1599999999999999</v>
      </c>
      <c r="AB2162" s="21">
        <f t="shared" si="641"/>
        <v>2069999.4690265488</v>
      </c>
      <c r="AC2162" s="130">
        <f t="shared" si="642"/>
        <v>229976.94100884959</v>
      </c>
      <c r="AD2162" s="169">
        <v>0.1111</v>
      </c>
      <c r="AE2162" s="154">
        <f t="shared" si="643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33"/>
        <v>32843736.557277881</v>
      </c>
      <c r="AJ2162" s="19">
        <f t="shared" si="634"/>
        <v>3921470.6822663117</v>
      </c>
      <c r="AK2162" s="20">
        <f t="shared" si="644"/>
        <v>0.11939782416131177</v>
      </c>
      <c r="AL2162" s="17"/>
      <c r="AM2162" s="17">
        <v>19</v>
      </c>
      <c r="AN2162" s="17"/>
      <c r="AO2162" s="17"/>
      <c r="AP2162" s="28" t="str">
        <f t="shared" si="645"/>
        <v>20194</v>
      </c>
      <c r="AQ2162" s="28" t="str">
        <f t="shared" si="646"/>
        <v>20194RMB</v>
      </c>
      <c r="AR2162" s="206" t="str">
        <f t="shared" si="647"/>
        <v>YAMAHA_Mounter</v>
      </c>
      <c r="AS2162" s="22">
        <f t="shared" si="648"/>
        <v>0</v>
      </c>
      <c r="AT2162" s="24" t="str">
        <f t="shared" si="649"/>
        <v>0-3 months</v>
      </c>
    </row>
    <row r="2163" spans="1:46" s="12" customFormat="1">
      <c r="A2163" s="33" t="str">
        <f t="shared" si="637"/>
        <v>FY 22/23</v>
      </c>
      <c r="B2163" s="152">
        <v>2022</v>
      </c>
      <c r="C2163" s="152">
        <v>10</v>
      </c>
      <c r="D2163" s="33" t="str">
        <f t="shared" si="638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39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40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50">IF(W2163="RMB","1.13", "1")</f>
        <v>1.13</v>
      </c>
      <c r="Z2163" s="18">
        <f t="shared" si="632"/>
        <v>800000</v>
      </c>
      <c r="AA2163" s="13">
        <v>1.105</v>
      </c>
      <c r="AB2163" s="21">
        <f t="shared" si="641"/>
        <v>782300.88495575229</v>
      </c>
      <c r="AC2163" s="130">
        <f t="shared" si="642"/>
        <v>93876.106194690277</v>
      </c>
      <c r="AD2163" s="169">
        <v>0.12</v>
      </c>
      <c r="AE2163" s="154">
        <f t="shared" si="643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33"/>
        <v>477651199.57437885</v>
      </c>
      <c r="AJ2163" s="19">
        <f t="shared" si="634"/>
        <v>56918800.518691957</v>
      </c>
      <c r="AK2163" s="20">
        <f t="shared" si="644"/>
        <v>0.11916394341605475</v>
      </c>
      <c r="AL2163" s="17"/>
      <c r="AM2163" s="17"/>
      <c r="AN2163" s="17"/>
      <c r="AO2163" s="17"/>
      <c r="AP2163" s="28" t="str">
        <f t="shared" si="645"/>
        <v>CancelCancel</v>
      </c>
      <c r="AQ2163" s="28" t="str">
        <f t="shared" si="646"/>
        <v>CancelCancelRMB</v>
      </c>
      <c r="AR2163" s="206" t="str">
        <f t="shared" si="647"/>
        <v>YAMAHA_Mounter</v>
      </c>
      <c r="AS2163" s="22" t="str">
        <f t="shared" si="648"/>
        <v/>
      </c>
      <c r="AT2163" s="24" t="str">
        <f t="shared" si="649"/>
        <v/>
      </c>
    </row>
    <row r="2164" spans="1:46" s="12" customFormat="1">
      <c r="A2164" s="33" t="str">
        <f t="shared" si="637"/>
        <v>FY 22/23</v>
      </c>
      <c r="B2164" s="152">
        <v>2022</v>
      </c>
      <c r="C2164" s="152">
        <v>10</v>
      </c>
      <c r="D2164" s="33" t="str">
        <f t="shared" si="638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39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40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50"/>
        <v>1.13</v>
      </c>
      <c r="Z2164" s="18">
        <f t="shared" si="632"/>
        <v>525000</v>
      </c>
      <c r="AA2164" s="13">
        <v>1.105</v>
      </c>
      <c r="AB2164" s="21">
        <f t="shared" si="641"/>
        <v>513384.95575221244</v>
      </c>
      <c r="AC2164" s="130">
        <f t="shared" si="642"/>
        <v>61606.194690265489</v>
      </c>
      <c r="AD2164" s="169">
        <v>0.12</v>
      </c>
      <c r="AE2164" s="154">
        <f t="shared" si="643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33"/>
        <v>477651199.57437885</v>
      </c>
      <c r="AJ2164" s="19">
        <f t="shared" si="634"/>
        <v>56918800.518691957</v>
      </c>
      <c r="AK2164" s="20">
        <f t="shared" si="644"/>
        <v>0.11916394341605475</v>
      </c>
      <c r="AL2164" s="17"/>
      <c r="AM2164" s="17"/>
      <c r="AN2164" s="17"/>
      <c r="AO2164" s="17"/>
      <c r="AP2164" s="28" t="str">
        <f t="shared" si="645"/>
        <v>CancelCancel</v>
      </c>
      <c r="AQ2164" s="28" t="str">
        <f t="shared" si="646"/>
        <v>CancelCancelRMB</v>
      </c>
      <c r="AR2164" s="206" t="str">
        <f t="shared" si="647"/>
        <v>YAMAHA_Mounter</v>
      </c>
      <c r="AS2164" s="22" t="str">
        <f t="shared" si="648"/>
        <v/>
      </c>
      <c r="AT2164" s="24" t="str">
        <f t="shared" si="649"/>
        <v/>
      </c>
    </row>
    <row r="2165" spans="1:46" s="12" customFormat="1">
      <c r="A2165" s="33" t="str">
        <f t="shared" si="637"/>
        <v>FY 21/22</v>
      </c>
      <c r="B2165" s="152">
        <v>2022</v>
      </c>
      <c r="C2165" s="152">
        <v>3</v>
      </c>
      <c r="D2165" s="33" t="str">
        <f t="shared" si="638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39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40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50"/>
        <v>1.13</v>
      </c>
      <c r="Z2165" s="18">
        <f t="shared" si="632"/>
        <v>783200</v>
      </c>
      <c r="AA2165" s="13">
        <v>1.22</v>
      </c>
      <c r="AB2165" s="21">
        <f t="shared" si="641"/>
        <v>845578.76106194698</v>
      </c>
      <c r="AC2165" s="130">
        <f t="shared" si="642"/>
        <v>130134.57132743364</v>
      </c>
      <c r="AD2165" s="169">
        <v>0.15390000000000001</v>
      </c>
      <c r="AE2165" s="154">
        <f t="shared" si="643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33"/>
        <v>28726768.133805312</v>
      </c>
      <c r="AJ2165" s="19">
        <f t="shared" si="634"/>
        <v>3853638.1988864429</v>
      </c>
      <c r="AK2165" s="20">
        <f t="shared" si="644"/>
        <v>0.1341479898099476</v>
      </c>
      <c r="AL2165" s="17"/>
      <c r="AM2165" s="17"/>
      <c r="AN2165" s="17"/>
      <c r="AO2165" s="17"/>
      <c r="AP2165" s="28" t="str">
        <f t="shared" si="645"/>
        <v>20223</v>
      </c>
      <c r="AQ2165" s="28" t="str">
        <f t="shared" si="646"/>
        <v>20223RMB</v>
      </c>
      <c r="AR2165" s="206" t="str">
        <f t="shared" si="647"/>
        <v>YAMAHA_Mounter</v>
      </c>
      <c r="AS2165" s="22">
        <f t="shared" si="648"/>
        <v>0</v>
      </c>
      <c r="AT2165" s="24" t="str">
        <f t="shared" si="649"/>
        <v>0-3 months</v>
      </c>
    </row>
    <row r="2166" spans="1:46" s="12" customFormat="1">
      <c r="A2166" s="33" t="str">
        <f t="shared" si="637"/>
        <v>FY 21/22</v>
      </c>
      <c r="B2166" s="152">
        <v>2022</v>
      </c>
      <c r="C2166" s="152">
        <v>3</v>
      </c>
      <c r="D2166" s="33" t="str">
        <f t="shared" si="638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39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40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50"/>
        <v>1.13</v>
      </c>
      <c r="Z2166" s="18">
        <f t="shared" si="632"/>
        <v>783200</v>
      </c>
      <c r="AA2166" s="13">
        <v>1.22</v>
      </c>
      <c r="AB2166" s="21">
        <f t="shared" si="641"/>
        <v>845578.76106194698</v>
      </c>
      <c r="AC2166" s="130">
        <f t="shared" si="642"/>
        <v>130134.57132743364</v>
      </c>
      <c r="AD2166" s="169">
        <v>0.15390000000000001</v>
      </c>
      <c r="AE2166" s="154">
        <f t="shared" si="643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33"/>
        <v>28726768.133805312</v>
      </c>
      <c r="AJ2166" s="19">
        <f t="shared" si="634"/>
        <v>3853638.1988864429</v>
      </c>
      <c r="AK2166" s="20">
        <f t="shared" si="644"/>
        <v>0.1341479898099476</v>
      </c>
      <c r="AL2166" s="17"/>
      <c r="AM2166" s="17"/>
      <c r="AN2166" s="17"/>
      <c r="AO2166" s="17"/>
      <c r="AP2166" s="28" t="str">
        <f t="shared" si="645"/>
        <v>20223</v>
      </c>
      <c r="AQ2166" s="28" t="str">
        <f t="shared" si="646"/>
        <v>20223RMB</v>
      </c>
      <c r="AR2166" s="206" t="str">
        <f t="shared" si="647"/>
        <v>YAMAHA_Mounter</v>
      </c>
      <c r="AS2166" s="22">
        <f t="shared" si="648"/>
        <v>0</v>
      </c>
      <c r="AT2166" s="24" t="str">
        <f t="shared" si="649"/>
        <v>0-3 months</v>
      </c>
    </row>
    <row r="2167" spans="1:46" s="12" customFormat="1" ht="28">
      <c r="A2167" s="33" t="str">
        <f t="shared" si="637"/>
        <v>FY 21/22</v>
      </c>
      <c r="B2167" s="152">
        <v>2022</v>
      </c>
      <c r="C2167" s="152">
        <v>3</v>
      </c>
      <c r="D2167" s="33" t="str">
        <f t="shared" si="638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39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40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50"/>
        <v>1.13</v>
      </c>
      <c r="Z2167" s="18">
        <f t="shared" si="632"/>
        <v>377479.95999999996</v>
      </c>
      <c r="AA2167" s="13">
        <v>1.22</v>
      </c>
      <c r="AB2167" s="21">
        <f t="shared" si="641"/>
        <v>407544.73557522125</v>
      </c>
      <c r="AC2167" s="130">
        <f t="shared" si="642"/>
        <v>62721.134805026551</v>
      </c>
      <c r="AD2167" s="169">
        <v>0.15390000000000001</v>
      </c>
      <c r="AE2167" s="154">
        <f t="shared" si="643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33"/>
        <v>28726768.133805312</v>
      </c>
      <c r="AJ2167" s="19">
        <f t="shared" si="634"/>
        <v>3853638.1988864429</v>
      </c>
      <c r="AK2167" s="20">
        <f t="shared" si="644"/>
        <v>0.1341479898099476</v>
      </c>
      <c r="AL2167" s="17"/>
      <c r="AM2167" s="17"/>
      <c r="AN2167" s="17"/>
      <c r="AO2167" s="17"/>
      <c r="AP2167" s="28" t="str">
        <f t="shared" si="645"/>
        <v>20223</v>
      </c>
      <c r="AQ2167" s="28" t="str">
        <f t="shared" si="646"/>
        <v>20223RMB</v>
      </c>
      <c r="AR2167" s="206" t="str">
        <f t="shared" si="647"/>
        <v>YAMAHA_Mounter</v>
      </c>
      <c r="AS2167" s="22">
        <f t="shared" si="648"/>
        <v>0</v>
      </c>
      <c r="AT2167" s="24" t="str">
        <f t="shared" si="649"/>
        <v>0-3 months</v>
      </c>
    </row>
    <row r="2168" spans="1:46" s="12" customFormat="1" ht="28">
      <c r="A2168" s="33" t="str">
        <f t="shared" si="637"/>
        <v>FY 21/22</v>
      </c>
      <c r="B2168" s="152">
        <v>2022</v>
      </c>
      <c r="C2168" s="152">
        <v>3</v>
      </c>
      <c r="D2168" s="33" t="str">
        <f t="shared" si="638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39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40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50"/>
        <v>1.13</v>
      </c>
      <c r="Z2168" s="18">
        <f t="shared" si="632"/>
        <v>2120</v>
      </c>
      <c r="AA2168" s="13">
        <v>1.22</v>
      </c>
      <c r="AB2168" s="21">
        <f t="shared" si="641"/>
        <v>2288.8495575221241</v>
      </c>
      <c r="AC2168" s="130">
        <f t="shared" si="642"/>
        <v>352.25394690265495</v>
      </c>
      <c r="AD2168" s="169">
        <v>0.15390000000000001</v>
      </c>
      <c r="AE2168" s="154">
        <f t="shared" si="643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33"/>
        <v>28726768.133805312</v>
      </c>
      <c r="AJ2168" s="19">
        <f t="shared" si="634"/>
        <v>3853638.1988864429</v>
      </c>
      <c r="AK2168" s="20">
        <f t="shared" si="644"/>
        <v>0.1341479898099476</v>
      </c>
      <c r="AL2168" s="17"/>
      <c r="AM2168" s="17"/>
      <c r="AN2168" s="17"/>
      <c r="AO2168" s="17"/>
      <c r="AP2168" s="28" t="str">
        <f t="shared" si="645"/>
        <v>20223</v>
      </c>
      <c r="AQ2168" s="28" t="str">
        <f t="shared" si="646"/>
        <v>20223RMB</v>
      </c>
      <c r="AR2168" s="206" t="str">
        <f t="shared" si="647"/>
        <v>LOCAL SUPPLIER</v>
      </c>
      <c r="AS2168" s="22">
        <f t="shared" si="648"/>
        <v>0</v>
      </c>
      <c r="AT2168" s="24" t="str">
        <f t="shared" si="649"/>
        <v>0-3 months</v>
      </c>
    </row>
    <row r="2169" spans="1:46" s="12" customFormat="1">
      <c r="A2169" s="33" t="str">
        <f t="shared" si="637"/>
        <v>FY 19/20</v>
      </c>
      <c r="B2169" s="152">
        <v>2020</v>
      </c>
      <c r="C2169" s="152">
        <v>3</v>
      </c>
      <c r="D2169" s="33" t="str">
        <f t="shared" si="638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39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40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2"/>
        <v>670000</v>
      </c>
      <c r="AA2169" s="13">
        <v>1.095</v>
      </c>
      <c r="AB2169" s="21">
        <f t="shared" si="641"/>
        <v>649247.78761061956</v>
      </c>
      <c r="AC2169" s="130">
        <f t="shared" si="642"/>
        <v>71806.805309734526</v>
      </c>
      <c r="AD2169" s="169">
        <v>0.1106</v>
      </c>
      <c r="AE2169" s="154">
        <f t="shared" si="643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33"/>
        <v>28065694.408805311</v>
      </c>
      <c r="AJ2169" s="19">
        <f t="shared" si="634"/>
        <v>4157433.2906989697</v>
      </c>
      <c r="AK2169" s="20">
        <f t="shared" si="644"/>
        <v>0.14813220831602228</v>
      </c>
      <c r="AL2169" s="17"/>
      <c r="AM2169" s="17"/>
      <c r="AN2169" s="17"/>
      <c r="AO2169" s="17"/>
      <c r="AP2169" s="28" t="str">
        <f t="shared" si="645"/>
        <v>20205</v>
      </c>
      <c r="AQ2169" s="28" t="str">
        <f t="shared" si="646"/>
        <v>20205RMB</v>
      </c>
      <c r="AR2169" s="206" t="str">
        <f t="shared" si="647"/>
        <v>YAMAHA_Mounter</v>
      </c>
      <c r="AS2169" s="22">
        <f t="shared" si="648"/>
        <v>2</v>
      </c>
      <c r="AT2169" s="24" t="str">
        <f t="shared" si="649"/>
        <v>0-3 months</v>
      </c>
    </row>
    <row r="2170" spans="1:46" s="12" customFormat="1">
      <c r="A2170" s="33" t="str">
        <f t="shared" si="637"/>
        <v>FY 23/24</v>
      </c>
      <c r="B2170" s="152">
        <v>2023</v>
      </c>
      <c r="C2170" s="152">
        <v>5</v>
      </c>
      <c r="D2170" s="33" t="str">
        <f t="shared" si="638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39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40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51">IF(W2170="RMB","1.13", "1")</f>
        <v>1.13</v>
      </c>
      <c r="Z2170" s="18">
        <f t="shared" si="632"/>
        <v>814570</v>
      </c>
      <c r="AA2170" s="13">
        <v>1.135</v>
      </c>
      <c r="AB2170" s="21">
        <f t="shared" si="641"/>
        <v>818174.29203539842</v>
      </c>
      <c r="AC2170" s="130">
        <f t="shared" si="642"/>
        <v>93026.417004424802</v>
      </c>
      <c r="AD2170" s="169">
        <v>0.1137</v>
      </c>
      <c r="AE2170" s="154">
        <f t="shared" si="643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33"/>
        <v>28177779.013274338</v>
      </c>
      <c r="AJ2170" s="19">
        <f t="shared" si="634"/>
        <v>4727216.6376190251</v>
      </c>
      <c r="AK2170" s="20">
        <f t="shared" si="644"/>
        <v>0.1677639900359808</v>
      </c>
      <c r="AL2170" s="17"/>
      <c r="AM2170" s="17"/>
      <c r="AN2170" s="17"/>
      <c r="AO2170" s="17"/>
      <c r="AP2170" s="28" t="str">
        <f t="shared" si="645"/>
        <v>20235</v>
      </c>
      <c r="AQ2170" s="28" t="str">
        <f t="shared" si="646"/>
        <v>20235RMB</v>
      </c>
      <c r="AR2170" s="206" t="str">
        <f t="shared" si="647"/>
        <v>YAMAHA_Mounter</v>
      </c>
      <c r="AS2170" s="22">
        <f t="shared" si="648"/>
        <v>0</v>
      </c>
      <c r="AT2170" s="24" t="str">
        <f t="shared" si="649"/>
        <v>0-3 months</v>
      </c>
    </row>
    <row r="2171" spans="1:46" s="12" customFormat="1">
      <c r="A2171" s="33" t="str">
        <f t="shared" si="637"/>
        <v>FY 20/21</v>
      </c>
      <c r="B2171" s="152">
        <v>2020</v>
      </c>
      <c r="C2171" s="152">
        <v>12</v>
      </c>
      <c r="D2171" s="33" t="str">
        <f t="shared" si="638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39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40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51"/>
        <v>1.13</v>
      </c>
      <c r="Z2171" s="18">
        <f t="shared" si="632"/>
        <v>910000</v>
      </c>
      <c r="AA2171" s="13">
        <v>1.2</v>
      </c>
      <c r="AB2171" s="21">
        <f t="shared" si="641"/>
        <v>966371.68141592923</v>
      </c>
      <c r="AC2171" s="130">
        <f t="shared" si="642"/>
        <v>116351.15044247787</v>
      </c>
      <c r="AD2171" s="169">
        <v>0.12039999999999999</v>
      </c>
      <c r="AE2171" s="154">
        <f t="shared" si="643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33"/>
        <v>57778307.282035396</v>
      </c>
      <c r="AJ2171" s="19">
        <f t="shared" si="634"/>
        <v>7259860.7225420559</v>
      </c>
      <c r="AK2171" s="20">
        <f t="shared" si="644"/>
        <v>0.12565028406083667</v>
      </c>
      <c r="AL2171" s="17"/>
      <c r="AM2171" s="17"/>
      <c r="AN2171" s="17"/>
      <c r="AO2171" s="17"/>
      <c r="AP2171" s="28" t="str">
        <f t="shared" si="645"/>
        <v>20213</v>
      </c>
      <c r="AQ2171" s="28" t="str">
        <f t="shared" si="646"/>
        <v>20213RMB</v>
      </c>
      <c r="AR2171" s="206" t="str">
        <f t="shared" si="647"/>
        <v>YAMAHA_Mounter</v>
      </c>
      <c r="AS2171" s="22">
        <f t="shared" si="648"/>
        <v>3</v>
      </c>
      <c r="AT2171" s="24" t="str">
        <f t="shared" si="649"/>
        <v>0-3 months</v>
      </c>
    </row>
    <row r="2172" spans="1:46" s="12" customFormat="1">
      <c r="A2172" s="33" t="str">
        <f t="shared" si="637"/>
        <v>FY 20/21</v>
      </c>
      <c r="B2172" s="152">
        <v>2020</v>
      </c>
      <c r="C2172" s="152">
        <v>12</v>
      </c>
      <c r="D2172" s="33" t="str">
        <f t="shared" si="638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39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40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51"/>
        <v>1.13</v>
      </c>
      <c r="Z2172" s="18">
        <f t="shared" ref="Z2172:Z2235" si="652">IF(X2172="","",X2172*MAX(O2172,N2172))</f>
        <v>550000</v>
      </c>
      <c r="AA2172" s="13">
        <v>1.2</v>
      </c>
      <c r="AB2172" s="21">
        <f t="shared" si="641"/>
        <v>584070.79646017705</v>
      </c>
      <c r="AC2172" s="130">
        <f t="shared" si="642"/>
        <v>70322.123893805314</v>
      </c>
      <c r="AD2172" s="169">
        <v>0.12039999999999999</v>
      </c>
      <c r="AE2172" s="154">
        <f t="shared" si="643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33"/>
        <v>57778307.282035396</v>
      </c>
      <c r="AJ2172" s="19">
        <f t="shared" si="634"/>
        <v>7259860.7225420559</v>
      </c>
      <c r="AK2172" s="20">
        <f t="shared" si="644"/>
        <v>0.12565028406083667</v>
      </c>
      <c r="AL2172" s="17"/>
      <c r="AM2172" s="17"/>
      <c r="AN2172" s="17"/>
      <c r="AO2172" s="17"/>
      <c r="AP2172" s="28" t="str">
        <f t="shared" si="645"/>
        <v>20213</v>
      </c>
      <c r="AQ2172" s="28" t="str">
        <f t="shared" si="646"/>
        <v>20213RMB</v>
      </c>
      <c r="AR2172" s="206" t="str">
        <f t="shared" si="647"/>
        <v>YAMAHA_Mounter</v>
      </c>
      <c r="AS2172" s="22">
        <f t="shared" si="648"/>
        <v>3</v>
      </c>
      <c r="AT2172" s="24" t="str">
        <f t="shared" si="649"/>
        <v>0-3 months</v>
      </c>
    </row>
    <row r="2173" spans="1:46" s="12" customFormat="1">
      <c r="A2173" s="33" t="str">
        <f t="shared" si="637"/>
        <v>FY 22/23</v>
      </c>
      <c r="B2173" s="152">
        <v>2022</v>
      </c>
      <c r="C2173" s="152">
        <v>4</v>
      </c>
      <c r="D2173" s="33" t="str">
        <f t="shared" si="638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39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40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51"/>
        <v>1.13</v>
      </c>
      <c r="Z2173" s="18">
        <f t="shared" si="652"/>
        <v>845000</v>
      </c>
      <c r="AA2173" s="13">
        <v>1.163</v>
      </c>
      <c r="AB2173" s="21">
        <f t="shared" si="641"/>
        <v>869676.99115044251</v>
      </c>
      <c r="AC2173" s="130">
        <f t="shared" si="642"/>
        <v>117928.2</v>
      </c>
      <c r="AD2173" s="169">
        <v>0.1356</v>
      </c>
      <c r="AE2173" s="154">
        <f t="shared" si="643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33"/>
        <v>35073581.838938057</v>
      </c>
      <c r="AJ2173" s="19">
        <f t="shared" si="634"/>
        <v>5034113.9728989396</v>
      </c>
      <c r="AK2173" s="20">
        <f t="shared" si="644"/>
        <v>0.14353007902118958</v>
      </c>
      <c r="AL2173" s="17"/>
      <c r="AM2173" s="17"/>
      <c r="AN2173" s="17"/>
      <c r="AO2173" s="17"/>
      <c r="AP2173" s="28" t="str">
        <f t="shared" si="645"/>
        <v>20228</v>
      </c>
      <c r="AQ2173" s="28" t="str">
        <f t="shared" si="646"/>
        <v>20228RMB</v>
      </c>
      <c r="AR2173" s="206" t="str">
        <f t="shared" si="647"/>
        <v>YAMAHA_Mounter</v>
      </c>
      <c r="AS2173" s="22">
        <f t="shared" si="648"/>
        <v>4</v>
      </c>
      <c r="AT2173" s="24" t="str">
        <f t="shared" si="649"/>
        <v>4-6 months</v>
      </c>
    </row>
    <row r="2174" spans="1:46" s="12" customFormat="1">
      <c r="A2174" s="33" t="str">
        <f t="shared" si="637"/>
        <v>FY 22/23</v>
      </c>
      <c r="B2174" s="152">
        <v>2022</v>
      </c>
      <c r="C2174" s="152">
        <v>4</v>
      </c>
      <c r="D2174" s="33" t="str">
        <f t="shared" si="638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39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40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51"/>
        <v>1.13</v>
      </c>
      <c r="Z2174" s="18">
        <f t="shared" si="652"/>
        <v>845000</v>
      </c>
      <c r="AA2174" s="13">
        <v>1.163</v>
      </c>
      <c r="AB2174" s="21">
        <f t="shared" si="641"/>
        <v>869676.99115044251</v>
      </c>
      <c r="AC2174" s="130">
        <f t="shared" si="642"/>
        <v>117928.2</v>
      </c>
      <c r="AD2174" s="169">
        <v>0.1356</v>
      </c>
      <c r="AE2174" s="154">
        <f t="shared" si="643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33"/>
        <v>35073581.838938057</v>
      </c>
      <c r="AJ2174" s="19">
        <f t="shared" si="634"/>
        <v>5034113.9728989396</v>
      </c>
      <c r="AK2174" s="20">
        <f t="shared" si="644"/>
        <v>0.14353007902118958</v>
      </c>
      <c r="AL2174" s="17"/>
      <c r="AM2174" s="17"/>
      <c r="AN2174" s="17"/>
      <c r="AO2174" s="17"/>
      <c r="AP2174" s="28" t="str">
        <f t="shared" si="645"/>
        <v>20228</v>
      </c>
      <c r="AQ2174" s="28" t="str">
        <f t="shared" si="646"/>
        <v>20228RMB</v>
      </c>
      <c r="AR2174" s="206" t="str">
        <f t="shared" si="647"/>
        <v>YAMAHA_Mounter</v>
      </c>
      <c r="AS2174" s="22">
        <f t="shared" si="648"/>
        <v>4</v>
      </c>
      <c r="AT2174" s="24" t="str">
        <f t="shared" si="649"/>
        <v>4-6 months</v>
      </c>
    </row>
    <row r="2175" spans="1:46" s="12" customFormat="1">
      <c r="A2175" s="33" t="str">
        <f t="shared" si="637"/>
        <v>FY 22/23</v>
      </c>
      <c r="B2175" s="152">
        <v>2022</v>
      </c>
      <c r="C2175" s="152">
        <v>4</v>
      </c>
      <c r="D2175" s="33" t="str">
        <f t="shared" si="638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39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40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51"/>
        <v>1.13</v>
      </c>
      <c r="Z2175" s="18">
        <f t="shared" si="652"/>
        <v>500000</v>
      </c>
      <c r="AA2175" s="13">
        <v>1.163</v>
      </c>
      <c r="AB2175" s="21">
        <f t="shared" si="641"/>
        <v>514601.76991150453</v>
      </c>
      <c r="AC2175" s="130">
        <f t="shared" si="642"/>
        <v>69780.000000000015</v>
      </c>
      <c r="AD2175" s="169">
        <v>0.1356</v>
      </c>
      <c r="AE2175" s="154">
        <f t="shared" si="643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33"/>
        <v>35073581.838938057</v>
      </c>
      <c r="AJ2175" s="19">
        <f t="shared" si="634"/>
        <v>5034113.9728989396</v>
      </c>
      <c r="AK2175" s="20">
        <f t="shared" si="644"/>
        <v>0.14353007902118958</v>
      </c>
      <c r="AL2175" s="17"/>
      <c r="AM2175" s="17"/>
      <c r="AN2175" s="17"/>
      <c r="AO2175" s="17"/>
      <c r="AP2175" s="28" t="str">
        <f t="shared" si="645"/>
        <v>20228</v>
      </c>
      <c r="AQ2175" s="28" t="str">
        <f t="shared" si="646"/>
        <v>20228RMB</v>
      </c>
      <c r="AR2175" s="206" t="str">
        <f t="shared" si="647"/>
        <v>YAMAHA_Mounter</v>
      </c>
      <c r="AS2175" s="22">
        <f t="shared" si="648"/>
        <v>4</v>
      </c>
      <c r="AT2175" s="24" t="str">
        <f t="shared" si="649"/>
        <v>4-6 months</v>
      </c>
    </row>
    <row r="2176" spans="1:46" s="12" customFormat="1">
      <c r="A2176" s="33" t="str">
        <f t="shared" si="637"/>
        <v>FY 22/23</v>
      </c>
      <c r="B2176" s="152">
        <v>2022</v>
      </c>
      <c r="C2176" s="152">
        <v>4</v>
      </c>
      <c r="D2176" s="33" t="str">
        <f t="shared" si="638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39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40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51"/>
        <v>1.13</v>
      </c>
      <c r="Z2176" s="18">
        <f t="shared" si="652"/>
        <v>500000</v>
      </c>
      <c r="AA2176" s="13">
        <v>1.163</v>
      </c>
      <c r="AB2176" s="21">
        <f t="shared" si="641"/>
        <v>514601.76991150453</v>
      </c>
      <c r="AC2176" s="130">
        <f t="shared" si="642"/>
        <v>69780.000000000015</v>
      </c>
      <c r="AD2176" s="169">
        <v>0.1356</v>
      </c>
      <c r="AE2176" s="154">
        <f t="shared" si="643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33"/>
        <v>35073581.838938057</v>
      </c>
      <c r="AJ2176" s="19">
        <f t="shared" si="634"/>
        <v>5034113.9728989396</v>
      </c>
      <c r="AK2176" s="20">
        <f t="shared" si="644"/>
        <v>0.14353007902118958</v>
      </c>
      <c r="AL2176" s="17"/>
      <c r="AM2176" s="17"/>
      <c r="AN2176" s="17"/>
      <c r="AO2176" s="17"/>
      <c r="AP2176" s="28" t="str">
        <f t="shared" si="645"/>
        <v>20228</v>
      </c>
      <c r="AQ2176" s="28" t="str">
        <f t="shared" si="646"/>
        <v>20228RMB</v>
      </c>
      <c r="AR2176" s="206" t="str">
        <f t="shared" si="647"/>
        <v>YAMAHA_Mounter</v>
      </c>
      <c r="AS2176" s="22">
        <f t="shared" si="648"/>
        <v>4</v>
      </c>
      <c r="AT2176" s="24" t="str">
        <f t="shared" si="649"/>
        <v>4-6 months</v>
      </c>
    </row>
    <row r="2177" spans="1:46" s="12" customFormat="1">
      <c r="A2177" s="33" t="str">
        <f t="shared" si="637"/>
        <v>FY 22/23</v>
      </c>
      <c r="B2177" s="152">
        <v>2023</v>
      </c>
      <c r="C2177" s="152">
        <v>3</v>
      </c>
      <c r="D2177" s="33" t="str">
        <f t="shared" si="638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39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40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51"/>
        <v>1.13</v>
      </c>
      <c r="Z2177" s="18">
        <f t="shared" si="652"/>
        <v>650000</v>
      </c>
      <c r="AA2177" s="13">
        <v>1.1399999999999999</v>
      </c>
      <c r="AB2177" s="21">
        <f t="shared" si="641"/>
        <v>655752.21238938055</v>
      </c>
      <c r="AC2177" s="130">
        <f t="shared" si="642"/>
        <v>84592.035398230088</v>
      </c>
      <c r="AD2177" s="169">
        <v>0.129</v>
      </c>
      <c r="AE2177" s="154">
        <f t="shared" si="643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33"/>
        <v>30573205.452778768</v>
      </c>
      <c r="AJ2177" s="19">
        <f t="shared" si="634"/>
        <v>3790930.1683151261</v>
      </c>
      <c r="AK2177" s="20">
        <f t="shared" si="644"/>
        <v>0.12399518179964254</v>
      </c>
      <c r="AL2177" s="17"/>
      <c r="AM2177" s="17"/>
      <c r="AN2177" s="17"/>
      <c r="AO2177" s="17"/>
      <c r="AP2177" s="28" t="str">
        <f t="shared" si="645"/>
        <v>20234</v>
      </c>
      <c r="AQ2177" s="28" t="str">
        <f t="shared" si="646"/>
        <v>20234RMB</v>
      </c>
      <c r="AR2177" s="206" t="str">
        <f t="shared" si="647"/>
        <v>YAMAHA_Mounter</v>
      </c>
      <c r="AS2177" s="22">
        <f t="shared" si="648"/>
        <v>1</v>
      </c>
      <c r="AT2177" s="24" t="str">
        <f t="shared" si="649"/>
        <v>0-3 months</v>
      </c>
    </row>
    <row r="2178" spans="1:46" s="12" customFormat="1">
      <c r="A2178" s="33" t="str">
        <f t="shared" si="637"/>
        <v>FY 21/22</v>
      </c>
      <c r="B2178" s="152">
        <v>2022</v>
      </c>
      <c r="C2178" s="152">
        <v>1</v>
      </c>
      <c r="D2178" s="33" t="str">
        <f t="shared" si="638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39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40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51"/>
        <v>1.13</v>
      </c>
      <c r="Z2178" s="18">
        <f t="shared" si="652"/>
        <v>495000</v>
      </c>
      <c r="AA2178" s="13">
        <v>1.1950000000000001</v>
      </c>
      <c r="AB2178" s="21">
        <f t="shared" si="641"/>
        <v>523473.45132743369</v>
      </c>
      <c r="AC2178" s="130">
        <f t="shared" si="642"/>
        <v>98151.27212389381</v>
      </c>
      <c r="AD2178" s="169">
        <v>0.1875</v>
      </c>
      <c r="AE2178" s="154">
        <f t="shared" si="643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53">IF(P2178="C66 SERVICE","",SUMIFS(AB:AB,F:F,F2178,G:G,G2178,E:E,E2178))</f>
        <v>44014086.982070789</v>
      </c>
      <c r="AJ2178" s="19">
        <f t="shared" ref="AJ2178:AJ2241" si="654">IF(P2178="C66 SERVICE","",SUMIFS(AC:AC,F:F,F2178,G:G,G2178,E:E,E2178))</f>
        <v>6419974.0221889298</v>
      </c>
      <c r="AK2178" s="20">
        <f t="shared" si="644"/>
        <v>0.14586180158193709</v>
      </c>
      <c r="AL2178" s="17"/>
      <c r="AM2178" s="17"/>
      <c r="AN2178" s="17"/>
      <c r="AO2178" s="17"/>
      <c r="AP2178" s="28" t="str">
        <f t="shared" si="645"/>
        <v>20225</v>
      </c>
      <c r="AQ2178" s="28" t="str">
        <f t="shared" si="646"/>
        <v>20225RMB</v>
      </c>
      <c r="AR2178" s="206" t="str">
        <f t="shared" si="647"/>
        <v>YAMAHA_Mounter</v>
      </c>
      <c r="AS2178" s="22">
        <f t="shared" si="648"/>
        <v>4</v>
      </c>
      <c r="AT2178" s="24" t="str">
        <f t="shared" si="649"/>
        <v>4-6 months</v>
      </c>
    </row>
    <row r="2179" spans="1:46" s="12" customFormat="1">
      <c r="A2179" s="33" t="str">
        <f t="shared" si="637"/>
        <v>FY 21/22</v>
      </c>
      <c r="B2179" s="152">
        <v>2022</v>
      </c>
      <c r="C2179" s="152">
        <v>1</v>
      </c>
      <c r="D2179" s="33" t="str">
        <f t="shared" si="638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39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40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51"/>
        <v>1.13</v>
      </c>
      <c r="Z2179" s="18">
        <f t="shared" si="652"/>
        <v>955900</v>
      </c>
      <c r="AA2179" s="13">
        <v>1.1950000000000001</v>
      </c>
      <c r="AB2179" s="21">
        <f t="shared" si="641"/>
        <v>1010885.3982300886</v>
      </c>
      <c r="AC2179" s="130">
        <f t="shared" si="642"/>
        <v>189541.01216814161</v>
      </c>
      <c r="AD2179" s="169">
        <v>0.1875</v>
      </c>
      <c r="AE2179" s="154">
        <f t="shared" si="643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53"/>
        <v>44014086.982070789</v>
      </c>
      <c r="AJ2179" s="19">
        <f t="shared" si="654"/>
        <v>6419974.0221889298</v>
      </c>
      <c r="AK2179" s="20">
        <f t="shared" si="644"/>
        <v>0.14586180158193709</v>
      </c>
      <c r="AL2179" s="17"/>
      <c r="AM2179" s="17"/>
      <c r="AN2179" s="17"/>
      <c r="AO2179" s="17"/>
      <c r="AP2179" s="28" t="str">
        <f t="shared" si="645"/>
        <v>20225</v>
      </c>
      <c r="AQ2179" s="28" t="str">
        <f t="shared" si="646"/>
        <v>20225RMB</v>
      </c>
      <c r="AR2179" s="206" t="str">
        <f t="shared" si="647"/>
        <v>YAMAHA_Mounter</v>
      </c>
      <c r="AS2179" s="22">
        <f t="shared" si="648"/>
        <v>4</v>
      </c>
      <c r="AT2179" s="24" t="str">
        <f t="shared" si="649"/>
        <v>4-6 months</v>
      </c>
    </row>
    <row r="2180" spans="1:46" s="12" customFormat="1">
      <c r="A2180" s="33" t="str">
        <f t="shared" si="637"/>
        <v>FY 23/24</v>
      </c>
      <c r="B2180" s="23">
        <v>2024</v>
      </c>
      <c r="C2180" s="152">
        <v>1</v>
      </c>
      <c r="D2180" s="33" t="str">
        <f t="shared" si="638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39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40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52"/>
        <v>525000</v>
      </c>
      <c r="AA2180" s="22">
        <v>1.0900000000000001</v>
      </c>
      <c r="AB2180" s="21">
        <f t="shared" si="641"/>
        <v>506415.92920353991</v>
      </c>
      <c r="AC2180" s="25">
        <f t="shared" si="642"/>
        <v>54186.504424778766</v>
      </c>
      <c r="AD2180" s="169">
        <v>0.107</v>
      </c>
      <c r="AE2180" s="26">
        <f t="shared" si="643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53"/>
        <v>10524262.405309737</v>
      </c>
      <c r="AJ2180" s="27">
        <f t="shared" si="654"/>
        <v>1479050.9527127435</v>
      </c>
      <c r="AK2180" s="28">
        <f t="shared" si="644"/>
        <v>0.14053725532028996</v>
      </c>
      <c r="AL2180" s="24"/>
      <c r="AM2180" s="24"/>
      <c r="AN2180" s="24"/>
      <c r="AO2180" s="24"/>
      <c r="AP2180" s="28" t="str">
        <f t="shared" si="645"/>
        <v>20242</v>
      </c>
      <c r="AQ2180" s="28" t="str">
        <f t="shared" si="646"/>
        <v>20242RMB</v>
      </c>
      <c r="AR2180" s="206" t="str">
        <f t="shared" si="647"/>
        <v>YAMAHA_Mounter</v>
      </c>
      <c r="AS2180" s="22">
        <f t="shared" si="648"/>
        <v>1</v>
      </c>
      <c r="AT2180" s="24" t="str">
        <f t="shared" si="649"/>
        <v>0-3 months</v>
      </c>
    </row>
    <row r="2181" spans="1:46" s="12" customFormat="1">
      <c r="A2181" s="33" t="str">
        <f t="shared" si="637"/>
        <v>FY 23/24</v>
      </c>
      <c r="B2181" s="23">
        <v>2024</v>
      </c>
      <c r="C2181" s="152">
        <v>1</v>
      </c>
      <c r="D2181" s="33" t="str">
        <f t="shared" si="638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39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40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52"/>
        <v>525000</v>
      </c>
      <c r="AA2181" s="22">
        <v>1.0900000000000001</v>
      </c>
      <c r="AB2181" s="21">
        <f t="shared" si="641"/>
        <v>506415.92920353991</v>
      </c>
      <c r="AC2181" s="25">
        <f t="shared" si="642"/>
        <v>54186.504424778766</v>
      </c>
      <c r="AD2181" s="169">
        <v>0.107</v>
      </c>
      <c r="AE2181" s="26">
        <f t="shared" si="643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53"/>
        <v>10524262.405309737</v>
      </c>
      <c r="AJ2181" s="27">
        <f t="shared" si="654"/>
        <v>1479050.9527127435</v>
      </c>
      <c r="AK2181" s="28">
        <f t="shared" si="644"/>
        <v>0.14053725532028996</v>
      </c>
      <c r="AL2181" s="24"/>
      <c r="AM2181" s="24"/>
      <c r="AN2181" s="24"/>
      <c r="AO2181" s="24"/>
      <c r="AP2181" s="28" t="str">
        <f t="shared" si="645"/>
        <v>20242</v>
      </c>
      <c r="AQ2181" s="28" t="str">
        <f t="shared" si="646"/>
        <v>20242RMB</v>
      </c>
      <c r="AR2181" s="206" t="str">
        <f t="shared" si="647"/>
        <v>YAMAHA_Mounter</v>
      </c>
      <c r="AS2181" s="22">
        <f t="shared" si="648"/>
        <v>1</v>
      </c>
      <c r="AT2181" s="24" t="str">
        <f t="shared" si="649"/>
        <v>0-3 months</v>
      </c>
    </row>
    <row r="2182" spans="1:46" s="12" customFormat="1">
      <c r="A2182" s="33" t="str">
        <f t="shared" si="637"/>
        <v>FY 17/18</v>
      </c>
      <c r="B2182" s="152">
        <v>2017</v>
      </c>
      <c r="C2182" s="152">
        <v>11</v>
      </c>
      <c r="D2182" s="33" t="str">
        <f t="shared" si="638"/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si="639"/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si="640"/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52"/>
        <v>507000</v>
      </c>
      <c r="AA2182" s="13">
        <v>1.23</v>
      </c>
      <c r="AB2182" s="21">
        <f t="shared" si="641"/>
        <v>533000</v>
      </c>
      <c r="AC2182" s="130">
        <f t="shared" si="642"/>
        <v>64972.7</v>
      </c>
      <c r="AD2182" s="169">
        <v>0.12189999999999999</v>
      </c>
      <c r="AE2182" s="154">
        <f t="shared" si="643"/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53"/>
        <v>29288201.603076916</v>
      </c>
      <c r="AJ2182" s="19">
        <f t="shared" si="654"/>
        <v>3870159.1769246152</v>
      </c>
      <c r="AK2182" s="20">
        <f t="shared" si="644"/>
        <v>0.13214055370740244</v>
      </c>
      <c r="AL2182" s="17"/>
      <c r="AM2182" s="17"/>
      <c r="AN2182" s="17"/>
      <c r="AO2182" s="17"/>
      <c r="AP2182" s="28" t="str">
        <f t="shared" si="645"/>
        <v>20184</v>
      </c>
      <c r="AQ2182" s="28" t="str">
        <f t="shared" si="646"/>
        <v>20184RMB</v>
      </c>
      <c r="AR2182" s="206" t="str">
        <f t="shared" si="647"/>
        <v>YAMAHA_Mounter</v>
      </c>
      <c r="AS2182" s="22">
        <f t="shared" si="648"/>
        <v>5</v>
      </c>
      <c r="AT2182" s="24" t="str">
        <f t="shared" si="649"/>
        <v>4-6 months</v>
      </c>
    </row>
    <row r="2183" spans="1:46" s="12" customFormat="1">
      <c r="A2183" s="33" t="str">
        <f t="shared" si="637"/>
        <v>cancel</v>
      </c>
      <c r="B2183" s="152"/>
      <c r="C2183" s="152" t="s">
        <v>186</v>
      </c>
      <c r="D2183" s="33" t="str">
        <f t="shared" si="638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39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0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52"/>
        <v>800000</v>
      </c>
      <c r="AA2183" s="13">
        <v>1.1100000000000001</v>
      </c>
      <c r="AB2183" s="21">
        <f t="shared" si="641"/>
        <v>785840.70796460193</v>
      </c>
      <c r="AC2183" s="130">
        <f t="shared" si="642"/>
        <v>94300.884955752234</v>
      </c>
      <c r="AD2183" s="169">
        <v>0.12</v>
      </c>
      <c r="AE2183" s="154">
        <f t="shared" si="643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53"/>
        <v>477651199.57437885</v>
      </c>
      <c r="AJ2183" s="19">
        <f t="shared" si="654"/>
        <v>56918800.518691957</v>
      </c>
      <c r="AK2183" s="20">
        <f t="shared" si="644"/>
        <v>0.11916394341605475</v>
      </c>
      <c r="AL2183" s="17"/>
      <c r="AM2183" s="17"/>
      <c r="AN2183" s="17"/>
      <c r="AO2183" s="17"/>
      <c r="AP2183" s="28" t="str">
        <f t="shared" si="645"/>
        <v>CancelCancel</v>
      </c>
      <c r="AQ2183" s="28" t="str">
        <f t="shared" si="646"/>
        <v>CancelCancelRMB</v>
      </c>
      <c r="AR2183" s="206" t="str">
        <f t="shared" si="647"/>
        <v>YAMAHA_Mounter</v>
      </c>
      <c r="AS2183" s="22" t="str">
        <f t="shared" si="648"/>
        <v/>
      </c>
      <c r="AT2183" s="24" t="str">
        <f t="shared" si="649"/>
        <v/>
      </c>
    </row>
    <row r="2184" spans="1:46" s="12" customFormat="1">
      <c r="A2184" s="33" t="str">
        <f t="shared" si="637"/>
        <v>FY 20/21</v>
      </c>
      <c r="B2184" s="152">
        <v>2020</v>
      </c>
      <c r="C2184" s="152">
        <v>8</v>
      </c>
      <c r="D2184" s="33" t="str">
        <f t="shared" si="638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39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0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52"/>
        <v>795000</v>
      </c>
      <c r="AA2184" s="13">
        <v>1.2</v>
      </c>
      <c r="AB2184" s="21">
        <f t="shared" si="641"/>
        <v>844247.78761061956</v>
      </c>
      <c r="AC2184" s="130">
        <f t="shared" si="642"/>
        <v>147658.93805309737</v>
      </c>
      <c r="AD2184" s="169">
        <v>0.1749</v>
      </c>
      <c r="AE2184" s="154">
        <f t="shared" si="643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53"/>
        <v>15533177.71460177</v>
      </c>
      <c r="AJ2184" s="19">
        <f t="shared" si="654"/>
        <v>1819298.5437526547</v>
      </c>
      <c r="AK2184" s="20">
        <f t="shared" si="644"/>
        <v>0.11712339723265033</v>
      </c>
      <c r="AL2184" s="17"/>
      <c r="AM2184" s="17"/>
      <c r="AN2184" s="17"/>
      <c r="AO2184" s="17"/>
      <c r="AP2184" s="28" t="str">
        <f t="shared" si="645"/>
        <v>202110</v>
      </c>
      <c r="AQ2184" s="28" t="str">
        <f t="shared" si="646"/>
        <v>202110RMB</v>
      </c>
      <c r="AR2184" s="206" t="str">
        <f t="shared" si="647"/>
        <v>YAMAHA_Mounter</v>
      </c>
      <c r="AS2184" s="22">
        <f t="shared" si="648"/>
        <v>14</v>
      </c>
      <c r="AT2184" s="24" t="str">
        <f t="shared" si="649"/>
        <v>&gt; 6 months</v>
      </c>
    </row>
    <row r="2185" spans="1:46" s="12" customFormat="1">
      <c r="A2185" s="33" t="str">
        <f t="shared" si="637"/>
        <v>FY 19/20</v>
      </c>
      <c r="B2185" s="152">
        <v>2019</v>
      </c>
      <c r="C2185" s="152">
        <v>9</v>
      </c>
      <c r="D2185" s="33" t="str">
        <f t="shared" si="638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39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0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52"/>
        <v>880000</v>
      </c>
      <c r="AA2185" s="13">
        <v>1.095</v>
      </c>
      <c r="AB2185" s="21">
        <f t="shared" si="641"/>
        <v>852743.36283185857</v>
      </c>
      <c r="AC2185" s="130">
        <f t="shared" si="642"/>
        <v>100453.16814159293</v>
      </c>
      <c r="AD2185" s="169">
        <v>0.1178</v>
      </c>
      <c r="AE2185" s="154">
        <f t="shared" si="643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53"/>
        <v>28647263.974455759</v>
      </c>
      <c r="AJ2185" s="19">
        <f t="shared" si="654"/>
        <v>3219855.6912513468</v>
      </c>
      <c r="AK2185" s="20">
        <f t="shared" si="644"/>
        <v>0.11239662168514358</v>
      </c>
      <c r="AL2185" s="17"/>
      <c r="AM2185" s="17"/>
      <c r="AN2185" s="17"/>
      <c r="AO2185" s="17"/>
      <c r="AP2185" s="28" t="str">
        <f t="shared" si="645"/>
        <v>201910</v>
      </c>
      <c r="AQ2185" s="28" t="str">
        <f t="shared" si="646"/>
        <v>201910RMB</v>
      </c>
      <c r="AR2185" s="206" t="str">
        <f t="shared" si="647"/>
        <v>YAMAHA_Mounter</v>
      </c>
      <c r="AS2185" s="22">
        <f t="shared" si="648"/>
        <v>1</v>
      </c>
      <c r="AT2185" s="24" t="str">
        <f t="shared" si="649"/>
        <v>0-3 months</v>
      </c>
    </row>
    <row r="2186" spans="1:46" s="12" customFormat="1">
      <c r="A2186" s="33" t="str">
        <f t="shared" si="637"/>
        <v>FY 19/20</v>
      </c>
      <c r="B2186" s="152">
        <v>2019</v>
      </c>
      <c r="C2186" s="152">
        <v>9</v>
      </c>
      <c r="D2186" s="33" t="str">
        <f t="shared" si="638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39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0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si="652"/>
        <v>600000</v>
      </c>
      <c r="AA2186" s="13">
        <v>1.095</v>
      </c>
      <c r="AB2186" s="21">
        <f t="shared" si="641"/>
        <v>581415.92920353985</v>
      </c>
      <c r="AC2186" s="130">
        <f t="shared" si="642"/>
        <v>68490.796460176993</v>
      </c>
      <c r="AD2186" s="169">
        <v>0.1178</v>
      </c>
      <c r="AE2186" s="154">
        <f t="shared" si="643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53"/>
        <v>28647263.974455759</v>
      </c>
      <c r="AJ2186" s="19">
        <f t="shared" si="654"/>
        <v>3219855.6912513468</v>
      </c>
      <c r="AK2186" s="20">
        <f t="shared" si="644"/>
        <v>0.11239662168514358</v>
      </c>
      <c r="AL2186" s="17"/>
      <c r="AM2186" s="17"/>
      <c r="AN2186" s="17"/>
      <c r="AO2186" s="17"/>
      <c r="AP2186" s="28" t="str">
        <f t="shared" si="645"/>
        <v>201910</v>
      </c>
      <c r="AQ2186" s="28" t="str">
        <f t="shared" si="646"/>
        <v>201910RMB</v>
      </c>
      <c r="AR2186" s="206" t="str">
        <f t="shared" si="647"/>
        <v>YAMAHA_Mounter</v>
      </c>
      <c r="AS2186" s="22">
        <f t="shared" si="648"/>
        <v>1</v>
      </c>
      <c r="AT2186" s="24" t="str">
        <f t="shared" si="649"/>
        <v>0-3 months</v>
      </c>
    </row>
    <row r="2187" spans="1:46" s="12" customFormat="1">
      <c r="A2187" s="33" t="str">
        <f t="shared" si="637"/>
        <v>FY 18/19</v>
      </c>
      <c r="B2187" s="152">
        <v>2018</v>
      </c>
      <c r="C2187" s="152">
        <v>11</v>
      </c>
      <c r="D2187" s="33" t="str">
        <f t="shared" si="638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39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0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2"/>
        <v>445000</v>
      </c>
      <c r="AA2187" s="13">
        <v>1.125</v>
      </c>
      <c r="AB2187" s="21">
        <f t="shared" si="641"/>
        <v>431573.27586206904</v>
      </c>
      <c r="AC2187" s="130">
        <f t="shared" si="642"/>
        <v>78632.650862068986</v>
      </c>
      <c r="AD2187" s="169">
        <v>0.1822</v>
      </c>
      <c r="AE2187" s="154">
        <f t="shared" si="643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53"/>
        <v>29840797.698275864</v>
      </c>
      <c r="AJ2187" s="19">
        <f t="shared" si="654"/>
        <v>3940167.6555448272</v>
      </c>
      <c r="AK2187" s="20">
        <f t="shared" si="644"/>
        <v>0.13203962224416277</v>
      </c>
      <c r="AL2187" s="17"/>
      <c r="AM2187" s="17"/>
      <c r="AN2187" s="17"/>
      <c r="AO2187" s="17"/>
      <c r="AP2187" s="28" t="str">
        <f t="shared" si="645"/>
        <v>201812</v>
      </c>
      <c r="AQ2187" s="28" t="str">
        <f t="shared" si="646"/>
        <v>201812RMB</v>
      </c>
      <c r="AR2187" s="206" t="str">
        <f t="shared" si="647"/>
        <v>PEMTRON</v>
      </c>
      <c r="AS2187" s="22">
        <f t="shared" si="648"/>
        <v>1</v>
      </c>
      <c r="AT2187" s="24" t="str">
        <f t="shared" si="649"/>
        <v>0-3 months</v>
      </c>
    </row>
    <row r="2188" spans="1:46" s="12" customFormat="1">
      <c r="A2188" s="33" t="str">
        <f t="shared" si="637"/>
        <v>FY 19/20</v>
      </c>
      <c r="B2188" s="152">
        <v>2019</v>
      </c>
      <c r="C2188" s="152">
        <v>9</v>
      </c>
      <c r="D2188" s="33" t="str">
        <f t="shared" si="638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39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0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2"/>
        <v>1080000</v>
      </c>
      <c r="AA2188" s="13">
        <v>1.1100000000000001</v>
      </c>
      <c r="AB2188" s="21">
        <f t="shared" si="641"/>
        <v>1060884.9557522126</v>
      </c>
      <c r="AC2188" s="130">
        <f t="shared" si="642"/>
        <v>145235.1504424779</v>
      </c>
      <c r="AD2188" s="169">
        <v>0.13689999999999999</v>
      </c>
      <c r="AE2188" s="154">
        <f t="shared" si="643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53"/>
        <v>26147030.909862842</v>
      </c>
      <c r="AJ2188" s="19">
        <f t="shared" si="654"/>
        <v>2743862.8630715334</v>
      </c>
      <c r="AK2188" s="20">
        <f t="shared" si="644"/>
        <v>0.10493974908778378</v>
      </c>
      <c r="AL2188" s="17"/>
      <c r="AM2188" s="17"/>
      <c r="AN2188" s="17"/>
      <c r="AO2188" s="17"/>
      <c r="AP2188" s="28" t="str">
        <f t="shared" si="645"/>
        <v>201911</v>
      </c>
      <c r="AQ2188" s="28" t="str">
        <f t="shared" si="646"/>
        <v>201911RMB</v>
      </c>
      <c r="AR2188" s="206" t="str">
        <f t="shared" si="647"/>
        <v>YAMAHA_Mounter</v>
      </c>
      <c r="AS2188" s="22">
        <f t="shared" si="648"/>
        <v>2</v>
      </c>
      <c r="AT2188" s="24" t="str">
        <f t="shared" si="649"/>
        <v>0-3 months</v>
      </c>
    </row>
    <row r="2189" spans="1:46" s="12" customFormat="1">
      <c r="A2189" s="33" t="str">
        <f t="shared" si="637"/>
        <v>FY 23/24</v>
      </c>
      <c r="B2189" s="152">
        <v>2023</v>
      </c>
      <c r="C2189" s="152">
        <v>9</v>
      </c>
      <c r="D2189" s="33" t="str">
        <f t="shared" si="638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39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0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2"/>
        <v>11860000</v>
      </c>
      <c r="AA2189" s="13">
        <v>5.4899999999999997E-2</v>
      </c>
      <c r="AB2189" s="21">
        <f t="shared" si="641"/>
        <v>651114</v>
      </c>
      <c r="AC2189" s="130">
        <f t="shared" si="642"/>
        <v>66153.182399999991</v>
      </c>
      <c r="AD2189" s="169">
        <v>0.1016</v>
      </c>
      <c r="AE2189" s="154">
        <f t="shared" si="643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53"/>
        <v>26078226.463097349</v>
      </c>
      <c r="AJ2189" s="19">
        <f t="shared" si="654"/>
        <v>3137870.4427774516</v>
      </c>
      <c r="AK2189" s="20">
        <f t="shared" si="644"/>
        <v>0.12032530077218917</v>
      </c>
      <c r="AL2189" s="17"/>
      <c r="AM2189" s="17"/>
      <c r="AN2189" s="17"/>
      <c r="AO2189" s="17"/>
      <c r="AP2189" s="28" t="str">
        <f t="shared" si="645"/>
        <v>20239</v>
      </c>
      <c r="AQ2189" s="28" t="str">
        <f t="shared" si="646"/>
        <v>20239JPY</v>
      </c>
      <c r="AR2189" s="206" t="str">
        <f t="shared" si="647"/>
        <v>YAMAHA_Mounter</v>
      </c>
      <c r="AS2189" s="22">
        <f t="shared" si="648"/>
        <v>0</v>
      </c>
      <c r="AT2189" s="24" t="str">
        <f t="shared" si="649"/>
        <v>0-3 months</v>
      </c>
    </row>
    <row r="2190" spans="1:46" s="12" customFormat="1">
      <c r="A2190" s="33" t="str">
        <f t="shared" si="637"/>
        <v>FY 20/21</v>
      </c>
      <c r="B2190" s="152">
        <v>2020</v>
      </c>
      <c r="C2190" s="152">
        <v>7</v>
      </c>
      <c r="D2190" s="33" t="str">
        <f t="shared" si="638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39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0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2"/>
        <v>10000000</v>
      </c>
      <c r="AA2190" s="13">
        <v>7.4899999999999994E-2</v>
      </c>
      <c r="AB2190" s="21">
        <f t="shared" si="641"/>
        <v>749000</v>
      </c>
      <c r="AC2190" s="130">
        <f t="shared" si="642"/>
        <v>91003.5</v>
      </c>
      <c r="AD2190" s="169">
        <v>0.1215</v>
      </c>
      <c r="AE2190" s="154">
        <f t="shared" si="643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53"/>
        <v>47907808.356810622</v>
      </c>
      <c r="AJ2190" s="19">
        <f t="shared" si="654"/>
        <v>6027384.8806384448</v>
      </c>
      <c r="AK2190" s="20">
        <f t="shared" si="644"/>
        <v>0.12581216063459488</v>
      </c>
      <c r="AL2190" s="17"/>
      <c r="AM2190" s="17"/>
      <c r="AN2190" s="17"/>
      <c r="AO2190" s="17"/>
      <c r="AP2190" s="28" t="str">
        <f t="shared" si="645"/>
        <v>20209</v>
      </c>
      <c r="AQ2190" s="28" t="str">
        <f t="shared" si="646"/>
        <v>20209JPY</v>
      </c>
      <c r="AR2190" s="206" t="str">
        <f t="shared" si="647"/>
        <v>YAMAHA_Mounter</v>
      </c>
      <c r="AS2190" s="22">
        <f t="shared" si="648"/>
        <v>2</v>
      </c>
      <c r="AT2190" s="24" t="str">
        <f t="shared" si="649"/>
        <v>0-3 months</v>
      </c>
    </row>
    <row r="2191" spans="1:46" s="12" customFormat="1">
      <c r="A2191" s="33" t="str">
        <f t="shared" si="637"/>
        <v>FY 20/21</v>
      </c>
      <c r="B2191" s="152">
        <v>2020</v>
      </c>
      <c r="C2191" s="152">
        <v>7</v>
      </c>
      <c r="D2191" s="33" t="str">
        <f t="shared" si="638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39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0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2"/>
        <v>10000000</v>
      </c>
      <c r="AA2191" s="13">
        <v>7.4899999999999994E-2</v>
      </c>
      <c r="AB2191" s="21">
        <f t="shared" si="641"/>
        <v>749000</v>
      </c>
      <c r="AC2191" s="130">
        <f t="shared" si="642"/>
        <v>91003.5</v>
      </c>
      <c r="AD2191" s="169">
        <v>0.1215</v>
      </c>
      <c r="AE2191" s="154">
        <f t="shared" si="643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53"/>
        <v>47907808.356810622</v>
      </c>
      <c r="AJ2191" s="19">
        <f t="shared" si="654"/>
        <v>6027384.8806384448</v>
      </c>
      <c r="AK2191" s="20">
        <f t="shared" si="644"/>
        <v>0.12581216063459488</v>
      </c>
      <c r="AL2191" s="17"/>
      <c r="AM2191" s="17"/>
      <c r="AN2191" s="17"/>
      <c r="AO2191" s="17"/>
      <c r="AP2191" s="28" t="str">
        <f t="shared" si="645"/>
        <v>20209</v>
      </c>
      <c r="AQ2191" s="28" t="str">
        <f t="shared" si="646"/>
        <v>20209JPY</v>
      </c>
      <c r="AR2191" s="206" t="str">
        <f t="shared" si="647"/>
        <v>YAMAHA_Mounter</v>
      </c>
      <c r="AS2191" s="22">
        <f t="shared" si="648"/>
        <v>2</v>
      </c>
      <c r="AT2191" s="24" t="str">
        <f t="shared" si="649"/>
        <v>0-3 months</v>
      </c>
    </row>
    <row r="2192" spans="1:46" s="12" customFormat="1">
      <c r="A2192" s="33" t="str">
        <f t="shared" si="637"/>
        <v>FY 20/21</v>
      </c>
      <c r="B2192" s="152">
        <v>2020</v>
      </c>
      <c r="C2192" s="152">
        <v>7</v>
      </c>
      <c r="D2192" s="33" t="str">
        <f t="shared" si="638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39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0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2"/>
        <v>14200000</v>
      </c>
      <c r="AA2192" s="13">
        <v>7.4899999999999994E-2</v>
      </c>
      <c r="AB2192" s="21">
        <f t="shared" si="641"/>
        <v>1063580</v>
      </c>
      <c r="AC2192" s="130">
        <f t="shared" si="642"/>
        <v>129224.97</v>
      </c>
      <c r="AD2192" s="169">
        <v>0.1215</v>
      </c>
      <c r="AE2192" s="154">
        <f t="shared" si="643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53"/>
        <v>47907808.356810622</v>
      </c>
      <c r="AJ2192" s="19">
        <f t="shared" si="654"/>
        <v>6027384.8806384448</v>
      </c>
      <c r="AK2192" s="20">
        <f t="shared" si="644"/>
        <v>0.12581216063459488</v>
      </c>
      <c r="AL2192" s="17"/>
      <c r="AM2192" s="17"/>
      <c r="AN2192" s="17"/>
      <c r="AO2192" s="17"/>
      <c r="AP2192" s="28" t="str">
        <f t="shared" si="645"/>
        <v>20209</v>
      </c>
      <c r="AQ2192" s="28" t="str">
        <f t="shared" si="646"/>
        <v>20209JPY</v>
      </c>
      <c r="AR2192" s="206" t="str">
        <f t="shared" si="647"/>
        <v>YAMAHA_Mounter</v>
      </c>
      <c r="AS2192" s="22">
        <f t="shared" si="648"/>
        <v>2</v>
      </c>
      <c r="AT2192" s="24" t="str">
        <f t="shared" si="649"/>
        <v>0-3 months</v>
      </c>
    </row>
    <row r="2193" spans="1:46" s="12" customFormat="1">
      <c r="A2193" s="33" t="str">
        <f t="shared" si="637"/>
        <v>FY 20/21</v>
      </c>
      <c r="B2193" s="152">
        <v>2020</v>
      </c>
      <c r="C2193" s="152">
        <v>9</v>
      </c>
      <c r="D2193" s="33" t="str">
        <f t="shared" si="638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39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0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5">IF(W2193="RMB","1.13", "1")</f>
        <v>1</v>
      </c>
      <c r="Z2193" s="18">
        <f t="shared" si="652"/>
        <v>10000000</v>
      </c>
      <c r="AA2193" s="13">
        <v>7.6100000000000001E-2</v>
      </c>
      <c r="AB2193" s="21">
        <f t="shared" si="641"/>
        <v>761000</v>
      </c>
      <c r="AC2193" s="130">
        <f t="shared" si="642"/>
        <v>95125</v>
      </c>
      <c r="AD2193" s="169">
        <v>0.125</v>
      </c>
      <c r="AE2193" s="154">
        <f t="shared" si="643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53"/>
        <v>48763143.537654862</v>
      </c>
      <c r="AJ2193" s="19">
        <f t="shared" si="654"/>
        <v>5924029.9702154724</v>
      </c>
      <c r="AK2193" s="20">
        <f t="shared" si="644"/>
        <v>0.1214858095774925</v>
      </c>
      <c r="AL2193" s="17"/>
      <c r="AM2193" s="17"/>
      <c r="AN2193" s="17"/>
      <c r="AO2193" s="17"/>
      <c r="AP2193" s="28" t="str">
        <f t="shared" si="645"/>
        <v>202012</v>
      </c>
      <c r="AQ2193" s="28" t="str">
        <f t="shared" si="646"/>
        <v>202012JPY</v>
      </c>
      <c r="AR2193" s="206" t="str">
        <f t="shared" si="647"/>
        <v>YAMAHA_Mounter</v>
      </c>
      <c r="AS2193" s="22">
        <f t="shared" si="648"/>
        <v>3</v>
      </c>
      <c r="AT2193" s="24" t="str">
        <f t="shared" si="649"/>
        <v>0-3 months</v>
      </c>
    </row>
    <row r="2194" spans="1:46" s="12" customFormat="1">
      <c r="A2194" s="33" t="str">
        <f t="shared" si="637"/>
        <v>FY 20/21</v>
      </c>
      <c r="B2194" s="152">
        <v>2020</v>
      </c>
      <c r="C2194" s="152">
        <v>9</v>
      </c>
      <c r="D2194" s="33" t="str">
        <f t="shared" si="638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39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0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5"/>
        <v>1</v>
      </c>
      <c r="Z2194" s="18">
        <f t="shared" si="652"/>
        <v>10000000</v>
      </c>
      <c r="AA2194" s="13">
        <v>7.6100000000000001E-2</v>
      </c>
      <c r="AB2194" s="21">
        <f t="shared" si="641"/>
        <v>761000</v>
      </c>
      <c r="AC2194" s="130">
        <f t="shared" si="642"/>
        <v>95125</v>
      </c>
      <c r="AD2194" s="169">
        <v>0.125</v>
      </c>
      <c r="AE2194" s="154">
        <f t="shared" si="643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53"/>
        <v>48763143.537654862</v>
      </c>
      <c r="AJ2194" s="19">
        <f t="shared" si="654"/>
        <v>5924029.9702154724</v>
      </c>
      <c r="AK2194" s="20">
        <f t="shared" si="644"/>
        <v>0.1214858095774925</v>
      </c>
      <c r="AL2194" s="17"/>
      <c r="AM2194" s="17"/>
      <c r="AN2194" s="17"/>
      <c r="AO2194" s="17"/>
      <c r="AP2194" s="28" t="str">
        <f t="shared" si="645"/>
        <v>202012</v>
      </c>
      <c r="AQ2194" s="28" t="str">
        <f t="shared" si="646"/>
        <v>202012JPY</v>
      </c>
      <c r="AR2194" s="206" t="str">
        <f t="shared" si="647"/>
        <v>YAMAHA_Mounter</v>
      </c>
      <c r="AS2194" s="22">
        <f t="shared" si="648"/>
        <v>3</v>
      </c>
      <c r="AT2194" s="24" t="str">
        <f t="shared" si="649"/>
        <v>0-3 months</v>
      </c>
    </row>
    <row r="2195" spans="1:46" s="12" customFormat="1">
      <c r="A2195" s="33" t="str">
        <f t="shared" si="637"/>
        <v>FY 20/21</v>
      </c>
      <c r="B2195" s="152">
        <v>2020</v>
      </c>
      <c r="C2195" s="152">
        <v>9</v>
      </c>
      <c r="D2195" s="33" t="str">
        <f t="shared" si="638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39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0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5"/>
        <v>1</v>
      </c>
      <c r="Z2195" s="18">
        <f t="shared" si="652"/>
        <v>14200000</v>
      </c>
      <c r="AA2195" s="13">
        <v>7.6100000000000001E-2</v>
      </c>
      <c r="AB2195" s="21">
        <f t="shared" si="641"/>
        <v>1080620</v>
      </c>
      <c r="AC2195" s="130">
        <f t="shared" si="642"/>
        <v>135077.5</v>
      </c>
      <c r="AD2195" s="169">
        <v>0.125</v>
      </c>
      <c r="AE2195" s="154">
        <f t="shared" si="643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53"/>
        <v>48763143.537654862</v>
      </c>
      <c r="AJ2195" s="19">
        <f t="shared" si="654"/>
        <v>5924029.9702154724</v>
      </c>
      <c r="AK2195" s="20">
        <f t="shared" si="644"/>
        <v>0.1214858095774925</v>
      </c>
      <c r="AL2195" s="17"/>
      <c r="AM2195" s="17"/>
      <c r="AN2195" s="17"/>
      <c r="AO2195" s="17"/>
      <c r="AP2195" s="28" t="str">
        <f t="shared" si="645"/>
        <v>202012</v>
      </c>
      <c r="AQ2195" s="28" t="str">
        <f t="shared" si="646"/>
        <v>202012JPY</v>
      </c>
      <c r="AR2195" s="206" t="str">
        <f t="shared" si="647"/>
        <v>YAMAHA_Mounter</v>
      </c>
      <c r="AS2195" s="22">
        <f t="shared" si="648"/>
        <v>3</v>
      </c>
      <c r="AT2195" s="24" t="str">
        <f t="shared" si="649"/>
        <v>0-3 months</v>
      </c>
    </row>
    <row r="2196" spans="1:46" s="12" customFormat="1">
      <c r="A2196" s="33" t="str">
        <f t="shared" si="637"/>
        <v>FY 21/22</v>
      </c>
      <c r="B2196" s="152">
        <v>2021</v>
      </c>
      <c r="C2196" s="152">
        <v>4</v>
      </c>
      <c r="D2196" s="33" t="str">
        <f t="shared" si="638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39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0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5"/>
        <v>1</v>
      </c>
      <c r="Z2196" s="18">
        <f t="shared" si="652"/>
        <v>18600000</v>
      </c>
      <c r="AA2196" s="13">
        <v>7.0000000000000007E-2</v>
      </c>
      <c r="AB2196" s="21">
        <f t="shared" si="641"/>
        <v>1302000.0000000002</v>
      </c>
      <c r="AC2196" s="130">
        <f t="shared" si="642"/>
        <v>161708.40000000002</v>
      </c>
      <c r="AD2196" s="169">
        <v>0.1242</v>
      </c>
      <c r="AE2196" s="154">
        <f t="shared" si="643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53"/>
        <v>29500529.005044252</v>
      </c>
      <c r="AJ2196" s="19">
        <f t="shared" si="654"/>
        <v>3253064.846231177</v>
      </c>
      <c r="AK2196" s="20">
        <f t="shared" si="644"/>
        <v>0.11027140718984871</v>
      </c>
      <c r="AL2196" s="17"/>
      <c r="AM2196" s="17"/>
      <c r="AN2196" s="17"/>
      <c r="AO2196" s="17"/>
      <c r="AP2196" s="28" t="str">
        <f t="shared" si="645"/>
        <v>202111</v>
      </c>
      <c r="AQ2196" s="28" t="str">
        <f t="shared" si="646"/>
        <v>202111JPY</v>
      </c>
      <c r="AR2196" s="206" t="str">
        <f t="shared" si="647"/>
        <v>YAMAHA_Mounter</v>
      </c>
      <c r="AS2196" s="22">
        <f t="shared" si="648"/>
        <v>7</v>
      </c>
      <c r="AT2196" s="24" t="str">
        <f t="shared" si="649"/>
        <v>&gt; 6 months</v>
      </c>
    </row>
    <row r="2197" spans="1:46" s="12" customFormat="1">
      <c r="A2197" s="33" t="str">
        <f t="shared" si="637"/>
        <v>FY 21/22</v>
      </c>
      <c r="B2197" s="152">
        <v>2021</v>
      </c>
      <c r="C2197" s="152">
        <v>4</v>
      </c>
      <c r="D2197" s="33" t="str">
        <f t="shared" si="638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39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0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5"/>
        <v>1</v>
      </c>
      <c r="Z2197" s="18">
        <f t="shared" si="652"/>
        <v>18600000</v>
      </c>
      <c r="AA2197" s="13">
        <v>7.0000000000000007E-2</v>
      </c>
      <c r="AB2197" s="21">
        <f t="shared" si="641"/>
        <v>1302000.0000000002</v>
      </c>
      <c r="AC2197" s="130">
        <f t="shared" si="642"/>
        <v>161708.40000000002</v>
      </c>
      <c r="AD2197" s="169">
        <v>0.1242</v>
      </c>
      <c r="AE2197" s="154">
        <f t="shared" si="643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53"/>
        <v>29500529.005044252</v>
      </c>
      <c r="AJ2197" s="19">
        <f t="shared" si="654"/>
        <v>3253064.846231177</v>
      </c>
      <c r="AK2197" s="20">
        <f t="shared" si="644"/>
        <v>0.11027140718984871</v>
      </c>
      <c r="AL2197" s="17"/>
      <c r="AM2197" s="17"/>
      <c r="AN2197" s="17"/>
      <c r="AO2197" s="17"/>
      <c r="AP2197" s="28" t="str">
        <f t="shared" si="645"/>
        <v>202111</v>
      </c>
      <c r="AQ2197" s="28" t="str">
        <f t="shared" si="646"/>
        <v>202111JPY</v>
      </c>
      <c r="AR2197" s="206" t="str">
        <f t="shared" si="647"/>
        <v>YAMAHA_Mounter</v>
      </c>
      <c r="AS2197" s="22">
        <f t="shared" si="648"/>
        <v>7</v>
      </c>
      <c r="AT2197" s="24" t="str">
        <f t="shared" si="649"/>
        <v>&gt; 6 months</v>
      </c>
    </row>
    <row r="2198" spans="1:46" s="12" customFormat="1">
      <c r="A2198" s="33" t="str">
        <f t="shared" si="637"/>
        <v>FY 21/22</v>
      </c>
      <c r="B2198" s="152">
        <v>2021</v>
      </c>
      <c r="C2198" s="152">
        <v>4</v>
      </c>
      <c r="D2198" s="33" t="str">
        <f t="shared" si="638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39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0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5"/>
        <v>1</v>
      </c>
      <c r="Z2198" s="18">
        <f t="shared" si="652"/>
        <v>18600000</v>
      </c>
      <c r="AA2198" s="13">
        <v>7.0000000000000007E-2</v>
      </c>
      <c r="AB2198" s="21">
        <f t="shared" si="641"/>
        <v>1302000.0000000002</v>
      </c>
      <c r="AC2198" s="130">
        <f t="shared" si="642"/>
        <v>161708.40000000002</v>
      </c>
      <c r="AD2198" s="169">
        <v>0.1242</v>
      </c>
      <c r="AE2198" s="154">
        <f t="shared" si="643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53"/>
        <v>29500529.005044252</v>
      </c>
      <c r="AJ2198" s="19">
        <f t="shared" si="654"/>
        <v>3253064.846231177</v>
      </c>
      <c r="AK2198" s="20">
        <f t="shared" si="644"/>
        <v>0.11027140718984871</v>
      </c>
      <c r="AL2198" s="17"/>
      <c r="AM2198" s="17"/>
      <c r="AN2198" s="17"/>
      <c r="AO2198" s="17"/>
      <c r="AP2198" s="28" t="str">
        <f t="shared" si="645"/>
        <v>202111</v>
      </c>
      <c r="AQ2198" s="28" t="str">
        <f t="shared" si="646"/>
        <v>202111JPY</v>
      </c>
      <c r="AR2198" s="206" t="str">
        <f t="shared" si="647"/>
        <v>YAMAHA_Mounter</v>
      </c>
      <c r="AS2198" s="22">
        <f t="shared" si="648"/>
        <v>7</v>
      </c>
      <c r="AT2198" s="24" t="str">
        <f t="shared" si="649"/>
        <v>&gt; 6 months</v>
      </c>
    </row>
    <row r="2199" spans="1:46" s="12" customFormat="1">
      <c r="A2199" s="33" t="str">
        <f t="shared" si="637"/>
        <v>FY 22/23</v>
      </c>
      <c r="B2199" s="152">
        <v>2022</v>
      </c>
      <c r="C2199" s="152">
        <v>12</v>
      </c>
      <c r="D2199" s="33" t="str">
        <f t="shared" si="638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39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0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5"/>
        <v>1</v>
      </c>
      <c r="Z2199" s="18">
        <f t="shared" si="652"/>
        <v>21000000</v>
      </c>
      <c r="AA2199" s="13">
        <v>5.8799999999999998E-2</v>
      </c>
      <c r="AB2199" s="21">
        <f t="shared" si="641"/>
        <v>1234800</v>
      </c>
      <c r="AC2199" s="130">
        <f t="shared" si="642"/>
        <v>215102.16</v>
      </c>
      <c r="AD2199" s="169">
        <v>0.17419999999999999</v>
      </c>
      <c r="AE2199" s="154">
        <f t="shared" si="643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53"/>
        <v>33543315.897345133</v>
      </c>
      <c r="AJ2199" s="19">
        <f t="shared" si="654"/>
        <v>4706169.3252984071</v>
      </c>
      <c r="AK2199" s="20">
        <f t="shared" si="644"/>
        <v>0.14030125523967318</v>
      </c>
      <c r="AL2199" s="17"/>
      <c r="AM2199" s="17"/>
      <c r="AN2199" s="17"/>
      <c r="AO2199" s="17"/>
      <c r="AP2199" s="28" t="str">
        <f t="shared" si="645"/>
        <v>20233</v>
      </c>
      <c r="AQ2199" s="28" t="str">
        <f t="shared" si="646"/>
        <v>20233JPY</v>
      </c>
      <c r="AR2199" s="206" t="str">
        <f t="shared" si="647"/>
        <v>YAMAHA_Mounter</v>
      </c>
      <c r="AS2199" s="22">
        <f t="shared" si="648"/>
        <v>3</v>
      </c>
      <c r="AT2199" s="24" t="str">
        <f t="shared" si="649"/>
        <v>0-3 months</v>
      </c>
    </row>
    <row r="2200" spans="1:46" s="12" customFormat="1">
      <c r="A2200" s="33" t="str">
        <f t="shared" si="637"/>
        <v>FY 22/23</v>
      </c>
      <c r="B2200" s="152">
        <v>2022</v>
      </c>
      <c r="C2200" s="152">
        <v>12</v>
      </c>
      <c r="D2200" s="33" t="str">
        <f t="shared" si="638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39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0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5"/>
        <v>1</v>
      </c>
      <c r="Z2200" s="18">
        <f t="shared" si="652"/>
        <v>21000000</v>
      </c>
      <c r="AA2200" s="13">
        <v>5.8799999999999998E-2</v>
      </c>
      <c r="AB2200" s="21">
        <f t="shared" si="641"/>
        <v>1234800</v>
      </c>
      <c r="AC2200" s="130">
        <f t="shared" si="642"/>
        <v>215102.16</v>
      </c>
      <c r="AD2200" s="169">
        <v>0.17419999999999999</v>
      </c>
      <c r="AE2200" s="154">
        <f t="shared" si="643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53"/>
        <v>33543315.897345133</v>
      </c>
      <c r="AJ2200" s="19">
        <f t="shared" si="654"/>
        <v>4706169.3252984071</v>
      </c>
      <c r="AK2200" s="20">
        <f t="shared" si="644"/>
        <v>0.14030125523967318</v>
      </c>
      <c r="AL2200" s="17"/>
      <c r="AM2200" s="17"/>
      <c r="AN2200" s="17"/>
      <c r="AO2200" s="17"/>
      <c r="AP2200" s="28" t="str">
        <f t="shared" si="645"/>
        <v>20233</v>
      </c>
      <c r="AQ2200" s="28" t="str">
        <f t="shared" si="646"/>
        <v>20233JPY</v>
      </c>
      <c r="AR2200" s="206" t="str">
        <f t="shared" si="647"/>
        <v>YAMAHA_Mounter</v>
      </c>
      <c r="AS2200" s="22">
        <f t="shared" si="648"/>
        <v>3</v>
      </c>
      <c r="AT2200" s="24" t="str">
        <f t="shared" si="649"/>
        <v>0-3 months</v>
      </c>
    </row>
    <row r="2201" spans="1:46" s="12" customFormat="1">
      <c r="A2201" s="33" t="str">
        <f t="shared" si="637"/>
        <v>FY 22/23</v>
      </c>
      <c r="B2201" s="152">
        <v>2022</v>
      </c>
      <c r="C2201" s="152">
        <v>12</v>
      </c>
      <c r="D2201" s="33" t="str">
        <f t="shared" si="638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39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0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5"/>
        <v>1</v>
      </c>
      <c r="Z2201" s="18">
        <f t="shared" si="652"/>
        <v>21000000</v>
      </c>
      <c r="AA2201" s="13">
        <v>5.8799999999999998E-2</v>
      </c>
      <c r="AB2201" s="21">
        <f t="shared" si="641"/>
        <v>1234800</v>
      </c>
      <c r="AC2201" s="130">
        <f t="shared" si="642"/>
        <v>215102.16</v>
      </c>
      <c r="AD2201" s="169">
        <v>0.17419999999999999</v>
      </c>
      <c r="AE2201" s="154">
        <f t="shared" si="643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53"/>
        <v>33543315.897345133</v>
      </c>
      <c r="AJ2201" s="19">
        <f t="shared" si="654"/>
        <v>4706169.3252984071</v>
      </c>
      <c r="AK2201" s="20">
        <f t="shared" si="644"/>
        <v>0.14030125523967318</v>
      </c>
      <c r="AL2201" s="17"/>
      <c r="AM2201" s="17"/>
      <c r="AN2201" s="17"/>
      <c r="AO2201" s="17"/>
      <c r="AP2201" s="28" t="str">
        <f t="shared" si="645"/>
        <v>20233</v>
      </c>
      <c r="AQ2201" s="28" t="str">
        <f t="shared" si="646"/>
        <v>20233JPY</v>
      </c>
      <c r="AR2201" s="206" t="str">
        <f t="shared" si="647"/>
        <v>YAMAHA_Mounter</v>
      </c>
      <c r="AS2201" s="22">
        <f t="shared" si="648"/>
        <v>3</v>
      </c>
      <c r="AT2201" s="24" t="str">
        <f t="shared" si="649"/>
        <v>0-3 months</v>
      </c>
    </row>
    <row r="2202" spans="1:46" s="12" customFormat="1">
      <c r="A2202" s="33" t="str">
        <f t="shared" si="637"/>
        <v>FY 21/22</v>
      </c>
      <c r="B2202" s="152">
        <v>2022</v>
      </c>
      <c r="C2202" s="152">
        <v>1</v>
      </c>
      <c r="D2202" s="33" t="str">
        <f t="shared" si="638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39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0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5"/>
        <v>1</v>
      </c>
      <c r="Z2202" s="18">
        <f t="shared" si="652"/>
        <v>18000000</v>
      </c>
      <c r="AA2202" s="13">
        <v>6.2799999999999995E-2</v>
      </c>
      <c r="AB2202" s="21">
        <f t="shared" si="641"/>
        <v>1130400</v>
      </c>
      <c r="AC2202" s="130">
        <f t="shared" si="642"/>
        <v>158934.24</v>
      </c>
      <c r="AD2202" s="169">
        <v>0.1406</v>
      </c>
      <c r="AE2202" s="154">
        <f t="shared" si="643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53"/>
        <v>44014086.982070789</v>
      </c>
      <c r="AJ2202" s="19">
        <f t="shared" si="654"/>
        <v>6419974.0221889298</v>
      </c>
      <c r="AK2202" s="20">
        <f t="shared" si="644"/>
        <v>0.14586180158193709</v>
      </c>
      <c r="AL2202" s="17"/>
      <c r="AM2202" s="17"/>
      <c r="AN2202" s="17"/>
      <c r="AO2202" s="17"/>
      <c r="AP2202" s="28" t="str">
        <f t="shared" si="645"/>
        <v>20225</v>
      </c>
      <c r="AQ2202" s="28" t="str">
        <f t="shared" si="646"/>
        <v>20225JPY</v>
      </c>
      <c r="AR2202" s="206" t="str">
        <f t="shared" si="647"/>
        <v>YAMAHA_Mounter</v>
      </c>
      <c r="AS2202" s="22">
        <f t="shared" si="648"/>
        <v>4</v>
      </c>
      <c r="AT2202" s="24" t="str">
        <f t="shared" si="649"/>
        <v>4-6 months</v>
      </c>
    </row>
    <row r="2203" spans="1:46" s="12" customFormat="1">
      <c r="A2203" s="33" t="str">
        <f t="shared" si="637"/>
        <v>FY 21/22</v>
      </c>
      <c r="B2203" s="152">
        <v>2022</v>
      </c>
      <c r="C2203" s="152">
        <v>1</v>
      </c>
      <c r="D2203" s="33" t="str">
        <f t="shared" si="638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39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0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5"/>
        <v>1</v>
      </c>
      <c r="Z2203" s="18">
        <f t="shared" si="652"/>
        <v>18000000</v>
      </c>
      <c r="AA2203" s="13">
        <v>6.2799999999999995E-2</v>
      </c>
      <c r="AB2203" s="21">
        <f t="shared" si="641"/>
        <v>1130400</v>
      </c>
      <c r="AC2203" s="130">
        <f t="shared" si="642"/>
        <v>158934.24</v>
      </c>
      <c r="AD2203" s="169">
        <v>0.1406</v>
      </c>
      <c r="AE2203" s="154">
        <f t="shared" si="643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53"/>
        <v>44014086.982070789</v>
      </c>
      <c r="AJ2203" s="19">
        <f t="shared" si="654"/>
        <v>6419974.0221889298</v>
      </c>
      <c r="AK2203" s="20">
        <f t="shared" si="644"/>
        <v>0.14586180158193709</v>
      </c>
      <c r="AL2203" s="17"/>
      <c r="AM2203" s="17"/>
      <c r="AN2203" s="17"/>
      <c r="AO2203" s="17"/>
      <c r="AP2203" s="28" t="str">
        <f t="shared" si="645"/>
        <v>20225</v>
      </c>
      <c r="AQ2203" s="28" t="str">
        <f t="shared" si="646"/>
        <v>20225JPY</v>
      </c>
      <c r="AR2203" s="206" t="str">
        <f t="shared" si="647"/>
        <v>YAMAHA_Mounter</v>
      </c>
      <c r="AS2203" s="22">
        <f t="shared" si="648"/>
        <v>4</v>
      </c>
      <c r="AT2203" s="24" t="str">
        <f t="shared" si="649"/>
        <v>4-6 months</v>
      </c>
    </row>
    <row r="2204" spans="1:46" s="12" customFormat="1">
      <c r="A2204" s="33" t="str">
        <f t="shared" si="637"/>
        <v>FY 21/22</v>
      </c>
      <c r="B2204" s="152">
        <v>2022</v>
      </c>
      <c r="C2204" s="152">
        <v>1</v>
      </c>
      <c r="D2204" s="33" t="str">
        <f t="shared" si="638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39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0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5"/>
        <v>1</v>
      </c>
      <c r="Z2204" s="18">
        <f t="shared" si="652"/>
        <v>11500000</v>
      </c>
      <c r="AA2204" s="13">
        <v>6.2799999999999995E-2</v>
      </c>
      <c r="AB2204" s="21">
        <f t="shared" si="641"/>
        <v>722199.99999999988</v>
      </c>
      <c r="AC2204" s="130">
        <f t="shared" si="642"/>
        <v>101541.31999999999</v>
      </c>
      <c r="AD2204" s="169">
        <v>0.1406</v>
      </c>
      <c r="AE2204" s="154">
        <f t="shared" si="643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53"/>
        <v>44014086.982070789</v>
      </c>
      <c r="AJ2204" s="19">
        <f t="shared" si="654"/>
        <v>6419974.0221889298</v>
      </c>
      <c r="AK2204" s="20">
        <f t="shared" si="644"/>
        <v>0.14586180158193709</v>
      </c>
      <c r="AL2204" s="17"/>
      <c r="AM2204" s="17"/>
      <c r="AN2204" s="17"/>
      <c r="AO2204" s="17"/>
      <c r="AP2204" s="28" t="str">
        <f t="shared" si="645"/>
        <v>20225</v>
      </c>
      <c r="AQ2204" s="28" t="str">
        <f t="shared" si="646"/>
        <v>20225JPY</v>
      </c>
      <c r="AR2204" s="206" t="str">
        <f t="shared" si="647"/>
        <v>YAMAHA_Mounter</v>
      </c>
      <c r="AS2204" s="22">
        <f t="shared" si="648"/>
        <v>4</v>
      </c>
      <c r="AT2204" s="24" t="str">
        <f t="shared" si="649"/>
        <v>4-6 months</v>
      </c>
    </row>
    <row r="2205" spans="1:46" s="12" customFormat="1">
      <c r="A2205" s="33" t="str">
        <f t="shared" si="637"/>
        <v>FY 21/22</v>
      </c>
      <c r="B2205" s="152">
        <v>2022</v>
      </c>
      <c r="C2205" s="152">
        <v>1</v>
      </c>
      <c r="D2205" s="33" t="str">
        <f t="shared" si="638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39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0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5"/>
        <v>1</v>
      </c>
      <c r="Z2205" s="18">
        <f t="shared" si="652"/>
        <v>11500000</v>
      </c>
      <c r="AA2205" s="13">
        <v>6.2799999999999995E-2</v>
      </c>
      <c r="AB2205" s="21">
        <f t="shared" si="641"/>
        <v>722199.99999999988</v>
      </c>
      <c r="AC2205" s="130">
        <f t="shared" si="642"/>
        <v>101541.31999999999</v>
      </c>
      <c r="AD2205" s="169">
        <v>0.1406</v>
      </c>
      <c r="AE2205" s="154">
        <f t="shared" si="643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53"/>
        <v>44014086.982070789</v>
      </c>
      <c r="AJ2205" s="19">
        <f t="shared" si="654"/>
        <v>6419974.0221889298</v>
      </c>
      <c r="AK2205" s="20">
        <f t="shared" si="644"/>
        <v>0.14586180158193709</v>
      </c>
      <c r="AL2205" s="17"/>
      <c r="AM2205" s="17"/>
      <c r="AN2205" s="17"/>
      <c r="AO2205" s="17"/>
      <c r="AP2205" s="28" t="str">
        <f t="shared" si="645"/>
        <v>20225</v>
      </c>
      <c r="AQ2205" s="28" t="str">
        <f t="shared" si="646"/>
        <v>20225JPY</v>
      </c>
      <c r="AR2205" s="206" t="str">
        <f t="shared" si="647"/>
        <v>YAMAHA_Mounter</v>
      </c>
      <c r="AS2205" s="22">
        <f t="shared" si="648"/>
        <v>4</v>
      </c>
      <c r="AT2205" s="24" t="str">
        <f t="shared" si="649"/>
        <v>4-6 months</v>
      </c>
    </row>
    <row r="2206" spans="1:46" s="12" customFormat="1">
      <c r="A2206" s="33" t="str">
        <f t="shared" si="637"/>
        <v>FY 21/22</v>
      </c>
      <c r="B2206" s="152">
        <v>2022</v>
      </c>
      <c r="C2206" s="152">
        <v>1</v>
      </c>
      <c r="D2206" s="33" t="str">
        <f t="shared" si="638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39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0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5"/>
        <v>1</v>
      </c>
      <c r="Z2206" s="18">
        <f t="shared" si="652"/>
        <v>11500000</v>
      </c>
      <c r="AA2206" s="13">
        <v>6.2799999999999995E-2</v>
      </c>
      <c r="AB2206" s="21">
        <f t="shared" si="641"/>
        <v>722199.99999999988</v>
      </c>
      <c r="AC2206" s="130">
        <f t="shared" si="642"/>
        <v>101541.31999999999</v>
      </c>
      <c r="AD2206" s="169">
        <v>0.1406</v>
      </c>
      <c r="AE2206" s="154">
        <f t="shared" si="643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53"/>
        <v>44014086.982070789</v>
      </c>
      <c r="AJ2206" s="19">
        <f t="shared" si="654"/>
        <v>6419974.0221889298</v>
      </c>
      <c r="AK2206" s="20">
        <f t="shared" si="644"/>
        <v>0.14586180158193709</v>
      </c>
      <c r="AL2206" s="17"/>
      <c r="AM2206" s="17"/>
      <c r="AN2206" s="17"/>
      <c r="AO2206" s="17"/>
      <c r="AP2206" s="28" t="str">
        <f t="shared" si="645"/>
        <v>20225</v>
      </c>
      <c r="AQ2206" s="28" t="str">
        <f t="shared" si="646"/>
        <v>20225JPY</v>
      </c>
      <c r="AR2206" s="206" t="str">
        <f t="shared" si="647"/>
        <v>YAMAHA_Mounter</v>
      </c>
      <c r="AS2206" s="22">
        <f t="shared" si="648"/>
        <v>4</v>
      </c>
      <c r="AT2206" s="24" t="str">
        <f t="shared" si="649"/>
        <v>4-6 months</v>
      </c>
    </row>
    <row r="2207" spans="1:46" s="12" customFormat="1">
      <c r="A2207" s="33" t="str">
        <f t="shared" si="637"/>
        <v>FY 21/22</v>
      </c>
      <c r="B2207" s="152">
        <v>2022</v>
      </c>
      <c r="C2207" s="152">
        <v>1</v>
      </c>
      <c r="D2207" s="33" t="str">
        <f t="shared" si="638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39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0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5"/>
        <v>1</v>
      </c>
      <c r="Z2207" s="18">
        <f t="shared" si="652"/>
        <v>11500000</v>
      </c>
      <c r="AA2207" s="13">
        <v>6.2799999999999995E-2</v>
      </c>
      <c r="AB2207" s="21">
        <f t="shared" si="641"/>
        <v>722199.99999999988</v>
      </c>
      <c r="AC2207" s="130">
        <f t="shared" si="642"/>
        <v>101541.31999999999</v>
      </c>
      <c r="AD2207" s="169">
        <v>0.1406</v>
      </c>
      <c r="AE2207" s="154">
        <f t="shared" si="643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53"/>
        <v>44014086.982070789</v>
      </c>
      <c r="AJ2207" s="19">
        <f t="shared" si="654"/>
        <v>6419974.0221889298</v>
      </c>
      <c r="AK2207" s="20">
        <f t="shared" si="644"/>
        <v>0.14586180158193709</v>
      </c>
      <c r="AL2207" s="17"/>
      <c r="AM2207" s="17"/>
      <c r="AN2207" s="17"/>
      <c r="AO2207" s="17"/>
      <c r="AP2207" s="28" t="str">
        <f t="shared" si="645"/>
        <v>20225</v>
      </c>
      <c r="AQ2207" s="28" t="str">
        <f t="shared" si="646"/>
        <v>20225JPY</v>
      </c>
      <c r="AR2207" s="206" t="str">
        <f t="shared" si="647"/>
        <v>YAMAHA_Mounter</v>
      </c>
      <c r="AS2207" s="22">
        <f t="shared" si="648"/>
        <v>4</v>
      </c>
      <c r="AT2207" s="24" t="str">
        <f t="shared" si="649"/>
        <v>4-6 months</v>
      </c>
    </row>
    <row r="2208" spans="1:46" s="12" customFormat="1">
      <c r="A2208" s="33" t="str">
        <f t="shared" ref="A2208:A2271" si="656">IF(C2208="cancel","cancel",IFERROR(IF(D2208="Q4","FY "&amp;RIGHT(B2208,2)-1&amp;"/"&amp;RIGHT(B2208,2),"FY "&amp;RIGHT(B2208,2)&amp;"/"&amp;RIGHT(B2208,2)+1),""))</f>
        <v>FY 22/23</v>
      </c>
      <c r="B2208" s="152">
        <v>2022</v>
      </c>
      <c r="C2208" s="152">
        <v>12</v>
      </c>
      <c r="D2208" s="33" t="str">
        <f t="shared" ref="D2208:D2271" si="657">IF(B2208="","",IF(AND(C2208&gt;=10,C2208&lt;=12),"Q3",IF(AND(C2208&gt;=1,C2208&lt;=3),"Q4",IF(AND(C2208&gt;=7,C2208&lt;=9),"Q2",IF(AND(C2208&gt;=4,C2208&lt;=6),"Q1")))))</f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ref="I2208:I2271" si="658">IFERROR(IF(F2208="","",IF(F2208="TBA","TBA",IF(F2208="Cancel","Cancel",IF(AND(G2208&gt;=10,G2208&lt;=12),"Q3",IF(AND(G2208&gt;=1,G2208&lt;=3),"Q4",IF(AND(G2208&gt;=7,G2208&lt;=9),"Q2",IF(AND(G2208&gt;=4,G2208&lt;=6),"Q1"))))))),"")</f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ref="P2208:P2271" si="659">IF(M2208="","",IF(AND(N2208&gt;0,L2208&lt;&gt;""),"MAIN UNIT",IF(AND(O2208&gt;0,L2208&lt;&gt;""),"SERVICE/ PARTS","C66 SERVICE/OTHERS")))</f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5"/>
        <v>1.13</v>
      </c>
      <c r="Z2208" s="18">
        <f t="shared" si="652"/>
        <v>990000</v>
      </c>
      <c r="AA2208" s="13">
        <v>1.0900000000000001</v>
      </c>
      <c r="AB2208" s="21">
        <f t="shared" ref="AB2208:AB2271" si="660">IF(AND(R2208&lt;&gt;"C66",R2208&lt;&gt;""),Z2208/Y2208*AA2208,"")</f>
        <v>954955.75221238961</v>
      </c>
      <c r="AC2208" s="130">
        <f t="shared" ref="AC2208:AC2271" si="661">IF(R2208&lt;&gt;"",AB2208*AD2208,"")</f>
        <v>140569.48672566374</v>
      </c>
      <c r="AD2208" s="169">
        <v>0.1472</v>
      </c>
      <c r="AE2208" s="154">
        <f t="shared" ref="AE2208:AE2271" si="662">IF(Q2208="","",IF(Q2208="Yes",1,0))</f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53"/>
        <v>17329060.066371687</v>
      </c>
      <c r="AJ2208" s="19">
        <f t="shared" si="654"/>
        <v>2472600.2142256643</v>
      </c>
      <c r="AK2208" s="20">
        <f t="shared" ref="AK2208:AK2271" si="663">IF(AJ2208&gt;0,AJ2208/AI2208,"")</f>
        <v>0.14268518919984163</v>
      </c>
      <c r="AL2208" s="17"/>
      <c r="AM2208" s="17"/>
      <c r="AN2208" s="17"/>
      <c r="AO2208" s="17"/>
      <c r="AP2208" s="28" t="str">
        <f t="shared" ref="AP2208:AP2271" si="664">IF(F2208="","",F2208&amp;G2208)</f>
        <v>202212</v>
      </c>
      <c r="AQ2208" s="28" t="str">
        <f t="shared" ref="AQ2208:AQ2271" si="665">IF(W2208="","",F2208&amp;G2208&amp;W2208)</f>
        <v>202212RMB</v>
      </c>
      <c r="AR2208" s="206" t="str">
        <f t="shared" ref="AR2208:AR2271" si="666">IFERROR(IF(AND(M2208="YAMAHA", R2208="C28"), "YAMAHA_Non_Mounter", IF(AND(M2208="YAMAHA", R2208="C49"), "YAMAHA_Mounter", M2208)),"")</f>
        <v>YAMAHA_Mounter</v>
      </c>
      <c r="AS2208" s="22">
        <f t="shared" ref="AS2208:AS2271" si="667">IFERROR(IF(OR(G2208="TBA", G2208=""), "", DATEDIF(DATE(B2208, C2208, 1), DATE(F2208, G2208, 1), "M")),"")</f>
        <v>0</v>
      </c>
      <c r="AT2208" s="24" t="str">
        <f t="shared" ref="AT2208:AT2271" si="668">IF(ISNUMBER(AS2208), IF(AS2208&gt;=0, IF(AS2208&lt;=3, "0-3 months", IF(AS2208&lt;=6, "4-6 months", "&gt; 6 months"))), "")</f>
        <v>0-3 months</v>
      </c>
    </row>
    <row r="2209" spans="1:46" s="12" customFormat="1">
      <c r="A2209" s="33" t="str">
        <f t="shared" si="656"/>
        <v>FY 22/23</v>
      </c>
      <c r="B2209" s="152">
        <v>2022</v>
      </c>
      <c r="C2209" s="152">
        <v>12</v>
      </c>
      <c r="D2209" s="33" t="str">
        <f t="shared" si="657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58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59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5"/>
        <v>1.13</v>
      </c>
      <c r="Z2209" s="18">
        <f t="shared" si="652"/>
        <v>990000</v>
      </c>
      <c r="AA2209" s="13">
        <v>1.0900000000000001</v>
      </c>
      <c r="AB2209" s="21">
        <f t="shared" si="660"/>
        <v>954955.75221238961</v>
      </c>
      <c r="AC2209" s="130">
        <f t="shared" si="661"/>
        <v>140569.48672566374</v>
      </c>
      <c r="AD2209" s="169">
        <v>0.1472</v>
      </c>
      <c r="AE2209" s="154">
        <f t="shared" si="662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53"/>
        <v>17329060.066371687</v>
      </c>
      <c r="AJ2209" s="19">
        <f t="shared" si="654"/>
        <v>2472600.2142256643</v>
      </c>
      <c r="AK2209" s="20">
        <f t="shared" si="663"/>
        <v>0.14268518919984163</v>
      </c>
      <c r="AL2209" s="17"/>
      <c r="AM2209" s="17"/>
      <c r="AN2209" s="17"/>
      <c r="AO2209" s="17"/>
      <c r="AP2209" s="28" t="str">
        <f t="shared" si="664"/>
        <v>202212</v>
      </c>
      <c r="AQ2209" s="28" t="str">
        <f t="shared" si="665"/>
        <v>202212RMB</v>
      </c>
      <c r="AR2209" s="206" t="str">
        <f t="shared" si="666"/>
        <v>YAMAHA_Mounter</v>
      </c>
      <c r="AS2209" s="22">
        <f t="shared" si="667"/>
        <v>0</v>
      </c>
      <c r="AT2209" s="24" t="str">
        <f t="shared" si="668"/>
        <v>0-3 months</v>
      </c>
    </row>
    <row r="2210" spans="1:46" s="12" customFormat="1">
      <c r="A2210" s="33" t="str">
        <f t="shared" si="656"/>
        <v>FY 22/23</v>
      </c>
      <c r="B2210" s="152">
        <v>2022</v>
      </c>
      <c r="C2210" s="152">
        <v>12</v>
      </c>
      <c r="D2210" s="33" t="str">
        <f t="shared" si="657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58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59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5"/>
        <v>1.13</v>
      </c>
      <c r="Z2210" s="18">
        <f t="shared" si="652"/>
        <v>756000</v>
      </c>
      <c r="AA2210" s="13">
        <v>1.0900000000000001</v>
      </c>
      <c r="AB2210" s="21">
        <f t="shared" si="660"/>
        <v>729238.93805309746</v>
      </c>
      <c r="AC2210" s="130">
        <f t="shared" si="661"/>
        <v>107343.97168141595</v>
      </c>
      <c r="AD2210" s="169">
        <v>0.1472</v>
      </c>
      <c r="AE2210" s="154">
        <f t="shared" si="662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53"/>
        <v>17329060.066371687</v>
      </c>
      <c r="AJ2210" s="19">
        <f t="shared" si="654"/>
        <v>2472600.2142256643</v>
      </c>
      <c r="AK2210" s="20">
        <f t="shared" si="663"/>
        <v>0.14268518919984163</v>
      </c>
      <c r="AL2210" s="17"/>
      <c r="AM2210" s="17"/>
      <c r="AN2210" s="17"/>
      <c r="AO2210" s="17"/>
      <c r="AP2210" s="28" t="str">
        <f t="shared" si="664"/>
        <v>202212</v>
      </c>
      <c r="AQ2210" s="28" t="str">
        <f t="shared" si="665"/>
        <v>202212RMB</v>
      </c>
      <c r="AR2210" s="206" t="str">
        <f t="shared" si="666"/>
        <v>YAMAHA_Mounter</v>
      </c>
      <c r="AS2210" s="22">
        <f t="shared" si="667"/>
        <v>0</v>
      </c>
      <c r="AT2210" s="24" t="str">
        <f t="shared" si="668"/>
        <v>0-3 months</v>
      </c>
    </row>
    <row r="2211" spans="1:46" s="12" customFormat="1">
      <c r="A2211" s="33" t="str">
        <f t="shared" si="656"/>
        <v>FY 22/23</v>
      </c>
      <c r="B2211" s="152">
        <v>2022</v>
      </c>
      <c r="C2211" s="152">
        <v>12</v>
      </c>
      <c r="D2211" s="33" t="str">
        <f t="shared" si="657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58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59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5"/>
        <v>1.13</v>
      </c>
      <c r="Z2211" s="18">
        <f t="shared" si="652"/>
        <v>756000</v>
      </c>
      <c r="AA2211" s="13">
        <v>1.0900000000000001</v>
      </c>
      <c r="AB2211" s="21">
        <f t="shared" si="660"/>
        <v>729238.93805309746</v>
      </c>
      <c r="AC2211" s="130">
        <f t="shared" si="661"/>
        <v>107343.97168141595</v>
      </c>
      <c r="AD2211" s="169">
        <v>0.1472</v>
      </c>
      <c r="AE2211" s="154">
        <f t="shared" si="662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53"/>
        <v>17329060.066371687</v>
      </c>
      <c r="AJ2211" s="19">
        <f t="shared" si="654"/>
        <v>2472600.2142256643</v>
      </c>
      <c r="AK2211" s="20">
        <f t="shared" si="663"/>
        <v>0.14268518919984163</v>
      </c>
      <c r="AL2211" s="17"/>
      <c r="AM2211" s="17"/>
      <c r="AN2211" s="17"/>
      <c r="AO2211" s="17"/>
      <c r="AP2211" s="28" t="str">
        <f t="shared" si="664"/>
        <v>202212</v>
      </c>
      <c r="AQ2211" s="28" t="str">
        <f t="shared" si="665"/>
        <v>202212RMB</v>
      </c>
      <c r="AR2211" s="206" t="str">
        <f t="shared" si="666"/>
        <v>YAMAHA_Mounter</v>
      </c>
      <c r="AS2211" s="22">
        <f t="shared" si="667"/>
        <v>0</v>
      </c>
      <c r="AT2211" s="24" t="str">
        <f t="shared" si="668"/>
        <v>0-3 months</v>
      </c>
    </row>
    <row r="2212" spans="1:46" s="12" customFormat="1">
      <c r="A2212" s="33" t="str">
        <f t="shared" si="656"/>
        <v>FY 22/23</v>
      </c>
      <c r="B2212" s="152">
        <v>2023</v>
      </c>
      <c r="C2212" s="152">
        <v>2</v>
      </c>
      <c r="D2212" s="33" t="str">
        <f t="shared" si="657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58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59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5"/>
        <v>1.13</v>
      </c>
      <c r="Z2212" s="18">
        <f t="shared" si="652"/>
        <v>850000</v>
      </c>
      <c r="AA2212" s="13">
        <v>1.1599999999999999</v>
      </c>
      <c r="AB2212" s="21">
        <f t="shared" si="660"/>
        <v>872566.37168141594</v>
      </c>
      <c r="AC2212" s="130">
        <f t="shared" si="661"/>
        <v>194320.53097345133</v>
      </c>
      <c r="AD2212" s="169">
        <v>0.22270000000000001</v>
      </c>
      <c r="AE2212" s="154">
        <f t="shared" si="662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53"/>
        <v>21045012.884955753</v>
      </c>
      <c r="AJ2212" s="19">
        <f t="shared" si="654"/>
        <v>2650260.9603327443</v>
      </c>
      <c r="AK2212" s="20">
        <f t="shared" si="663"/>
        <v>0.12593296924172048</v>
      </c>
      <c r="AL2212" s="17"/>
      <c r="AM2212" s="17"/>
      <c r="AN2212" s="17"/>
      <c r="AO2212" s="17"/>
      <c r="AP2212" s="28" t="str">
        <f t="shared" si="664"/>
        <v>20232</v>
      </c>
      <c r="AQ2212" s="28" t="str">
        <f t="shared" si="665"/>
        <v>20232RMB</v>
      </c>
      <c r="AR2212" s="206" t="str">
        <f t="shared" si="666"/>
        <v>YAMAHA_Mounter</v>
      </c>
      <c r="AS2212" s="22">
        <f t="shared" si="667"/>
        <v>0</v>
      </c>
      <c r="AT2212" s="24" t="str">
        <f t="shared" si="668"/>
        <v>0-3 months</v>
      </c>
    </row>
    <row r="2213" spans="1:46" s="12" customFormat="1">
      <c r="A2213" s="33" t="str">
        <f t="shared" si="656"/>
        <v>cancel</v>
      </c>
      <c r="B2213" s="152"/>
      <c r="C2213" s="152" t="s">
        <v>186</v>
      </c>
      <c r="D2213" s="33" t="str">
        <f t="shared" si="657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58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59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2"/>
        <v>7771400</v>
      </c>
      <c r="AA2213" s="13">
        <v>7.4899999999999994E-2</v>
      </c>
      <c r="AB2213" s="21">
        <f t="shared" si="660"/>
        <v>582077.86</v>
      </c>
      <c r="AC2213" s="130">
        <f t="shared" si="661"/>
        <v>69849.343200000003</v>
      </c>
      <c r="AD2213" s="169">
        <v>0.12</v>
      </c>
      <c r="AE2213" s="154">
        <f t="shared" si="662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53"/>
        <v>477651199.57437885</v>
      </c>
      <c r="AJ2213" s="19">
        <f t="shared" si="654"/>
        <v>56918800.518691957</v>
      </c>
      <c r="AK2213" s="20">
        <f t="shared" si="663"/>
        <v>0.11916394341605475</v>
      </c>
      <c r="AL2213" s="17"/>
      <c r="AM2213" s="17"/>
      <c r="AN2213" s="17"/>
      <c r="AO2213" s="17"/>
      <c r="AP2213" s="28" t="str">
        <f t="shared" si="664"/>
        <v>CancelCancel</v>
      </c>
      <c r="AQ2213" s="28" t="str">
        <f t="shared" si="665"/>
        <v>CancelCancelJPY</v>
      </c>
      <c r="AR2213" s="206" t="str">
        <f t="shared" si="666"/>
        <v>YAMAHA_Mounter</v>
      </c>
      <c r="AS2213" s="22" t="str">
        <f t="shared" si="667"/>
        <v/>
      </c>
      <c r="AT2213" s="24" t="str">
        <f t="shared" si="668"/>
        <v/>
      </c>
    </row>
    <row r="2214" spans="1:46" s="12" customFormat="1">
      <c r="A2214" s="33" t="str">
        <f t="shared" si="656"/>
        <v>cancel</v>
      </c>
      <c r="B2214" s="152"/>
      <c r="C2214" s="152" t="s">
        <v>186</v>
      </c>
      <c r="D2214" s="33" t="str">
        <f t="shared" si="657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58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59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2"/>
        <v>7771400</v>
      </c>
      <c r="AA2214" s="13">
        <v>7.6100000000000001E-2</v>
      </c>
      <c r="AB2214" s="21">
        <f t="shared" si="660"/>
        <v>591403.54</v>
      </c>
      <c r="AC2214" s="130">
        <f t="shared" si="661"/>
        <v>70968.424800000008</v>
      </c>
      <c r="AD2214" s="169">
        <v>0.12</v>
      </c>
      <c r="AE2214" s="154">
        <f t="shared" si="662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53"/>
        <v>477651199.57437885</v>
      </c>
      <c r="AJ2214" s="19">
        <f t="shared" si="654"/>
        <v>56918800.518691957</v>
      </c>
      <c r="AK2214" s="20">
        <f t="shared" si="663"/>
        <v>0.11916394341605475</v>
      </c>
      <c r="AL2214" s="17"/>
      <c r="AM2214" s="17"/>
      <c r="AN2214" s="17"/>
      <c r="AO2214" s="17" t="s">
        <v>2750</v>
      </c>
      <c r="AP2214" s="28" t="str">
        <f t="shared" si="664"/>
        <v>CancelCancel</v>
      </c>
      <c r="AQ2214" s="28" t="str">
        <f t="shared" si="665"/>
        <v>CancelCancelJPY</v>
      </c>
      <c r="AR2214" s="206" t="str">
        <f t="shared" si="666"/>
        <v>YAMAHA_Mounter</v>
      </c>
      <c r="AS2214" s="22" t="str">
        <f t="shared" si="667"/>
        <v/>
      </c>
      <c r="AT2214" s="24" t="str">
        <f t="shared" si="668"/>
        <v/>
      </c>
    </row>
    <row r="2215" spans="1:46" s="12" customFormat="1">
      <c r="A2215" s="33" t="str">
        <f t="shared" si="656"/>
        <v>cancel</v>
      </c>
      <c r="B2215" s="152"/>
      <c r="C2215" s="152" t="s">
        <v>186</v>
      </c>
      <c r="D2215" s="33" t="str">
        <f t="shared" si="657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58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59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2"/>
        <v>7771400</v>
      </c>
      <c r="AA2215" s="13">
        <v>7.6100000000000001E-2</v>
      </c>
      <c r="AB2215" s="21">
        <f t="shared" si="660"/>
        <v>591403.54</v>
      </c>
      <c r="AC2215" s="130">
        <f t="shared" si="661"/>
        <v>70968.424800000008</v>
      </c>
      <c r="AD2215" s="169">
        <v>0.12</v>
      </c>
      <c r="AE2215" s="154">
        <f t="shared" si="662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53"/>
        <v>477651199.57437885</v>
      </c>
      <c r="AJ2215" s="19">
        <f t="shared" si="654"/>
        <v>56918800.518691957</v>
      </c>
      <c r="AK2215" s="20">
        <f t="shared" si="663"/>
        <v>0.11916394341605475</v>
      </c>
      <c r="AL2215" s="17"/>
      <c r="AM2215" s="17"/>
      <c r="AN2215" s="17"/>
      <c r="AO2215" s="17" t="s">
        <v>2751</v>
      </c>
      <c r="AP2215" s="28" t="str">
        <f t="shared" si="664"/>
        <v>CancelCancel</v>
      </c>
      <c r="AQ2215" s="28" t="str">
        <f t="shared" si="665"/>
        <v>CancelCancelJPY</v>
      </c>
      <c r="AR2215" s="206" t="str">
        <f t="shared" si="666"/>
        <v>YAMAHA_Mounter</v>
      </c>
      <c r="AS2215" s="22" t="str">
        <f t="shared" si="667"/>
        <v/>
      </c>
      <c r="AT2215" s="24" t="str">
        <f t="shared" si="668"/>
        <v/>
      </c>
    </row>
    <row r="2216" spans="1:46" s="12" customFormat="1">
      <c r="A2216" s="33" t="str">
        <f t="shared" si="656"/>
        <v>FY 19/20</v>
      </c>
      <c r="B2216" s="152">
        <v>2019</v>
      </c>
      <c r="C2216" s="152">
        <v>10</v>
      </c>
      <c r="D2216" s="33" t="str">
        <f t="shared" si="657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58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59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2"/>
        <v>13760000</v>
      </c>
      <c r="AA2216" s="13">
        <v>7.3499999999999996E-2</v>
      </c>
      <c r="AB2216" s="21">
        <f t="shared" si="660"/>
        <v>1011360</v>
      </c>
      <c r="AC2216" s="130">
        <f t="shared" si="661"/>
        <v>135421.10399999999</v>
      </c>
      <c r="AD2216" s="169">
        <v>0.13389999999999999</v>
      </c>
      <c r="AE2216" s="154">
        <f t="shared" si="662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53"/>
        <v>26147030.909862842</v>
      </c>
      <c r="AJ2216" s="19">
        <f t="shared" si="654"/>
        <v>2743862.8630715334</v>
      </c>
      <c r="AK2216" s="20">
        <f t="shared" si="663"/>
        <v>0.10493974908778378</v>
      </c>
      <c r="AL2216" s="17"/>
      <c r="AM2216" s="17"/>
      <c r="AN2216" s="17"/>
      <c r="AO2216" s="17"/>
      <c r="AP2216" s="28" t="str">
        <f t="shared" si="664"/>
        <v>201911</v>
      </c>
      <c r="AQ2216" s="28" t="str">
        <f t="shared" si="665"/>
        <v>201911JPY</v>
      </c>
      <c r="AR2216" s="206" t="str">
        <f t="shared" si="666"/>
        <v>YAMAHA_Mounter</v>
      </c>
      <c r="AS2216" s="22">
        <f t="shared" si="667"/>
        <v>1</v>
      </c>
      <c r="AT2216" s="24" t="str">
        <f t="shared" si="668"/>
        <v>0-3 months</v>
      </c>
    </row>
    <row r="2217" spans="1:46" s="12" customFormat="1">
      <c r="A2217" s="33" t="str">
        <f t="shared" si="656"/>
        <v>FY 19/20</v>
      </c>
      <c r="B2217" s="152">
        <v>2019</v>
      </c>
      <c r="C2217" s="152">
        <v>10</v>
      </c>
      <c r="D2217" s="33" t="str">
        <f t="shared" si="657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58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59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2"/>
        <v>8000000</v>
      </c>
      <c r="AA2217" s="13">
        <v>7.3499999999999996E-2</v>
      </c>
      <c r="AB2217" s="21">
        <f t="shared" si="660"/>
        <v>588000</v>
      </c>
      <c r="AC2217" s="130">
        <f t="shared" si="661"/>
        <v>78733.2</v>
      </c>
      <c r="AD2217" s="169">
        <v>0.13389999999999999</v>
      </c>
      <c r="AE2217" s="154">
        <f t="shared" si="662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53"/>
        <v>26147030.909862842</v>
      </c>
      <c r="AJ2217" s="19">
        <f t="shared" si="654"/>
        <v>2743862.8630715334</v>
      </c>
      <c r="AK2217" s="20">
        <f t="shared" si="663"/>
        <v>0.10493974908778378</v>
      </c>
      <c r="AL2217" s="17"/>
      <c r="AM2217" s="17"/>
      <c r="AN2217" s="17"/>
      <c r="AO2217" s="17"/>
      <c r="AP2217" s="28" t="str">
        <f t="shared" si="664"/>
        <v>201911</v>
      </c>
      <c r="AQ2217" s="28" t="str">
        <f t="shared" si="665"/>
        <v>201911JPY</v>
      </c>
      <c r="AR2217" s="206" t="str">
        <f t="shared" si="666"/>
        <v>YAMAHA_Mounter</v>
      </c>
      <c r="AS2217" s="22">
        <f t="shared" si="667"/>
        <v>1</v>
      </c>
      <c r="AT2217" s="24" t="str">
        <f t="shared" si="668"/>
        <v>0-3 months</v>
      </c>
    </row>
    <row r="2218" spans="1:46" s="12" customFormat="1">
      <c r="A2218" s="33" t="str">
        <f t="shared" si="656"/>
        <v>FY 19/20</v>
      </c>
      <c r="B2218" s="152">
        <v>2019</v>
      </c>
      <c r="C2218" s="152">
        <v>8</v>
      </c>
      <c r="D2218" s="33" t="str">
        <f t="shared" si="657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58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59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2"/>
        <v>750000</v>
      </c>
      <c r="AA2218" s="13">
        <v>1.095</v>
      </c>
      <c r="AB2218" s="21">
        <f t="shared" si="660"/>
        <v>726769.91150442488</v>
      </c>
      <c r="AC2218" s="130">
        <f t="shared" si="661"/>
        <v>163305.19911504429</v>
      </c>
      <c r="AD2218" s="169">
        <v>0.22470000000000001</v>
      </c>
      <c r="AE2218" s="154">
        <f t="shared" si="662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53"/>
        <v>37599388.802345134</v>
      </c>
      <c r="AJ2218" s="19">
        <f t="shared" si="654"/>
        <v>4866784.3630338367</v>
      </c>
      <c r="AK2218" s="20">
        <f t="shared" si="663"/>
        <v>0.12943785838163113</v>
      </c>
      <c r="AL2218" s="17"/>
      <c r="AM2218" s="17"/>
      <c r="AN2218" s="17"/>
      <c r="AO2218" s="17"/>
      <c r="AP2218" s="28" t="str">
        <f t="shared" si="664"/>
        <v>20199</v>
      </c>
      <c r="AQ2218" s="28" t="str">
        <f t="shared" si="665"/>
        <v>20199RMB</v>
      </c>
      <c r="AR2218" s="206" t="str">
        <f t="shared" si="666"/>
        <v>YAMAHA_Mounter</v>
      </c>
      <c r="AS2218" s="22">
        <f t="shared" si="667"/>
        <v>1</v>
      </c>
      <c r="AT2218" s="24" t="str">
        <f t="shared" si="668"/>
        <v>0-3 months</v>
      </c>
    </row>
    <row r="2219" spans="1:46" s="12" customFormat="1">
      <c r="A2219" s="33" t="str">
        <f t="shared" si="656"/>
        <v>FY 20/21</v>
      </c>
      <c r="B2219" s="152">
        <v>2020</v>
      </c>
      <c r="C2219" s="152">
        <v>4</v>
      </c>
      <c r="D2219" s="33" t="str">
        <f t="shared" si="657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58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59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2"/>
        <v>12000000</v>
      </c>
      <c r="AA2219" s="13">
        <v>7.3599999999999999E-2</v>
      </c>
      <c r="AB2219" s="21">
        <f t="shared" si="660"/>
        <v>883200</v>
      </c>
      <c r="AC2219" s="130">
        <f t="shared" si="661"/>
        <v>100066.56</v>
      </c>
      <c r="AD2219" s="169">
        <v>0.1133</v>
      </c>
      <c r="AE2219" s="154">
        <f t="shared" si="662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53"/>
        <v>33477255.428389374</v>
      </c>
      <c r="AJ2219" s="19">
        <f t="shared" si="654"/>
        <v>4578663.362915583</v>
      </c>
      <c r="AK2219" s="20">
        <f t="shared" si="663"/>
        <v>0.13676937682988152</v>
      </c>
      <c r="AL2219" s="17"/>
      <c r="AM2219" s="17"/>
      <c r="AN2219" s="17"/>
      <c r="AO2219" s="17"/>
      <c r="AP2219" s="28" t="str">
        <f t="shared" si="664"/>
        <v>20204</v>
      </c>
      <c r="AQ2219" s="28" t="str">
        <f t="shared" si="665"/>
        <v>20204JPY</v>
      </c>
      <c r="AR2219" s="206" t="str">
        <f t="shared" si="666"/>
        <v>YAMAHA_Mounter</v>
      </c>
      <c r="AS2219" s="22">
        <f t="shared" si="667"/>
        <v>0</v>
      </c>
      <c r="AT2219" s="24" t="str">
        <f t="shared" si="668"/>
        <v>0-3 months</v>
      </c>
    </row>
    <row r="2220" spans="1:46" s="12" customFormat="1">
      <c r="A2220" s="33" t="str">
        <f t="shared" si="656"/>
        <v>FY 20/21</v>
      </c>
      <c r="B2220" s="152">
        <v>2021</v>
      </c>
      <c r="C2220" s="152">
        <v>3</v>
      </c>
      <c r="D2220" s="33" t="str">
        <f t="shared" si="657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58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59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2"/>
        <v>13200000</v>
      </c>
      <c r="AA2220" s="13">
        <v>7.2099999999999997E-2</v>
      </c>
      <c r="AB2220" s="21">
        <f t="shared" si="660"/>
        <v>951720</v>
      </c>
      <c r="AC2220" s="130">
        <f t="shared" si="661"/>
        <v>153797.95199999999</v>
      </c>
      <c r="AD2220" s="169">
        <v>0.16159999999999999</v>
      </c>
      <c r="AE2220" s="154">
        <f t="shared" si="662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53"/>
        <v>54700260.692079648</v>
      </c>
      <c r="AJ2220" s="19">
        <f t="shared" si="654"/>
        <v>7482899.5749188727</v>
      </c>
      <c r="AK2220" s="20">
        <f t="shared" si="663"/>
        <v>0.13679824337660537</v>
      </c>
      <c r="AL2220" s="17"/>
      <c r="AM2220" s="17"/>
      <c r="AN2220" s="17"/>
      <c r="AO2220" s="17"/>
      <c r="AP2220" s="28" t="str">
        <f t="shared" si="664"/>
        <v>20216</v>
      </c>
      <c r="AQ2220" s="28" t="str">
        <f t="shared" si="665"/>
        <v>20216JPY</v>
      </c>
      <c r="AR2220" s="206" t="str">
        <f t="shared" si="666"/>
        <v>YAMAHA_Mounter</v>
      </c>
      <c r="AS2220" s="22">
        <f t="shared" si="667"/>
        <v>3</v>
      </c>
      <c r="AT2220" s="24" t="str">
        <f t="shared" si="668"/>
        <v>0-3 months</v>
      </c>
    </row>
    <row r="2221" spans="1:46" s="12" customFormat="1">
      <c r="A2221" s="33" t="str">
        <f t="shared" si="656"/>
        <v>FY 21/22</v>
      </c>
      <c r="B2221" s="152">
        <v>2021</v>
      </c>
      <c r="C2221" s="152">
        <v>4</v>
      </c>
      <c r="D2221" s="33" t="str">
        <f t="shared" si="657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58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59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2"/>
        <v>8100000</v>
      </c>
      <c r="AA2221" s="13">
        <v>7.2400000000000006E-2</v>
      </c>
      <c r="AB2221" s="21">
        <f t="shared" si="660"/>
        <v>586440</v>
      </c>
      <c r="AC2221" s="130">
        <f t="shared" si="661"/>
        <v>73011.78</v>
      </c>
      <c r="AD2221" s="169">
        <v>0.1245</v>
      </c>
      <c r="AE2221" s="154">
        <f t="shared" si="662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53"/>
        <v>47458373.787610628</v>
      </c>
      <c r="AJ2221" s="19">
        <f t="shared" si="654"/>
        <v>7436880.1411522133</v>
      </c>
      <c r="AK2221" s="20">
        <f t="shared" si="663"/>
        <v>0.15670322321692506</v>
      </c>
      <c r="AL2221" s="17"/>
      <c r="AM2221" s="17"/>
      <c r="AN2221" s="17"/>
      <c r="AO2221" s="17"/>
      <c r="AP2221" s="28" t="str">
        <f t="shared" si="664"/>
        <v>20218</v>
      </c>
      <c r="AQ2221" s="28" t="str">
        <f t="shared" si="665"/>
        <v>20218JPY</v>
      </c>
      <c r="AR2221" s="206" t="str">
        <f t="shared" si="666"/>
        <v>YAMAHA_Mounter</v>
      </c>
      <c r="AS2221" s="22">
        <f t="shared" si="667"/>
        <v>4</v>
      </c>
      <c r="AT2221" s="24" t="str">
        <f t="shared" si="668"/>
        <v>4-6 months</v>
      </c>
    </row>
    <row r="2222" spans="1:46" s="12" customFormat="1">
      <c r="A2222" s="33" t="str">
        <f t="shared" si="656"/>
        <v>FY 21/22</v>
      </c>
      <c r="B2222" s="152">
        <v>2021</v>
      </c>
      <c r="C2222" s="152">
        <v>6</v>
      </c>
      <c r="D2222" s="33" t="str">
        <f t="shared" si="657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58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59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2"/>
        <v>13488000</v>
      </c>
      <c r="AA2222" s="13">
        <v>6.54E-2</v>
      </c>
      <c r="AB2222" s="21">
        <f t="shared" si="660"/>
        <v>882115.2</v>
      </c>
      <c r="AC2222" s="130">
        <f t="shared" si="661"/>
        <v>86447.289600000004</v>
      </c>
      <c r="AD2222" s="169">
        <v>9.8000000000000004E-2</v>
      </c>
      <c r="AE2222" s="154">
        <f t="shared" si="662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53"/>
        <v>46600814.041769907</v>
      </c>
      <c r="AJ2222" s="19">
        <f t="shared" si="654"/>
        <v>5956366.3435927071</v>
      </c>
      <c r="AK2222" s="20">
        <f t="shared" si="663"/>
        <v>0.1278167874546958</v>
      </c>
      <c r="AL2222" s="17"/>
      <c r="AM2222" s="17"/>
      <c r="AN2222" s="17"/>
      <c r="AO2222" s="17"/>
      <c r="AP2222" s="28" t="str">
        <f t="shared" si="664"/>
        <v>20224</v>
      </c>
      <c r="AQ2222" s="28" t="str">
        <f t="shared" si="665"/>
        <v>20224JPY</v>
      </c>
      <c r="AR2222" s="206" t="str">
        <f t="shared" si="666"/>
        <v>YAMAHA_Mounter</v>
      </c>
      <c r="AS2222" s="22">
        <f t="shared" si="667"/>
        <v>10</v>
      </c>
      <c r="AT2222" s="24" t="str">
        <f t="shared" si="668"/>
        <v>&gt; 6 months</v>
      </c>
    </row>
    <row r="2223" spans="1:46" s="12" customFormat="1">
      <c r="A2223" s="33" t="str">
        <f t="shared" si="656"/>
        <v>FY 21/22</v>
      </c>
      <c r="B2223" s="152">
        <v>2021</v>
      </c>
      <c r="C2223" s="152">
        <v>6</v>
      </c>
      <c r="D2223" s="33" t="str">
        <f t="shared" si="657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58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59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2"/>
        <v>7900000</v>
      </c>
      <c r="AA2223" s="13">
        <v>6.54E-2</v>
      </c>
      <c r="AB2223" s="21">
        <f t="shared" si="660"/>
        <v>516660</v>
      </c>
      <c r="AC2223" s="130">
        <f t="shared" si="661"/>
        <v>50632.68</v>
      </c>
      <c r="AD2223" s="169">
        <v>9.8000000000000004E-2</v>
      </c>
      <c r="AE2223" s="154">
        <f t="shared" si="662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53"/>
        <v>46600814.041769907</v>
      </c>
      <c r="AJ2223" s="19">
        <f t="shared" si="654"/>
        <v>5956366.3435927071</v>
      </c>
      <c r="AK2223" s="20">
        <f t="shared" si="663"/>
        <v>0.1278167874546958</v>
      </c>
      <c r="AL2223" s="17"/>
      <c r="AM2223" s="17"/>
      <c r="AN2223" s="17"/>
      <c r="AO2223" s="17"/>
      <c r="AP2223" s="28" t="str">
        <f t="shared" si="664"/>
        <v>20224</v>
      </c>
      <c r="AQ2223" s="28" t="str">
        <f t="shared" si="665"/>
        <v>20224JPY</v>
      </c>
      <c r="AR2223" s="206" t="str">
        <f t="shared" si="666"/>
        <v>YAMAHA_Mounter</v>
      </c>
      <c r="AS2223" s="22">
        <f t="shared" si="667"/>
        <v>10</v>
      </c>
      <c r="AT2223" s="24" t="str">
        <f t="shared" si="668"/>
        <v>&gt; 6 months</v>
      </c>
    </row>
    <row r="2224" spans="1:46" s="12" customFormat="1">
      <c r="A2224" s="33" t="str">
        <f t="shared" si="656"/>
        <v>FY 21/22</v>
      </c>
      <c r="B2224" s="152">
        <v>2021</v>
      </c>
      <c r="C2224" s="152">
        <v>6</v>
      </c>
      <c r="D2224" s="33" t="str">
        <f t="shared" si="657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58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59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2"/>
        <v>7900000</v>
      </c>
      <c r="AA2224" s="13">
        <v>6.54E-2</v>
      </c>
      <c r="AB2224" s="21">
        <f t="shared" si="660"/>
        <v>516660</v>
      </c>
      <c r="AC2224" s="130">
        <f t="shared" si="661"/>
        <v>50632.68</v>
      </c>
      <c r="AD2224" s="169">
        <v>9.8000000000000004E-2</v>
      </c>
      <c r="AE2224" s="154">
        <f t="shared" si="662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53"/>
        <v>46600814.041769907</v>
      </c>
      <c r="AJ2224" s="19">
        <f t="shared" si="654"/>
        <v>5956366.3435927071</v>
      </c>
      <c r="AK2224" s="20">
        <f t="shared" si="663"/>
        <v>0.1278167874546958</v>
      </c>
      <c r="AL2224" s="17"/>
      <c r="AM2224" s="17"/>
      <c r="AN2224" s="17"/>
      <c r="AO2224" s="17"/>
      <c r="AP2224" s="28" t="str">
        <f t="shared" si="664"/>
        <v>20224</v>
      </c>
      <c r="AQ2224" s="28" t="str">
        <f t="shared" si="665"/>
        <v>20224JPY</v>
      </c>
      <c r="AR2224" s="206" t="str">
        <f t="shared" si="666"/>
        <v>YAMAHA_Mounter</v>
      </c>
      <c r="AS2224" s="22">
        <f t="shared" si="667"/>
        <v>10</v>
      </c>
      <c r="AT2224" s="24" t="str">
        <f t="shared" si="668"/>
        <v>&gt; 6 months</v>
      </c>
    </row>
    <row r="2225" spans="1:46" s="12" customFormat="1">
      <c r="A2225" s="33" t="str">
        <f t="shared" si="656"/>
        <v>FY 20/21</v>
      </c>
      <c r="B2225" s="152">
        <v>2020</v>
      </c>
      <c r="C2225" s="152">
        <v>6</v>
      </c>
      <c r="D2225" s="33" t="str">
        <f t="shared" si="657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58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59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2"/>
        <v>1250000</v>
      </c>
      <c r="AA2225" s="13">
        <v>1.095</v>
      </c>
      <c r="AB2225" s="21">
        <f t="shared" si="660"/>
        <v>1211283.185840708</v>
      </c>
      <c r="AC2225" s="130">
        <f t="shared" si="661"/>
        <v>315418.14159292041</v>
      </c>
      <c r="AD2225" s="169">
        <v>0.26040000000000002</v>
      </c>
      <c r="AE2225" s="154">
        <f t="shared" si="662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53"/>
        <v>35384300.169380538</v>
      </c>
      <c r="AJ2225" s="19">
        <f t="shared" si="654"/>
        <v>5044538.8896988509</v>
      </c>
      <c r="AK2225" s="20">
        <f t="shared" si="663"/>
        <v>0.14256432557804533</v>
      </c>
      <c r="AL2225" s="17"/>
      <c r="AM2225" s="17"/>
      <c r="AN2225" s="17"/>
      <c r="AO2225" s="17"/>
      <c r="AP2225" s="28" t="str">
        <f t="shared" si="664"/>
        <v>20207</v>
      </c>
      <c r="AQ2225" s="28" t="str">
        <f t="shared" si="665"/>
        <v>20207RMB</v>
      </c>
      <c r="AR2225" s="206" t="str">
        <f t="shared" si="666"/>
        <v>YAMAHA_Mounter</v>
      </c>
      <c r="AS2225" s="22">
        <f t="shared" si="667"/>
        <v>1</v>
      </c>
      <c r="AT2225" s="24" t="str">
        <f t="shared" si="668"/>
        <v>0-3 months</v>
      </c>
    </row>
    <row r="2226" spans="1:46" s="12" customFormat="1">
      <c r="A2226" s="33" t="str">
        <f t="shared" si="656"/>
        <v>FY 20/21</v>
      </c>
      <c r="B2226" s="152">
        <v>2020</v>
      </c>
      <c r="C2226" s="152">
        <v>4</v>
      </c>
      <c r="D2226" s="33" t="str">
        <f t="shared" si="657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58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59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2"/>
        <v>1158250</v>
      </c>
      <c r="AA2226" s="13">
        <v>1.089</v>
      </c>
      <c r="AB2226" s="21">
        <f t="shared" si="660"/>
        <v>1116225</v>
      </c>
      <c r="AC2226" s="130">
        <f t="shared" si="661"/>
        <v>261308.27249999999</v>
      </c>
      <c r="AD2226" s="169">
        <v>0.2341</v>
      </c>
      <c r="AE2226" s="154">
        <f t="shared" si="662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53"/>
        <v>29183109.05575221</v>
      </c>
      <c r="AJ2226" s="19">
        <f t="shared" si="654"/>
        <v>3741266.5648721238</v>
      </c>
      <c r="AK2226" s="20">
        <f t="shared" si="663"/>
        <v>0.12819972531798121</v>
      </c>
      <c r="AL2226" s="17"/>
      <c r="AM2226" s="17"/>
      <c r="AN2226" s="17"/>
      <c r="AO2226" s="17"/>
      <c r="AP2226" s="28" t="str">
        <f t="shared" si="664"/>
        <v>20206</v>
      </c>
      <c r="AQ2226" s="28" t="str">
        <f t="shared" si="665"/>
        <v>20206RMB</v>
      </c>
      <c r="AR2226" s="206" t="str">
        <f t="shared" si="666"/>
        <v>YAMAHA_Mounter</v>
      </c>
      <c r="AS2226" s="22">
        <f t="shared" si="667"/>
        <v>2</v>
      </c>
      <c r="AT2226" s="24" t="str">
        <f t="shared" si="668"/>
        <v>0-3 months</v>
      </c>
    </row>
    <row r="2227" spans="1:46" s="12" customFormat="1">
      <c r="A2227" s="33" t="str">
        <f t="shared" si="656"/>
        <v>FY 20/21</v>
      </c>
      <c r="B2227" s="152">
        <v>2020</v>
      </c>
      <c r="C2227" s="152">
        <v>4</v>
      </c>
      <c r="D2227" s="33" t="str">
        <f t="shared" si="657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58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59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2"/>
        <v>1158250</v>
      </c>
      <c r="AA2227" s="13">
        <v>1.089</v>
      </c>
      <c r="AB2227" s="21">
        <f t="shared" si="660"/>
        <v>1116225</v>
      </c>
      <c r="AC2227" s="130">
        <f t="shared" si="661"/>
        <v>261308.27249999999</v>
      </c>
      <c r="AD2227" s="169">
        <v>0.2341</v>
      </c>
      <c r="AE2227" s="154">
        <f t="shared" si="662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53"/>
        <v>29183109.05575221</v>
      </c>
      <c r="AJ2227" s="19">
        <f t="shared" si="654"/>
        <v>3741266.5648721238</v>
      </c>
      <c r="AK2227" s="20">
        <f t="shared" si="663"/>
        <v>0.12819972531798121</v>
      </c>
      <c r="AL2227" s="17"/>
      <c r="AM2227" s="17"/>
      <c r="AN2227" s="17"/>
      <c r="AO2227" s="17"/>
      <c r="AP2227" s="28" t="str">
        <f t="shared" si="664"/>
        <v>20206</v>
      </c>
      <c r="AQ2227" s="28" t="str">
        <f t="shared" si="665"/>
        <v>20206RMB</v>
      </c>
      <c r="AR2227" s="206" t="str">
        <f t="shared" si="666"/>
        <v>YAMAHA_Mounter</v>
      </c>
      <c r="AS2227" s="22">
        <f t="shared" si="667"/>
        <v>2</v>
      </c>
      <c r="AT2227" s="24" t="str">
        <f t="shared" si="668"/>
        <v>0-3 months</v>
      </c>
    </row>
    <row r="2228" spans="1:46" s="12" customFormat="1">
      <c r="A2228" s="33" t="str">
        <f t="shared" si="656"/>
        <v>FY 20/21</v>
      </c>
      <c r="B2228" s="152">
        <v>2020</v>
      </c>
      <c r="C2228" s="152">
        <v>4</v>
      </c>
      <c r="D2228" s="33" t="str">
        <f t="shared" si="657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58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59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2"/>
        <v>1158250</v>
      </c>
      <c r="AA2228" s="13">
        <v>1.089</v>
      </c>
      <c r="AB2228" s="21">
        <f t="shared" si="660"/>
        <v>1116225</v>
      </c>
      <c r="AC2228" s="130">
        <f t="shared" si="661"/>
        <v>261308.27249999999</v>
      </c>
      <c r="AD2228" s="169">
        <v>0.2341</v>
      </c>
      <c r="AE2228" s="154">
        <f t="shared" si="662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53"/>
        <v>29183109.05575221</v>
      </c>
      <c r="AJ2228" s="19">
        <f t="shared" si="654"/>
        <v>3741266.5648721238</v>
      </c>
      <c r="AK2228" s="20">
        <f t="shared" si="663"/>
        <v>0.12819972531798121</v>
      </c>
      <c r="AL2228" s="17"/>
      <c r="AM2228" s="17"/>
      <c r="AN2228" s="17"/>
      <c r="AO2228" s="17"/>
      <c r="AP2228" s="28" t="str">
        <f t="shared" si="664"/>
        <v>20206</v>
      </c>
      <c r="AQ2228" s="28" t="str">
        <f t="shared" si="665"/>
        <v>20206RMB</v>
      </c>
      <c r="AR2228" s="206" t="str">
        <f t="shared" si="666"/>
        <v>YAMAHA_Mounter</v>
      </c>
      <c r="AS2228" s="22">
        <f t="shared" si="667"/>
        <v>2</v>
      </c>
      <c r="AT2228" s="24" t="str">
        <f t="shared" si="668"/>
        <v>0-3 months</v>
      </c>
    </row>
    <row r="2229" spans="1:46" s="12" customFormat="1">
      <c r="A2229" s="33" t="str">
        <f t="shared" si="656"/>
        <v>FY 20/21</v>
      </c>
      <c r="B2229" s="152">
        <v>2020</v>
      </c>
      <c r="C2229" s="152">
        <v>8</v>
      </c>
      <c r="D2229" s="33" t="str">
        <f t="shared" si="657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58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59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2"/>
        <v>1250000</v>
      </c>
      <c r="AA2229" s="13">
        <v>1.1299999999999999</v>
      </c>
      <c r="AB2229" s="21">
        <f t="shared" si="660"/>
        <v>1249999.9999999998</v>
      </c>
      <c r="AC2229" s="130">
        <f t="shared" si="661"/>
        <v>295874.99999999994</v>
      </c>
      <c r="AD2229" s="169">
        <v>0.23669999999999999</v>
      </c>
      <c r="AE2229" s="154">
        <f t="shared" si="662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53"/>
        <v>47907808.356810622</v>
      </c>
      <c r="AJ2229" s="19">
        <f t="shared" si="654"/>
        <v>6027384.8806384448</v>
      </c>
      <c r="AK2229" s="20">
        <f t="shared" si="663"/>
        <v>0.12581216063459488</v>
      </c>
      <c r="AL2229" s="17"/>
      <c r="AM2229" s="17"/>
      <c r="AN2229" s="17"/>
      <c r="AO2229" s="17"/>
      <c r="AP2229" s="28" t="str">
        <f t="shared" si="664"/>
        <v>20209</v>
      </c>
      <c r="AQ2229" s="28" t="str">
        <f t="shared" si="665"/>
        <v>20209RMB</v>
      </c>
      <c r="AR2229" s="206" t="str">
        <f t="shared" si="666"/>
        <v>YAMAHA_Mounter</v>
      </c>
      <c r="AS2229" s="22">
        <f t="shared" si="667"/>
        <v>1</v>
      </c>
      <c r="AT2229" s="24" t="str">
        <f t="shared" si="668"/>
        <v>0-3 months</v>
      </c>
    </row>
    <row r="2230" spans="1:46" s="12" customFormat="1">
      <c r="A2230" s="33" t="str">
        <f t="shared" si="656"/>
        <v>FY 20/21</v>
      </c>
      <c r="B2230" s="152">
        <v>2020</v>
      </c>
      <c r="C2230" s="152">
        <v>8</v>
      </c>
      <c r="D2230" s="33" t="str">
        <f t="shared" si="657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58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59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2"/>
        <v>1250000</v>
      </c>
      <c r="AA2230" s="13">
        <v>1.1299999999999999</v>
      </c>
      <c r="AB2230" s="21">
        <f t="shared" si="660"/>
        <v>1249999.9999999998</v>
      </c>
      <c r="AC2230" s="130">
        <f t="shared" si="661"/>
        <v>295874.99999999994</v>
      </c>
      <c r="AD2230" s="169">
        <v>0.23669999999999999</v>
      </c>
      <c r="AE2230" s="154">
        <f t="shared" si="662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53"/>
        <v>47907808.356810622</v>
      </c>
      <c r="AJ2230" s="19">
        <f t="shared" si="654"/>
        <v>6027384.8806384448</v>
      </c>
      <c r="AK2230" s="20">
        <f t="shared" si="663"/>
        <v>0.12581216063459488</v>
      </c>
      <c r="AL2230" s="17"/>
      <c r="AM2230" s="17"/>
      <c r="AN2230" s="17"/>
      <c r="AO2230" s="17"/>
      <c r="AP2230" s="28" t="str">
        <f t="shared" si="664"/>
        <v>20209</v>
      </c>
      <c r="AQ2230" s="28" t="str">
        <f t="shared" si="665"/>
        <v>20209RMB</v>
      </c>
      <c r="AR2230" s="206" t="str">
        <f t="shared" si="666"/>
        <v>YAMAHA_Mounter</v>
      </c>
      <c r="AS2230" s="22">
        <f t="shared" si="667"/>
        <v>1</v>
      </c>
      <c r="AT2230" s="24" t="str">
        <f t="shared" si="668"/>
        <v>0-3 months</v>
      </c>
    </row>
    <row r="2231" spans="1:46" s="12" customFormat="1">
      <c r="A2231" s="33" t="str">
        <f t="shared" si="656"/>
        <v>FY 20/21</v>
      </c>
      <c r="B2231" s="152">
        <v>2020</v>
      </c>
      <c r="C2231" s="152">
        <v>8</v>
      </c>
      <c r="D2231" s="33" t="str">
        <f t="shared" si="657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58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59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2"/>
        <v>600000</v>
      </c>
      <c r="AA2231" s="13">
        <v>1.1299999999999999</v>
      </c>
      <c r="AB2231" s="21">
        <f t="shared" si="660"/>
        <v>600000</v>
      </c>
      <c r="AC2231" s="130">
        <f t="shared" si="661"/>
        <v>142020</v>
      </c>
      <c r="AD2231" s="169">
        <v>0.23669999999999999</v>
      </c>
      <c r="AE2231" s="154">
        <f t="shared" si="662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53"/>
        <v>47907808.356810622</v>
      </c>
      <c r="AJ2231" s="19">
        <f t="shared" si="654"/>
        <v>6027384.8806384448</v>
      </c>
      <c r="AK2231" s="20">
        <f t="shared" si="663"/>
        <v>0.12581216063459488</v>
      </c>
      <c r="AL2231" s="17"/>
      <c r="AM2231" s="17"/>
      <c r="AN2231" s="17"/>
      <c r="AO2231" s="17"/>
      <c r="AP2231" s="28" t="str">
        <f t="shared" si="664"/>
        <v>20209</v>
      </c>
      <c r="AQ2231" s="28" t="str">
        <f t="shared" si="665"/>
        <v>20209RMB</v>
      </c>
      <c r="AR2231" s="206" t="str">
        <f t="shared" si="666"/>
        <v>YAMAHA_Mounter</v>
      </c>
      <c r="AS2231" s="22">
        <f t="shared" si="667"/>
        <v>1</v>
      </c>
      <c r="AT2231" s="24" t="str">
        <f t="shared" si="668"/>
        <v>0-3 months</v>
      </c>
    </row>
    <row r="2232" spans="1:46" s="12" customFormat="1">
      <c r="A2232" s="33" t="str">
        <f t="shared" si="656"/>
        <v>FY 20/21</v>
      </c>
      <c r="B2232" s="152">
        <v>2021</v>
      </c>
      <c r="C2232" s="152">
        <v>3</v>
      </c>
      <c r="D2232" s="33" t="str">
        <f t="shared" si="657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58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59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9">IF(W2232="RMB","1.13", "1")</f>
        <v>1.13</v>
      </c>
      <c r="Z2232" s="18">
        <f t="shared" si="652"/>
        <v>1210000</v>
      </c>
      <c r="AA2232" s="13">
        <v>1.2150000000000001</v>
      </c>
      <c r="AB2232" s="21">
        <f t="shared" si="660"/>
        <v>1301017.6991150444</v>
      </c>
      <c r="AC2232" s="130">
        <f t="shared" si="661"/>
        <v>339045.21238938055</v>
      </c>
      <c r="AD2232" s="169">
        <v>0.2606</v>
      </c>
      <c r="AE2232" s="154">
        <f t="shared" si="662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53"/>
        <v>54700260.692079648</v>
      </c>
      <c r="AJ2232" s="19">
        <f t="shared" si="654"/>
        <v>7482899.5749188727</v>
      </c>
      <c r="AK2232" s="20">
        <f t="shared" si="663"/>
        <v>0.13679824337660537</v>
      </c>
      <c r="AL2232" s="17"/>
      <c r="AM2232" s="17"/>
      <c r="AN2232" s="17"/>
      <c r="AO2232" s="17"/>
      <c r="AP2232" s="28" t="str">
        <f t="shared" si="664"/>
        <v>20216</v>
      </c>
      <c r="AQ2232" s="28" t="str">
        <f t="shared" si="665"/>
        <v>20216RMB</v>
      </c>
      <c r="AR2232" s="206" t="str">
        <f t="shared" si="666"/>
        <v>YAMAHA_Mounter</v>
      </c>
      <c r="AS2232" s="22">
        <f t="shared" si="667"/>
        <v>3</v>
      </c>
      <c r="AT2232" s="24" t="str">
        <f t="shared" si="668"/>
        <v>0-3 months</v>
      </c>
    </row>
    <row r="2233" spans="1:46" s="12" customFormat="1">
      <c r="A2233" s="33" t="str">
        <f t="shared" si="656"/>
        <v>FY 20/21</v>
      </c>
      <c r="B2233" s="152">
        <v>2021</v>
      </c>
      <c r="C2233" s="152">
        <v>3</v>
      </c>
      <c r="D2233" s="33" t="str">
        <f t="shared" si="657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58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59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9"/>
        <v>1.13</v>
      </c>
      <c r="Z2233" s="18">
        <f t="shared" si="652"/>
        <v>1210000</v>
      </c>
      <c r="AA2233" s="13">
        <v>1.2150000000000001</v>
      </c>
      <c r="AB2233" s="21">
        <f t="shared" si="660"/>
        <v>1301017.6991150444</v>
      </c>
      <c r="AC2233" s="130">
        <f t="shared" si="661"/>
        <v>339045.21238938055</v>
      </c>
      <c r="AD2233" s="169">
        <v>0.2606</v>
      </c>
      <c r="AE2233" s="154">
        <f t="shared" si="662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53"/>
        <v>54700260.692079648</v>
      </c>
      <c r="AJ2233" s="19">
        <f t="shared" si="654"/>
        <v>7482899.5749188727</v>
      </c>
      <c r="AK2233" s="20">
        <f t="shared" si="663"/>
        <v>0.13679824337660537</v>
      </c>
      <c r="AL2233" s="17"/>
      <c r="AM2233" s="17"/>
      <c r="AN2233" s="17"/>
      <c r="AO2233" s="17"/>
      <c r="AP2233" s="28" t="str">
        <f t="shared" si="664"/>
        <v>20216</v>
      </c>
      <c r="AQ2233" s="28" t="str">
        <f t="shared" si="665"/>
        <v>20216RMB</v>
      </c>
      <c r="AR2233" s="206" t="str">
        <f t="shared" si="666"/>
        <v>YAMAHA_Mounter</v>
      </c>
      <c r="AS2233" s="22">
        <f t="shared" si="667"/>
        <v>3</v>
      </c>
      <c r="AT2233" s="24" t="str">
        <f t="shared" si="668"/>
        <v>0-3 months</v>
      </c>
    </row>
    <row r="2234" spans="1:46" s="12" customFormat="1">
      <c r="A2234" s="33" t="str">
        <f t="shared" si="656"/>
        <v>FY 22/23</v>
      </c>
      <c r="B2234" s="152">
        <v>2022</v>
      </c>
      <c r="C2234" s="152">
        <v>12</v>
      </c>
      <c r="D2234" s="33" t="str">
        <f t="shared" si="657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58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59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9"/>
        <v>1.13</v>
      </c>
      <c r="Z2234" s="18">
        <f t="shared" si="652"/>
        <v>447500</v>
      </c>
      <c r="AA2234" s="13">
        <v>1.1399999999999999</v>
      </c>
      <c r="AB2234" s="21">
        <f t="shared" si="660"/>
        <v>451460.17699115042</v>
      </c>
      <c r="AC2234" s="130">
        <f t="shared" si="661"/>
        <v>93136.234513274336</v>
      </c>
      <c r="AD2234" s="169">
        <v>0.20630000000000001</v>
      </c>
      <c r="AE2234" s="154">
        <f t="shared" si="662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53"/>
        <v>30573205.452778768</v>
      </c>
      <c r="AJ2234" s="19">
        <f t="shared" si="654"/>
        <v>3790930.1683151261</v>
      </c>
      <c r="AK2234" s="20">
        <f t="shared" si="663"/>
        <v>0.12399518179964254</v>
      </c>
      <c r="AL2234" s="17"/>
      <c r="AM2234" s="17"/>
      <c r="AN2234" s="17"/>
      <c r="AO2234" s="17"/>
      <c r="AP2234" s="28" t="str">
        <f t="shared" si="664"/>
        <v>20234</v>
      </c>
      <c r="AQ2234" s="28" t="str">
        <f t="shared" si="665"/>
        <v>20234RMB</v>
      </c>
      <c r="AR2234" s="206" t="str">
        <f t="shared" si="666"/>
        <v>YAMAHA_Mounter</v>
      </c>
      <c r="AS2234" s="22">
        <f t="shared" si="667"/>
        <v>4</v>
      </c>
      <c r="AT2234" s="24" t="str">
        <f t="shared" si="668"/>
        <v>4-6 months</v>
      </c>
    </row>
    <row r="2235" spans="1:46" s="12" customFormat="1">
      <c r="A2235" s="33" t="str">
        <f t="shared" si="656"/>
        <v>FY 22/23</v>
      </c>
      <c r="B2235" s="152">
        <v>2022</v>
      </c>
      <c r="C2235" s="152">
        <v>12</v>
      </c>
      <c r="D2235" s="33" t="str">
        <f t="shared" si="657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58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59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9"/>
        <v>1.13</v>
      </c>
      <c r="Z2235" s="18">
        <f t="shared" si="652"/>
        <v>447500</v>
      </c>
      <c r="AA2235" s="13">
        <v>1.1399999999999999</v>
      </c>
      <c r="AB2235" s="21">
        <f t="shared" si="660"/>
        <v>451460.17699115042</v>
      </c>
      <c r="AC2235" s="130">
        <f t="shared" si="661"/>
        <v>93136.234513274336</v>
      </c>
      <c r="AD2235" s="169">
        <v>0.20630000000000001</v>
      </c>
      <c r="AE2235" s="154">
        <f t="shared" si="662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53"/>
        <v>30573205.452778768</v>
      </c>
      <c r="AJ2235" s="19">
        <f t="shared" si="654"/>
        <v>3790930.1683151261</v>
      </c>
      <c r="AK2235" s="20">
        <f t="shared" si="663"/>
        <v>0.12399518179964254</v>
      </c>
      <c r="AL2235" s="17"/>
      <c r="AM2235" s="17"/>
      <c r="AN2235" s="17"/>
      <c r="AO2235" s="17"/>
      <c r="AP2235" s="28" t="str">
        <f t="shared" si="664"/>
        <v>20234</v>
      </c>
      <c r="AQ2235" s="28" t="str">
        <f t="shared" si="665"/>
        <v>20234RMB</v>
      </c>
      <c r="AR2235" s="206" t="str">
        <f t="shared" si="666"/>
        <v>YAMAHA_Mounter</v>
      </c>
      <c r="AS2235" s="22">
        <f t="shared" si="667"/>
        <v>4</v>
      </c>
      <c r="AT2235" s="24" t="str">
        <f t="shared" si="668"/>
        <v>4-6 months</v>
      </c>
    </row>
    <row r="2236" spans="1:46" s="12" customFormat="1">
      <c r="A2236" s="33" t="str">
        <f t="shared" si="656"/>
        <v>FY 22/23</v>
      </c>
      <c r="B2236" s="152">
        <v>2022</v>
      </c>
      <c r="C2236" s="152">
        <v>12</v>
      </c>
      <c r="D2236" s="33" t="str">
        <f t="shared" si="657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58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59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9"/>
        <v>1.13</v>
      </c>
      <c r="Z2236" s="18">
        <f t="shared" ref="Z2236:Z2299" si="670">IF(X2236="","",X2236*MAX(O2236,N2236))</f>
        <v>447500</v>
      </c>
      <c r="AA2236" s="13">
        <v>1.1399999999999999</v>
      </c>
      <c r="AB2236" s="21">
        <f t="shared" si="660"/>
        <v>451460.17699115042</v>
      </c>
      <c r="AC2236" s="130">
        <f t="shared" si="661"/>
        <v>93136.234513274336</v>
      </c>
      <c r="AD2236" s="169">
        <v>0.20630000000000001</v>
      </c>
      <c r="AE2236" s="154">
        <f t="shared" si="662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53"/>
        <v>30573205.452778768</v>
      </c>
      <c r="AJ2236" s="19">
        <f t="shared" si="654"/>
        <v>3790930.1683151261</v>
      </c>
      <c r="AK2236" s="20">
        <f t="shared" si="663"/>
        <v>0.12399518179964254</v>
      </c>
      <c r="AL2236" s="17"/>
      <c r="AM2236" s="17"/>
      <c r="AN2236" s="17"/>
      <c r="AO2236" s="17"/>
      <c r="AP2236" s="28" t="str">
        <f t="shared" si="664"/>
        <v>20234</v>
      </c>
      <c r="AQ2236" s="28" t="str">
        <f t="shared" si="665"/>
        <v>20234RMB</v>
      </c>
      <c r="AR2236" s="206" t="str">
        <f t="shared" si="666"/>
        <v>YAMAHA_Mounter</v>
      </c>
      <c r="AS2236" s="22">
        <f t="shared" si="667"/>
        <v>4</v>
      </c>
      <c r="AT2236" s="24" t="str">
        <f t="shared" si="668"/>
        <v>4-6 months</v>
      </c>
    </row>
    <row r="2237" spans="1:46" s="12" customFormat="1">
      <c r="A2237" s="33" t="str">
        <f t="shared" si="656"/>
        <v>FY 22/23</v>
      </c>
      <c r="B2237" s="152">
        <v>2022</v>
      </c>
      <c r="C2237" s="152">
        <v>12</v>
      </c>
      <c r="D2237" s="33" t="str">
        <f t="shared" si="657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58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59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9"/>
        <v>1.13</v>
      </c>
      <c r="Z2237" s="18">
        <f t="shared" si="670"/>
        <v>447500</v>
      </c>
      <c r="AA2237" s="13">
        <v>1.1399999999999999</v>
      </c>
      <c r="AB2237" s="21">
        <f t="shared" si="660"/>
        <v>451460.17699115042</v>
      </c>
      <c r="AC2237" s="130">
        <f t="shared" si="661"/>
        <v>93136.234513274336</v>
      </c>
      <c r="AD2237" s="169">
        <v>0.20630000000000001</v>
      </c>
      <c r="AE2237" s="154">
        <f t="shared" si="662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53"/>
        <v>30573205.452778768</v>
      </c>
      <c r="AJ2237" s="19">
        <f t="shared" si="654"/>
        <v>3790930.1683151261</v>
      </c>
      <c r="AK2237" s="20">
        <f t="shared" si="663"/>
        <v>0.12399518179964254</v>
      </c>
      <c r="AL2237" s="17"/>
      <c r="AM2237" s="17"/>
      <c r="AN2237" s="17"/>
      <c r="AO2237" s="17"/>
      <c r="AP2237" s="28" t="str">
        <f t="shared" si="664"/>
        <v>20234</v>
      </c>
      <c r="AQ2237" s="28" t="str">
        <f t="shared" si="665"/>
        <v>20234RMB</v>
      </c>
      <c r="AR2237" s="206" t="str">
        <f t="shared" si="666"/>
        <v>YAMAHA_Mounter</v>
      </c>
      <c r="AS2237" s="22">
        <f t="shared" si="667"/>
        <v>4</v>
      </c>
      <c r="AT2237" s="24" t="str">
        <f t="shared" si="668"/>
        <v>4-6 months</v>
      </c>
    </row>
    <row r="2238" spans="1:46" s="12" customFormat="1">
      <c r="A2238" s="33" t="str">
        <f t="shared" si="656"/>
        <v>FY 22/23</v>
      </c>
      <c r="B2238" s="152">
        <v>2022</v>
      </c>
      <c r="C2238" s="152">
        <v>12</v>
      </c>
      <c r="D2238" s="33" t="str">
        <f t="shared" si="657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58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59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9"/>
        <v>1.13</v>
      </c>
      <c r="Z2238" s="18">
        <f t="shared" si="670"/>
        <v>447500</v>
      </c>
      <c r="AA2238" s="13">
        <v>1.1399999999999999</v>
      </c>
      <c r="AB2238" s="21">
        <f t="shared" si="660"/>
        <v>451460.17699115042</v>
      </c>
      <c r="AC2238" s="130">
        <f t="shared" si="661"/>
        <v>93136.234513274336</v>
      </c>
      <c r="AD2238" s="169">
        <v>0.20630000000000001</v>
      </c>
      <c r="AE2238" s="154">
        <f t="shared" si="662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53"/>
        <v>30573205.452778768</v>
      </c>
      <c r="AJ2238" s="19">
        <f t="shared" si="654"/>
        <v>3790930.1683151261</v>
      </c>
      <c r="AK2238" s="20">
        <f t="shared" si="663"/>
        <v>0.12399518179964254</v>
      </c>
      <c r="AL2238" s="17"/>
      <c r="AM2238" s="17"/>
      <c r="AN2238" s="17"/>
      <c r="AO2238" s="17"/>
      <c r="AP2238" s="28" t="str">
        <f t="shared" si="664"/>
        <v>20234</v>
      </c>
      <c r="AQ2238" s="28" t="str">
        <f t="shared" si="665"/>
        <v>20234RMB</v>
      </c>
      <c r="AR2238" s="206" t="str">
        <f t="shared" si="666"/>
        <v>YAMAHA_Mounter</v>
      </c>
      <c r="AS2238" s="22">
        <f t="shared" si="667"/>
        <v>4</v>
      </c>
      <c r="AT2238" s="24" t="str">
        <f t="shared" si="668"/>
        <v>4-6 months</v>
      </c>
    </row>
    <row r="2239" spans="1:46" s="12" customFormat="1">
      <c r="A2239" s="33" t="str">
        <f t="shared" si="656"/>
        <v>FY 22/23</v>
      </c>
      <c r="B2239" s="152">
        <v>2022</v>
      </c>
      <c r="C2239" s="152">
        <v>12</v>
      </c>
      <c r="D2239" s="33" t="str">
        <f t="shared" si="657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58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59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9"/>
        <v>1.13</v>
      </c>
      <c r="Z2239" s="18">
        <f t="shared" si="670"/>
        <v>447500</v>
      </c>
      <c r="AA2239" s="13">
        <v>1.1399999999999999</v>
      </c>
      <c r="AB2239" s="21">
        <f t="shared" si="660"/>
        <v>451460.17699115042</v>
      </c>
      <c r="AC2239" s="130">
        <f t="shared" si="661"/>
        <v>93136.234513274336</v>
      </c>
      <c r="AD2239" s="169">
        <v>0.20630000000000001</v>
      </c>
      <c r="AE2239" s="154">
        <f t="shared" si="662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53"/>
        <v>30573205.452778768</v>
      </c>
      <c r="AJ2239" s="19">
        <f t="shared" si="654"/>
        <v>3790930.1683151261</v>
      </c>
      <c r="AK2239" s="20">
        <f t="shared" si="663"/>
        <v>0.12399518179964254</v>
      </c>
      <c r="AL2239" s="17"/>
      <c r="AM2239" s="17"/>
      <c r="AN2239" s="17"/>
      <c r="AO2239" s="17"/>
      <c r="AP2239" s="28" t="str">
        <f t="shared" si="664"/>
        <v>20234</v>
      </c>
      <c r="AQ2239" s="28" t="str">
        <f t="shared" si="665"/>
        <v>20234RMB</v>
      </c>
      <c r="AR2239" s="206" t="str">
        <f t="shared" si="666"/>
        <v>YAMAHA_Mounter</v>
      </c>
      <c r="AS2239" s="22">
        <f t="shared" si="667"/>
        <v>4</v>
      </c>
      <c r="AT2239" s="24" t="str">
        <f t="shared" si="668"/>
        <v>4-6 months</v>
      </c>
    </row>
    <row r="2240" spans="1:46" s="12" customFormat="1">
      <c r="A2240" s="33" t="str">
        <f t="shared" si="656"/>
        <v>FY 20/21</v>
      </c>
      <c r="B2240" s="152">
        <v>2020</v>
      </c>
      <c r="C2240" s="152">
        <v>4</v>
      </c>
      <c r="D2240" s="33" t="str">
        <f t="shared" si="657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58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59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9"/>
        <v>1.13</v>
      </c>
      <c r="Z2240" s="18">
        <f t="shared" si="670"/>
        <v>431000</v>
      </c>
      <c r="AA2240" s="13">
        <v>1.089</v>
      </c>
      <c r="AB2240" s="21">
        <f t="shared" si="660"/>
        <v>415361.94690265489</v>
      </c>
      <c r="AC2240" s="130">
        <f t="shared" si="661"/>
        <v>80746.3624778761</v>
      </c>
      <c r="AD2240" s="169">
        <v>0.19439999999999999</v>
      </c>
      <c r="AE2240" s="154">
        <f t="shared" si="662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53"/>
        <v>29183109.05575221</v>
      </c>
      <c r="AJ2240" s="19">
        <f t="shared" si="654"/>
        <v>3741266.5648721238</v>
      </c>
      <c r="AK2240" s="20">
        <f t="shared" si="663"/>
        <v>0.12819972531798121</v>
      </c>
      <c r="AL2240" s="17"/>
      <c r="AM2240" s="17"/>
      <c r="AN2240" s="17"/>
      <c r="AO2240" s="17"/>
      <c r="AP2240" s="28" t="str">
        <f t="shared" si="664"/>
        <v>20206</v>
      </c>
      <c r="AQ2240" s="28" t="str">
        <f t="shared" si="665"/>
        <v>20206RMB</v>
      </c>
      <c r="AR2240" s="206" t="str">
        <f t="shared" si="666"/>
        <v>YAMAHA_Non_Mounter</v>
      </c>
      <c r="AS2240" s="22">
        <f t="shared" si="667"/>
        <v>2</v>
      </c>
      <c r="AT2240" s="24" t="str">
        <f t="shared" si="668"/>
        <v>0-3 months</v>
      </c>
    </row>
    <row r="2241" spans="1:46" s="12" customFormat="1">
      <c r="A2241" s="33" t="str">
        <f t="shared" si="656"/>
        <v>FY 20/21</v>
      </c>
      <c r="B2241" s="152">
        <v>2020</v>
      </c>
      <c r="C2241" s="152">
        <v>4</v>
      </c>
      <c r="D2241" s="33" t="str">
        <f t="shared" si="657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58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59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9"/>
        <v>1.13</v>
      </c>
      <c r="Z2241" s="18">
        <f t="shared" si="670"/>
        <v>407100</v>
      </c>
      <c r="AA2241" s="13">
        <v>1.089</v>
      </c>
      <c r="AB2241" s="21">
        <f t="shared" si="660"/>
        <v>392329.11504424782</v>
      </c>
      <c r="AC2241" s="130">
        <f t="shared" si="661"/>
        <v>103614.11928318585</v>
      </c>
      <c r="AD2241" s="169">
        <v>0.2641</v>
      </c>
      <c r="AE2241" s="154">
        <f t="shared" si="662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53"/>
        <v>29183109.05575221</v>
      </c>
      <c r="AJ2241" s="19">
        <f t="shared" si="654"/>
        <v>3741266.5648721238</v>
      </c>
      <c r="AK2241" s="20">
        <f t="shared" si="663"/>
        <v>0.12819972531798121</v>
      </c>
      <c r="AL2241" s="17"/>
      <c r="AM2241" s="17"/>
      <c r="AN2241" s="17"/>
      <c r="AO2241" s="17"/>
      <c r="AP2241" s="28" t="str">
        <f t="shared" si="664"/>
        <v>20206</v>
      </c>
      <c r="AQ2241" s="28" t="str">
        <f t="shared" si="665"/>
        <v>20206RMB</v>
      </c>
      <c r="AR2241" s="206" t="str">
        <f t="shared" si="666"/>
        <v>PEMTRON</v>
      </c>
      <c r="AS2241" s="22">
        <f t="shared" si="667"/>
        <v>2</v>
      </c>
      <c r="AT2241" s="24" t="str">
        <f t="shared" si="668"/>
        <v>0-3 months</v>
      </c>
    </row>
    <row r="2242" spans="1:46" s="12" customFormat="1">
      <c r="A2242" s="33" t="str">
        <f t="shared" si="656"/>
        <v>FY 20/21</v>
      </c>
      <c r="B2242" s="152">
        <v>2020</v>
      </c>
      <c r="C2242" s="152">
        <v>4</v>
      </c>
      <c r="D2242" s="33" t="str">
        <f t="shared" si="657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58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59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9"/>
        <v>1.13</v>
      </c>
      <c r="Z2242" s="18">
        <f t="shared" si="670"/>
        <v>505600</v>
      </c>
      <c r="AA2242" s="13">
        <v>1.095</v>
      </c>
      <c r="AB2242" s="21">
        <f t="shared" si="660"/>
        <v>489939.82300884958</v>
      </c>
      <c r="AC2242" s="130">
        <f t="shared" si="661"/>
        <v>104553.15823008851</v>
      </c>
      <c r="AD2242" s="169">
        <v>0.21340000000000001</v>
      </c>
      <c r="AE2242" s="154">
        <f t="shared" si="662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71">IF(P2242="C66 SERVICE","",SUMIFS(AB:AB,F:F,F2242,G:G,G2242,E:E,E2242))</f>
        <v>28065694.408805311</v>
      </c>
      <c r="AJ2242" s="19">
        <f t="shared" ref="AJ2242:AJ2305" si="672">IF(P2242="C66 SERVICE","",SUMIFS(AC:AC,F:F,F2242,G:G,G2242,E:E,E2242))</f>
        <v>4157433.2906989697</v>
      </c>
      <c r="AK2242" s="20">
        <f t="shared" si="663"/>
        <v>0.14813220831602228</v>
      </c>
      <c r="AL2242" s="17"/>
      <c r="AM2242" s="17"/>
      <c r="AN2242" s="17"/>
      <c r="AO2242" s="17"/>
      <c r="AP2242" s="28" t="str">
        <f t="shared" si="664"/>
        <v>20205</v>
      </c>
      <c r="AQ2242" s="28" t="str">
        <f t="shared" si="665"/>
        <v>20205RMB</v>
      </c>
      <c r="AR2242" s="206" t="str">
        <f t="shared" si="666"/>
        <v>HELLER</v>
      </c>
      <c r="AS2242" s="22">
        <f t="shared" si="667"/>
        <v>1</v>
      </c>
      <c r="AT2242" s="24" t="str">
        <f t="shared" si="668"/>
        <v>0-3 months</v>
      </c>
    </row>
    <row r="2243" spans="1:46" s="12" customFormat="1">
      <c r="A2243" s="33" t="str">
        <f t="shared" si="656"/>
        <v>FY 20/21</v>
      </c>
      <c r="B2243" s="152">
        <v>2020</v>
      </c>
      <c r="C2243" s="152">
        <v>8</v>
      </c>
      <c r="D2243" s="33" t="str">
        <f t="shared" si="657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58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59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9"/>
        <v>1.13</v>
      </c>
      <c r="Z2243" s="18">
        <f t="shared" si="670"/>
        <v>462900</v>
      </c>
      <c r="AA2243" s="13">
        <v>1.135</v>
      </c>
      <c r="AB2243" s="21">
        <f t="shared" si="660"/>
        <v>464948.23008849565</v>
      </c>
      <c r="AC2243" s="130">
        <f t="shared" si="661"/>
        <v>103729.95013274338</v>
      </c>
      <c r="AD2243" s="169">
        <v>0.22309999999999999</v>
      </c>
      <c r="AE2243" s="154">
        <f t="shared" si="662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71"/>
        <v>28011162.254106201</v>
      </c>
      <c r="AJ2243" s="19">
        <f t="shared" si="672"/>
        <v>3401347.1124888416</v>
      </c>
      <c r="AK2243" s="20">
        <f t="shared" si="663"/>
        <v>0.12142827497242578</v>
      </c>
      <c r="AL2243" s="17"/>
      <c r="AM2243" s="17"/>
      <c r="AN2243" s="17"/>
      <c r="AO2243" s="17"/>
      <c r="AP2243" s="28" t="str">
        <f t="shared" si="664"/>
        <v>202010</v>
      </c>
      <c r="AQ2243" s="28" t="str">
        <f t="shared" si="665"/>
        <v>202010RMB</v>
      </c>
      <c r="AR2243" s="206" t="str">
        <f t="shared" si="666"/>
        <v>YAMAHA_Non_Mounter</v>
      </c>
      <c r="AS2243" s="22">
        <f t="shared" si="667"/>
        <v>2</v>
      </c>
      <c r="AT2243" s="24" t="str">
        <f t="shared" si="668"/>
        <v>0-3 months</v>
      </c>
    </row>
    <row r="2244" spans="1:46" s="12" customFormat="1">
      <c r="A2244" s="33" t="str">
        <f t="shared" si="656"/>
        <v>FY 20/21</v>
      </c>
      <c r="B2244" s="152">
        <v>2020</v>
      </c>
      <c r="C2244" s="152">
        <v>8</v>
      </c>
      <c r="D2244" s="33" t="str">
        <f t="shared" si="657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58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59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9"/>
        <v>1.13</v>
      </c>
      <c r="Z2244" s="18">
        <f t="shared" si="670"/>
        <v>503780</v>
      </c>
      <c r="AA2244" s="13">
        <v>1.1299999999999999</v>
      </c>
      <c r="AB2244" s="21">
        <f t="shared" si="660"/>
        <v>503780</v>
      </c>
      <c r="AC2244" s="130">
        <f t="shared" si="661"/>
        <v>129874.48399999998</v>
      </c>
      <c r="AD2244" s="169">
        <v>0.25779999999999997</v>
      </c>
      <c r="AE2244" s="154">
        <f t="shared" si="662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71"/>
        <v>47907808.356810622</v>
      </c>
      <c r="AJ2244" s="19">
        <f t="shared" si="672"/>
        <v>6027384.8806384448</v>
      </c>
      <c r="AK2244" s="20">
        <f t="shared" si="663"/>
        <v>0.12581216063459488</v>
      </c>
      <c r="AL2244" s="17"/>
      <c r="AM2244" s="17"/>
      <c r="AN2244" s="17"/>
      <c r="AO2244" s="17"/>
      <c r="AP2244" s="28" t="str">
        <f t="shared" si="664"/>
        <v>20209</v>
      </c>
      <c r="AQ2244" s="28" t="str">
        <f t="shared" si="665"/>
        <v>20209RMB</v>
      </c>
      <c r="AR2244" s="206" t="str">
        <f t="shared" si="666"/>
        <v>HELLER</v>
      </c>
      <c r="AS2244" s="22">
        <f t="shared" si="667"/>
        <v>1</v>
      </c>
      <c r="AT2244" s="24" t="str">
        <f t="shared" si="668"/>
        <v>0-3 months</v>
      </c>
    </row>
    <row r="2245" spans="1:46" s="12" customFormat="1">
      <c r="A2245" s="33" t="str">
        <f t="shared" si="656"/>
        <v>FY 21/22</v>
      </c>
      <c r="B2245" s="152">
        <v>2021</v>
      </c>
      <c r="C2245" s="152">
        <v>5</v>
      </c>
      <c r="D2245" s="33" t="str">
        <f t="shared" si="657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58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59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9"/>
        <v>1.13</v>
      </c>
      <c r="Z2245" s="18">
        <f t="shared" si="670"/>
        <v>472375</v>
      </c>
      <c r="AA2245" s="13">
        <v>1.2</v>
      </c>
      <c r="AB2245" s="21">
        <f t="shared" si="660"/>
        <v>501637.16814159293</v>
      </c>
      <c r="AC2245" s="130">
        <f t="shared" si="661"/>
        <v>127817.1504424779</v>
      </c>
      <c r="AD2245" s="169">
        <v>0.25480000000000003</v>
      </c>
      <c r="AE2245" s="154">
        <f t="shared" si="662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71"/>
        <v>41443303.53761062</v>
      </c>
      <c r="AJ2245" s="19">
        <f t="shared" si="672"/>
        <v>6194988.76643031</v>
      </c>
      <c r="AK2245" s="20">
        <f t="shared" si="663"/>
        <v>0.1494810557466355</v>
      </c>
      <c r="AL2245" s="17"/>
      <c r="AM2245" s="17"/>
      <c r="AN2245" s="17"/>
      <c r="AO2245" s="17"/>
      <c r="AP2245" s="28" t="str">
        <f t="shared" si="664"/>
        <v>20217</v>
      </c>
      <c r="AQ2245" s="28" t="str">
        <f t="shared" si="665"/>
        <v>20217RMB</v>
      </c>
      <c r="AR2245" s="206" t="str">
        <f t="shared" si="666"/>
        <v>HELLER</v>
      </c>
      <c r="AS2245" s="22">
        <f t="shared" si="667"/>
        <v>2</v>
      </c>
      <c r="AT2245" s="24" t="str">
        <f t="shared" si="668"/>
        <v>0-3 months</v>
      </c>
    </row>
    <row r="2246" spans="1:46" s="12" customFormat="1">
      <c r="A2246" s="33" t="str">
        <f t="shared" si="656"/>
        <v>FY 23/24</v>
      </c>
      <c r="B2246" s="23">
        <v>2024</v>
      </c>
      <c r="C2246" s="152">
        <v>3</v>
      </c>
      <c r="D2246" s="33" t="str">
        <f t="shared" si="657"/>
        <v>Q4</v>
      </c>
      <c r="E2246" s="33" t="str">
        <f t="shared" ref="E2246:E2251" si="673">IF(G2246="Cancel","Cancel",IF(G2246="TBA","TBA",IFERROR(IF(I2246="Q4","FY "&amp;RIGHT(F2246,2)-1&amp;"/"&amp;RIGHT(F2246,2),"FY "&amp;RIGHT(F2246,2)&amp;"/"&amp;RIGHT(F2246,2)+1),"")))</f>
        <v>FY 24/25</v>
      </c>
      <c r="F2246" s="23">
        <v>2024</v>
      </c>
      <c r="G2246" s="23">
        <v>4</v>
      </c>
      <c r="H2246" s="29"/>
      <c r="I2246" s="33" t="str">
        <f t="shared" si="658"/>
        <v>Q1</v>
      </c>
      <c r="J2246" s="188" t="s">
        <v>3353</v>
      </c>
      <c r="K2246" s="29" t="s">
        <v>1215</v>
      </c>
      <c r="L2246" s="17" t="s">
        <v>3354</v>
      </c>
      <c r="M2246" s="22" t="s">
        <v>3358</v>
      </c>
      <c r="N2246" s="22">
        <v>1</v>
      </c>
      <c r="O2246" s="22"/>
      <c r="P2246" s="33" t="str">
        <f t="shared" si="659"/>
        <v>MAIN UNIT</v>
      </c>
      <c r="Q2246" s="13" t="s">
        <v>62</v>
      </c>
      <c r="R2246" s="22" t="s">
        <v>2056</v>
      </c>
      <c r="S2246" s="22" t="s">
        <v>50</v>
      </c>
      <c r="T2246" s="22" t="s">
        <v>79</v>
      </c>
      <c r="U2246" s="22" t="s">
        <v>247</v>
      </c>
      <c r="V2246" s="22" t="s">
        <v>2058</v>
      </c>
      <c r="W2246" s="22" t="s">
        <v>65</v>
      </c>
      <c r="X2246" s="30">
        <v>502000</v>
      </c>
      <c r="Y2246" s="31" t="str">
        <f t="shared" ref="Y2246:Y2253" si="674">IF(W2246="","",IF(W2246="RMB","1.13", "1"))</f>
        <v>1.13</v>
      </c>
      <c r="Z2246" s="18">
        <f t="shared" si="670"/>
        <v>502000</v>
      </c>
      <c r="AA2246" s="22">
        <v>1.083</v>
      </c>
      <c r="AB2246" s="21">
        <f t="shared" si="660"/>
        <v>481120.35398230091</v>
      </c>
      <c r="AC2246" s="25">
        <f t="shared" si="661"/>
        <v>125043.18000000001</v>
      </c>
      <c r="AD2246" s="169">
        <v>0.25990000000000002</v>
      </c>
      <c r="AE2246" s="26">
        <f t="shared" si="662"/>
        <v>0</v>
      </c>
      <c r="AF2246" s="26" t="str">
        <f>IF(AND(COUNTIFS($J$18:J2246,J2246)=1,AE2246=1),1,"")</f>
        <v/>
      </c>
      <c r="AG2246" s="26">
        <f>IF(C2246="","",IF(AND(COUNTIFS($J$18:J2246,J2246)=1,C2246&lt;&gt;""),1,""))</f>
        <v>1</v>
      </c>
      <c r="AH2246" s="26">
        <f>IF(G2246="","",IF(AND(COUNTIFS($J$18:J2246,J2246)=1,G2246&lt;&gt;""),1,""))</f>
        <v>1</v>
      </c>
      <c r="AI2246" s="27">
        <f t="shared" si="671"/>
        <v>20319282.700884953</v>
      </c>
      <c r="AJ2246" s="27">
        <f t="shared" si="672"/>
        <v>2408851.9638623013</v>
      </c>
      <c r="AK2246" s="28">
        <f t="shared" si="663"/>
        <v>0.11855004919821259</v>
      </c>
      <c r="AL2246" s="24"/>
      <c r="AM2246" s="24"/>
      <c r="AN2246" s="24"/>
      <c r="AO2246" s="24"/>
      <c r="AP2246" s="28" t="str">
        <f t="shared" si="664"/>
        <v>20244</v>
      </c>
      <c r="AQ2246" s="28" t="str">
        <f t="shared" si="665"/>
        <v>20244RMB</v>
      </c>
      <c r="AR2246" s="206" t="str">
        <f t="shared" si="666"/>
        <v>HELLER</v>
      </c>
      <c r="AS2246" s="22">
        <f t="shared" si="667"/>
        <v>1</v>
      </c>
      <c r="AT2246" s="24" t="str">
        <f t="shared" si="668"/>
        <v>0-3 months</v>
      </c>
    </row>
    <row r="2247" spans="1:46" s="12" customFormat="1">
      <c r="A2247" s="33" t="str">
        <f t="shared" si="656"/>
        <v>FY 23/24</v>
      </c>
      <c r="B2247" s="23">
        <v>2024</v>
      </c>
      <c r="C2247" s="152">
        <v>3</v>
      </c>
      <c r="D2247" s="33" t="str">
        <f t="shared" si="657"/>
        <v>Q4</v>
      </c>
      <c r="E2247" s="33" t="str">
        <f t="shared" si="673"/>
        <v>FY 24/25</v>
      </c>
      <c r="F2247" s="23">
        <v>2024</v>
      </c>
      <c r="G2247" s="23">
        <v>4</v>
      </c>
      <c r="H2247" s="29"/>
      <c r="I2247" s="33" t="str">
        <f t="shared" si="658"/>
        <v>Q1</v>
      </c>
      <c r="J2247" s="188" t="s">
        <v>3355</v>
      </c>
      <c r="K2247" s="29" t="s">
        <v>1215</v>
      </c>
      <c r="L2247" s="17" t="s">
        <v>93</v>
      </c>
      <c r="M2247" s="22" t="s">
        <v>61</v>
      </c>
      <c r="N2247" s="22">
        <v>1</v>
      </c>
      <c r="O2247" s="22"/>
      <c r="P2247" s="33" t="str">
        <f t="shared" si="659"/>
        <v>MAIN UNIT</v>
      </c>
      <c r="Q2247" s="13" t="s">
        <v>62</v>
      </c>
      <c r="R2247" s="22" t="s">
        <v>63</v>
      </c>
      <c r="S2247" s="22" t="s">
        <v>50</v>
      </c>
      <c r="T2247" s="22" t="s">
        <v>79</v>
      </c>
      <c r="U2247" s="22" t="s">
        <v>79</v>
      </c>
      <c r="V2247" s="22" t="s">
        <v>132</v>
      </c>
      <c r="W2247" s="22" t="s">
        <v>65</v>
      </c>
      <c r="X2247" s="30">
        <v>854000</v>
      </c>
      <c r="Y2247" s="31" t="str">
        <f t="shared" si="674"/>
        <v>1.13</v>
      </c>
      <c r="Z2247" s="18">
        <f t="shared" si="670"/>
        <v>854000</v>
      </c>
      <c r="AA2247" s="22">
        <v>1.083</v>
      </c>
      <c r="AB2247" s="21">
        <f t="shared" si="660"/>
        <v>818479.64601769915</v>
      </c>
      <c r="AC2247" s="25">
        <f t="shared" si="661"/>
        <v>122935.64283185841</v>
      </c>
      <c r="AD2247" s="169">
        <v>0.1502</v>
      </c>
      <c r="AE2247" s="26">
        <f t="shared" si="662"/>
        <v>0</v>
      </c>
      <c r="AF2247" s="26" t="str">
        <f>IF(AND(COUNTIFS($J$18:J2247,J2247)=1,AE2247=1),1,"")</f>
        <v/>
      </c>
      <c r="AG2247" s="26">
        <f>IF(C2247="","",IF(AND(COUNTIFS($J$18:J2247,J2247)=1,C2247&lt;&gt;""),1,""))</f>
        <v>1</v>
      </c>
      <c r="AH2247" s="26">
        <f>IF(G2247="","",IF(AND(COUNTIFS($J$18:J2247,J2247)=1,G2247&lt;&gt;""),1,""))</f>
        <v>1</v>
      </c>
      <c r="AI2247" s="27">
        <f t="shared" si="671"/>
        <v>20319282.700884953</v>
      </c>
      <c r="AJ2247" s="27">
        <f t="shared" si="672"/>
        <v>2408851.9638623013</v>
      </c>
      <c r="AK2247" s="28">
        <f t="shared" si="663"/>
        <v>0.11855004919821259</v>
      </c>
      <c r="AL2247" s="24"/>
      <c r="AM2247" s="24"/>
      <c r="AN2247" s="24"/>
      <c r="AO2247" s="24"/>
      <c r="AP2247" s="28" t="str">
        <f t="shared" si="664"/>
        <v>20244</v>
      </c>
      <c r="AQ2247" s="28" t="str">
        <f t="shared" si="665"/>
        <v>20244RMB</v>
      </c>
      <c r="AR2247" s="206" t="str">
        <f t="shared" si="666"/>
        <v>YAMAHA_Mounter</v>
      </c>
      <c r="AS2247" s="22">
        <f t="shared" si="667"/>
        <v>1</v>
      </c>
      <c r="AT2247" s="24" t="str">
        <f t="shared" si="668"/>
        <v>0-3 months</v>
      </c>
    </row>
    <row r="2248" spans="1:46" s="12" customFormat="1">
      <c r="A2248" s="33" t="str">
        <f t="shared" si="656"/>
        <v>FY 23/24</v>
      </c>
      <c r="B2248" s="23">
        <v>2024</v>
      </c>
      <c r="C2248" s="152">
        <v>3</v>
      </c>
      <c r="D2248" s="33" t="str">
        <f t="shared" si="657"/>
        <v>Q4</v>
      </c>
      <c r="E2248" s="33" t="str">
        <f t="shared" si="673"/>
        <v>FY 24/25</v>
      </c>
      <c r="F2248" s="23">
        <v>2024</v>
      </c>
      <c r="G2248" s="23">
        <v>4</v>
      </c>
      <c r="H2248" s="29"/>
      <c r="I2248" s="33" t="str">
        <f t="shared" si="658"/>
        <v>Q1</v>
      </c>
      <c r="J2248" s="188" t="s">
        <v>3355</v>
      </c>
      <c r="K2248" s="29" t="s">
        <v>1215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59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132</v>
      </c>
      <c r="W2248" s="22" t="s">
        <v>65</v>
      </c>
      <c r="X2248" s="30">
        <v>854000</v>
      </c>
      <c r="Y2248" s="31" t="str">
        <f t="shared" si="674"/>
        <v>1.13</v>
      </c>
      <c r="Z2248" s="18">
        <f t="shared" si="670"/>
        <v>854000</v>
      </c>
      <c r="AA2248" s="22">
        <v>1.083</v>
      </c>
      <c r="AB2248" s="21">
        <f t="shared" si="660"/>
        <v>818479.64601769915</v>
      </c>
      <c r="AC2248" s="25">
        <f t="shared" si="661"/>
        <v>122935.64283185841</v>
      </c>
      <c r="AD2248" s="169">
        <v>0.1502</v>
      </c>
      <c r="AE2248" s="26">
        <f t="shared" si="662"/>
        <v>0</v>
      </c>
      <c r="AF2248" s="26" t="str">
        <f>IF(AND(COUNTIFS($J$18:J2248,J2248)=1,AE2248=1),1,"")</f>
        <v/>
      </c>
      <c r="AG2248" s="26" t="str">
        <f>IF(C2248="","",IF(AND(COUNTIFS($J$18:J2248,J2248)=1,C2248&lt;&gt;""),1,""))</f>
        <v/>
      </c>
      <c r="AH2248" s="26" t="str">
        <f>IF(G2248="","",IF(AND(COUNTIFS($J$18:J2248,J2248)=1,G2248&lt;&gt;""),1,""))</f>
        <v/>
      </c>
      <c r="AI2248" s="27">
        <f t="shared" si="671"/>
        <v>20319282.700884953</v>
      </c>
      <c r="AJ2248" s="27">
        <f t="shared" si="672"/>
        <v>2408851.9638623013</v>
      </c>
      <c r="AK2248" s="28">
        <f t="shared" si="663"/>
        <v>0.11855004919821259</v>
      </c>
      <c r="AL2248" s="24"/>
      <c r="AM2248" s="24"/>
      <c r="AN2248" s="24"/>
      <c r="AO2248" s="24"/>
      <c r="AP2248" s="28" t="str">
        <f t="shared" si="664"/>
        <v>20244</v>
      </c>
      <c r="AQ2248" s="28" t="str">
        <f t="shared" si="665"/>
        <v>20244RMB</v>
      </c>
      <c r="AR2248" s="206" t="str">
        <f t="shared" si="666"/>
        <v>YAMAHA_Mounter</v>
      </c>
      <c r="AS2248" s="22">
        <f t="shared" si="667"/>
        <v>1</v>
      </c>
      <c r="AT2248" s="24" t="str">
        <f t="shared" si="668"/>
        <v>0-3 months</v>
      </c>
    </row>
    <row r="2249" spans="1:46" s="12" customFormat="1">
      <c r="A2249" s="33" t="str">
        <f t="shared" si="656"/>
        <v>FY 23/24</v>
      </c>
      <c r="B2249" s="23">
        <v>2024</v>
      </c>
      <c r="C2249" s="152">
        <v>3</v>
      </c>
      <c r="D2249" s="33" t="str">
        <f t="shared" si="657"/>
        <v>Q4</v>
      </c>
      <c r="E2249" s="33" t="str">
        <f t="shared" si="673"/>
        <v>FY 24/25</v>
      </c>
      <c r="F2249" s="23">
        <v>2024</v>
      </c>
      <c r="G2249" s="23">
        <v>4</v>
      </c>
      <c r="H2249" s="29"/>
      <c r="I2249" s="33" t="str">
        <f t="shared" si="658"/>
        <v>Q1</v>
      </c>
      <c r="J2249" s="188" t="s">
        <v>3355</v>
      </c>
      <c r="K2249" s="29" t="s">
        <v>1215</v>
      </c>
      <c r="L2249" s="17" t="s">
        <v>93</v>
      </c>
      <c r="M2249" s="22" t="s">
        <v>61</v>
      </c>
      <c r="N2249" s="22">
        <v>1</v>
      </c>
      <c r="O2249" s="22"/>
      <c r="P2249" s="33" t="str">
        <f t="shared" si="659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132</v>
      </c>
      <c r="W2249" s="22" t="s">
        <v>65</v>
      </c>
      <c r="X2249" s="30">
        <v>854000</v>
      </c>
      <c r="Y2249" s="31" t="str">
        <f t="shared" si="674"/>
        <v>1.13</v>
      </c>
      <c r="Z2249" s="18">
        <f t="shared" si="670"/>
        <v>854000</v>
      </c>
      <c r="AA2249" s="22">
        <v>1.083</v>
      </c>
      <c r="AB2249" s="21">
        <f t="shared" si="660"/>
        <v>818479.64601769915</v>
      </c>
      <c r="AC2249" s="25">
        <f t="shared" si="661"/>
        <v>122935.64283185841</v>
      </c>
      <c r="AD2249" s="169">
        <v>0.1502</v>
      </c>
      <c r="AE2249" s="26">
        <f t="shared" si="662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71"/>
        <v>20319282.700884953</v>
      </c>
      <c r="AJ2249" s="27">
        <f t="shared" si="672"/>
        <v>2408851.9638623013</v>
      </c>
      <c r="AK2249" s="28">
        <f t="shared" si="663"/>
        <v>0.11855004919821259</v>
      </c>
      <c r="AL2249" s="24"/>
      <c r="AM2249" s="24"/>
      <c r="AN2249" s="24"/>
      <c r="AO2249" s="24"/>
      <c r="AP2249" s="28" t="str">
        <f t="shared" si="664"/>
        <v>20244</v>
      </c>
      <c r="AQ2249" s="28" t="str">
        <f t="shared" si="665"/>
        <v>20244RMB</v>
      </c>
      <c r="AR2249" s="206" t="str">
        <f t="shared" si="666"/>
        <v>YAMAHA_Mounter</v>
      </c>
      <c r="AS2249" s="22">
        <f t="shared" si="667"/>
        <v>1</v>
      </c>
      <c r="AT2249" s="24" t="str">
        <f t="shared" si="668"/>
        <v>0-3 months</v>
      </c>
    </row>
    <row r="2250" spans="1:46" s="12" customFormat="1">
      <c r="A2250" s="33" t="str">
        <f t="shared" si="656"/>
        <v>FY 23/24</v>
      </c>
      <c r="B2250" s="23">
        <v>2024</v>
      </c>
      <c r="C2250" s="152">
        <v>3</v>
      </c>
      <c r="D2250" s="33" t="str">
        <f t="shared" si="657"/>
        <v>Q4</v>
      </c>
      <c r="E2250" s="33" t="str">
        <f t="shared" si="673"/>
        <v>FY 24/25</v>
      </c>
      <c r="F2250" s="23">
        <v>2024</v>
      </c>
      <c r="G2250" s="23">
        <v>4</v>
      </c>
      <c r="H2250" s="29"/>
      <c r="I2250" s="33" t="str">
        <f t="shared" si="658"/>
        <v>Q1</v>
      </c>
      <c r="J2250" s="188" t="s">
        <v>3356</v>
      </c>
      <c r="K2250" s="29" t="s">
        <v>1215</v>
      </c>
      <c r="L2250" s="17" t="s">
        <v>3352</v>
      </c>
      <c r="M2250" s="22" t="s">
        <v>61</v>
      </c>
      <c r="N2250" s="22">
        <v>1</v>
      </c>
      <c r="O2250" s="22"/>
      <c r="P2250" s="33" t="str">
        <f t="shared" si="659"/>
        <v>MAIN UNIT</v>
      </c>
      <c r="Q2250" s="13" t="s">
        <v>62</v>
      </c>
      <c r="R2250" s="22" t="s">
        <v>2056</v>
      </c>
      <c r="S2250" s="22" t="s">
        <v>50</v>
      </c>
      <c r="T2250" s="22" t="s">
        <v>79</v>
      </c>
      <c r="U2250" s="22" t="s">
        <v>79</v>
      </c>
      <c r="V2250" s="22" t="s">
        <v>2058</v>
      </c>
      <c r="W2250" s="22" t="s">
        <v>65</v>
      </c>
      <c r="X2250" s="30">
        <v>230000</v>
      </c>
      <c r="Y2250" s="31" t="str">
        <f t="shared" si="674"/>
        <v>1.13</v>
      </c>
      <c r="Z2250" s="18">
        <f t="shared" si="670"/>
        <v>230000</v>
      </c>
      <c r="AA2250" s="22">
        <v>1.083</v>
      </c>
      <c r="AB2250" s="21">
        <f t="shared" si="660"/>
        <v>220433.62831858409</v>
      </c>
      <c r="AC2250" s="25">
        <f t="shared" si="661"/>
        <v>62030.023008849559</v>
      </c>
      <c r="AD2250" s="169">
        <v>0.28139999999999998</v>
      </c>
      <c r="AE2250" s="26">
        <f t="shared" si="662"/>
        <v>0</v>
      </c>
      <c r="AF2250" s="26" t="str">
        <f>IF(AND(COUNTIFS($J$18:J2250,J2250)=1,AE2250=1),1,"")</f>
        <v/>
      </c>
      <c r="AG2250" s="26">
        <f>IF(C2250="","",IF(AND(COUNTIFS($J$18:J2250,J2250)=1,C2250&lt;&gt;""),1,""))</f>
        <v>1</v>
      </c>
      <c r="AH2250" s="26">
        <f>IF(G2250="","",IF(AND(COUNTIFS($J$18:J2250,J2250)=1,G2250&lt;&gt;""),1,""))</f>
        <v>1</v>
      </c>
      <c r="AI2250" s="27">
        <f t="shared" si="671"/>
        <v>20319282.700884953</v>
      </c>
      <c r="AJ2250" s="27">
        <f t="shared" si="672"/>
        <v>2408851.9638623013</v>
      </c>
      <c r="AK2250" s="28">
        <f t="shared" si="663"/>
        <v>0.11855004919821259</v>
      </c>
      <c r="AL2250" s="24"/>
      <c r="AM2250" s="24"/>
      <c r="AN2250" s="24"/>
      <c r="AO2250" s="24"/>
      <c r="AP2250" s="28" t="str">
        <f t="shared" si="664"/>
        <v>20244</v>
      </c>
      <c r="AQ2250" s="28" t="str">
        <f t="shared" si="665"/>
        <v>20244RMB</v>
      </c>
      <c r="AR2250" s="206" t="str">
        <f t="shared" si="666"/>
        <v>YAMAHA_Non_Mounter</v>
      </c>
      <c r="AS2250" s="22">
        <f t="shared" si="667"/>
        <v>1</v>
      </c>
      <c r="AT2250" s="24" t="str">
        <f t="shared" si="668"/>
        <v>0-3 months</v>
      </c>
    </row>
    <row r="2251" spans="1:46" s="12" customFormat="1">
      <c r="A2251" s="33" t="str">
        <f t="shared" si="656"/>
        <v>FY 24/25</v>
      </c>
      <c r="B2251" s="23">
        <v>2024</v>
      </c>
      <c r="C2251" s="152">
        <v>4</v>
      </c>
      <c r="D2251" s="33" t="str">
        <f t="shared" si="657"/>
        <v>Q1</v>
      </c>
      <c r="E2251" s="33" t="str">
        <f t="shared" si="673"/>
        <v>FY 24/25</v>
      </c>
      <c r="F2251" s="23">
        <v>2024</v>
      </c>
      <c r="G2251" s="23">
        <v>7</v>
      </c>
      <c r="H2251" s="29"/>
      <c r="I2251" s="33" t="str">
        <f t="shared" si="658"/>
        <v>Q2</v>
      </c>
      <c r="J2251" s="188" t="s">
        <v>3375</v>
      </c>
      <c r="K2251" s="29" t="s">
        <v>3376</v>
      </c>
      <c r="L2251" s="17" t="s">
        <v>2621</v>
      </c>
      <c r="M2251" s="22" t="s">
        <v>61</v>
      </c>
      <c r="N2251" s="22">
        <v>1</v>
      </c>
      <c r="O2251" s="22"/>
      <c r="P2251" s="33" t="str">
        <f t="shared" si="659"/>
        <v>MAIN UNIT</v>
      </c>
      <c r="Q2251" s="13" t="s">
        <v>62</v>
      </c>
      <c r="R2251" s="22" t="s">
        <v>2056</v>
      </c>
      <c r="S2251" s="22" t="s">
        <v>50</v>
      </c>
      <c r="T2251" s="22" t="s">
        <v>79</v>
      </c>
      <c r="U2251" s="22" t="s">
        <v>79</v>
      </c>
      <c r="V2251" s="22" t="s">
        <v>113</v>
      </c>
      <c r="W2251" s="22" t="s">
        <v>110</v>
      </c>
      <c r="X2251" s="30">
        <v>8976000</v>
      </c>
      <c r="Y2251" s="31" t="str">
        <f t="shared" si="674"/>
        <v>1</v>
      </c>
      <c r="Z2251" s="18">
        <f t="shared" si="670"/>
        <v>8976000</v>
      </c>
      <c r="AA2251" s="22">
        <v>4.9500000000000002E-2</v>
      </c>
      <c r="AB2251" s="21">
        <f t="shared" si="660"/>
        <v>444312</v>
      </c>
      <c r="AC2251" s="25">
        <f t="shared" si="661"/>
        <v>93527.675999999992</v>
      </c>
      <c r="AD2251" s="169">
        <v>0.21049999999999999</v>
      </c>
      <c r="AE2251" s="26">
        <f t="shared" si="662"/>
        <v>0</v>
      </c>
      <c r="AF2251" s="26" t="str">
        <f>IF(AND(COUNTIFS($J$18:J2251,J2251)=1,AE2251=1),1,"")</f>
        <v/>
      </c>
      <c r="AG2251" s="26" t="str">
        <f>IF(C2251="","",IF(AND(COUNTIFS($J$18:J2251,J2251)=1,C2251&lt;&gt;""),1,""))</f>
        <v/>
      </c>
      <c r="AH2251" s="26" t="str">
        <f>IF(G2251="","",IF(AND(COUNTIFS($J$18:J2251,J2251)=1,G2251&lt;&gt;""),1,""))</f>
        <v/>
      </c>
      <c r="AI2251" s="27">
        <f t="shared" si="671"/>
        <v>25458266.694690265</v>
      </c>
      <c r="AJ2251" s="27">
        <f t="shared" si="672"/>
        <v>4116526.778578762</v>
      </c>
      <c r="AK2251" s="28">
        <f t="shared" si="663"/>
        <v>0.16169705612508689</v>
      </c>
      <c r="AL2251" s="24"/>
      <c r="AM2251" s="24"/>
      <c r="AN2251" s="24"/>
      <c r="AO2251" s="24"/>
      <c r="AP2251" s="28" t="str">
        <f t="shared" si="664"/>
        <v>20247</v>
      </c>
      <c r="AQ2251" s="28" t="str">
        <f t="shared" si="665"/>
        <v>20247JPY</v>
      </c>
      <c r="AR2251" s="206" t="str">
        <f t="shared" si="666"/>
        <v>YAMAHA_Non_Mounter</v>
      </c>
      <c r="AS2251" s="22">
        <f t="shared" si="667"/>
        <v>3</v>
      </c>
      <c r="AT2251" s="24" t="str">
        <f t="shared" si="668"/>
        <v>0-3 months</v>
      </c>
    </row>
    <row r="2252" spans="1:46" s="12" customFormat="1">
      <c r="A2252" s="33" t="str">
        <f t="shared" si="656"/>
        <v>FY 24/25</v>
      </c>
      <c r="B2252" s="23">
        <v>2024</v>
      </c>
      <c r="C2252" s="152">
        <v>6</v>
      </c>
      <c r="D2252" s="202" t="str">
        <f t="shared" si="657"/>
        <v>Q1</v>
      </c>
      <c r="E2252" s="33" t="s">
        <v>3173</v>
      </c>
      <c r="F2252" s="152">
        <v>2024</v>
      </c>
      <c r="G2252" s="23">
        <v>7</v>
      </c>
      <c r="H2252" s="29"/>
      <c r="I2252" s="202" t="str">
        <f t="shared" si="658"/>
        <v>Q2</v>
      </c>
      <c r="J2252" s="188" t="s">
        <v>3472</v>
      </c>
      <c r="K2252" s="29" t="s">
        <v>1974</v>
      </c>
      <c r="L2252" s="17" t="s">
        <v>2621</v>
      </c>
      <c r="M2252" s="22" t="s">
        <v>61</v>
      </c>
      <c r="N2252" s="22">
        <v>1</v>
      </c>
      <c r="O2252" s="22"/>
      <c r="P2252" s="33" t="str">
        <f t="shared" si="659"/>
        <v>MAIN UNIT</v>
      </c>
      <c r="Q2252" s="22" t="s">
        <v>62</v>
      </c>
      <c r="R2252" s="22" t="s">
        <v>2056</v>
      </c>
      <c r="S2252" s="22" t="s">
        <v>50</v>
      </c>
      <c r="T2252" s="22" t="s">
        <v>79</v>
      </c>
      <c r="U2252" s="22" t="s">
        <v>79</v>
      </c>
      <c r="V2252" s="22" t="s">
        <v>122</v>
      </c>
      <c r="W2252" s="22" t="s">
        <v>110</v>
      </c>
      <c r="X2252" s="104">
        <v>7800000</v>
      </c>
      <c r="Y2252" s="195" t="str">
        <f t="shared" si="674"/>
        <v>1</v>
      </c>
      <c r="Z2252" s="196">
        <f t="shared" si="670"/>
        <v>7800000</v>
      </c>
      <c r="AA2252" s="22">
        <v>4.9500000000000002E-2</v>
      </c>
      <c r="AB2252" s="197">
        <f t="shared" si="660"/>
        <v>386100</v>
      </c>
      <c r="AC2252" s="198">
        <f t="shared" si="661"/>
        <v>109575.18</v>
      </c>
      <c r="AD2252" s="169">
        <v>0.2838</v>
      </c>
      <c r="AE2252" s="199">
        <f t="shared" si="662"/>
        <v>0</v>
      </c>
      <c r="AF2252" s="199" t="str">
        <f>IF(AND(COUNTIFS($J$18:J2252,J2252)=1,AE2252=1),1,"")</f>
        <v/>
      </c>
      <c r="AG2252" s="199">
        <f>IF(C2252="","",IF(AND(COUNTIFS($J$18:J2252,J2252)=1,C2252&lt;&gt;""),1,""))</f>
        <v>1</v>
      </c>
      <c r="AH2252" s="199">
        <f>IF(G2252="","",IF(AND(COUNTIFS($J$18:J2252,J2252)=1,G2252&lt;&gt;""),1,""))</f>
        <v>1</v>
      </c>
      <c r="AI2252" s="200">
        <f t="shared" si="671"/>
        <v>25458266.694690265</v>
      </c>
      <c r="AJ2252" s="200">
        <f t="shared" si="672"/>
        <v>4116526.778578762</v>
      </c>
      <c r="AK2252" s="201">
        <f t="shared" si="663"/>
        <v>0.16169705612508689</v>
      </c>
      <c r="AL2252" s="24"/>
      <c r="AM2252" s="24"/>
      <c r="AN2252" s="24"/>
      <c r="AO2252" s="24"/>
      <c r="AP2252" s="105" t="str">
        <f t="shared" si="664"/>
        <v>20247</v>
      </c>
      <c r="AQ2252" s="28" t="str">
        <f t="shared" si="665"/>
        <v>20247JPY</v>
      </c>
      <c r="AR2252" s="206" t="str">
        <f t="shared" si="666"/>
        <v>YAMAHA_Non_Mounter</v>
      </c>
      <c r="AS2252" s="22">
        <f t="shared" si="667"/>
        <v>1</v>
      </c>
      <c r="AT2252" s="24" t="str">
        <f t="shared" si="668"/>
        <v>0-3 months</v>
      </c>
    </row>
    <row r="2253" spans="1:46" s="12" customFormat="1">
      <c r="A2253" s="33" t="str">
        <f t="shared" si="656"/>
        <v>FY 24/25</v>
      </c>
      <c r="B2253" s="23">
        <v>2024</v>
      </c>
      <c r="C2253" s="152">
        <v>6</v>
      </c>
      <c r="D2253" s="202" t="str">
        <f t="shared" si="657"/>
        <v>Q1</v>
      </c>
      <c r="E2253" s="33" t="s">
        <v>3173</v>
      </c>
      <c r="F2253" s="152">
        <v>2024</v>
      </c>
      <c r="G2253" s="23">
        <v>7</v>
      </c>
      <c r="H2253" s="29"/>
      <c r="I2253" s="202" t="str">
        <f t="shared" si="658"/>
        <v>Q2</v>
      </c>
      <c r="J2253" s="188" t="s">
        <v>3472</v>
      </c>
      <c r="K2253" s="29" t="s">
        <v>1974</v>
      </c>
      <c r="L2253" s="17" t="s">
        <v>2621</v>
      </c>
      <c r="M2253" s="22" t="s">
        <v>61</v>
      </c>
      <c r="N2253" s="22">
        <v>1</v>
      </c>
      <c r="O2253" s="22"/>
      <c r="P2253" s="33" t="str">
        <f t="shared" si="659"/>
        <v>MAIN UNIT</v>
      </c>
      <c r="Q2253" s="22" t="s">
        <v>62</v>
      </c>
      <c r="R2253" s="22" t="s">
        <v>2056</v>
      </c>
      <c r="S2253" s="22" t="s">
        <v>50</v>
      </c>
      <c r="T2253" s="22" t="s">
        <v>79</v>
      </c>
      <c r="U2253" s="22" t="s">
        <v>79</v>
      </c>
      <c r="V2253" s="22" t="s">
        <v>122</v>
      </c>
      <c r="W2253" s="22" t="s">
        <v>110</v>
      </c>
      <c r="X2253" s="104">
        <v>7800000</v>
      </c>
      <c r="Y2253" s="195" t="str">
        <f t="shared" si="674"/>
        <v>1</v>
      </c>
      <c r="Z2253" s="196">
        <f t="shared" si="670"/>
        <v>7800000</v>
      </c>
      <c r="AA2253" s="22">
        <v>4.9500000000000002E-2</v>
      </c>
      <c r="AB2253" s="197">
        <f t="shared" si="660"/>
        <v>386100</v>
      </c>
      <c r="AC2253" s="198">
        <f t="shared" si="661"/>
        <v>109575.18</v>
      </c>
      <c r="AD2253" s="169">
        <v>0.2838</v>
      </c>
      <c r="AE2253" s="199">
        <f t="shared" si="662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71"/>
        <v>25458266.694690265</v>
      </c>
      <c r="AJ2253" s="200">
        <f t="shared" si="672"/>
        <v>4116526.778578762</v>
      </c>
      <c r="AK2253" s="201">
        <f t="shared" si="663"/>
        <v>0.16169705612508689</v>
      </c>
      <c r="AL2253" s="24"/>
      <c r="AM2253" s="24"/>
      <c r="AN2253" s="24"/>
      <c r="AO2253" s="24"/>
      <c r="AP2253" s="105" t="str">
        <f t="shared" si="664"/>
        <v>20247</v>
      </c>
      <c r="AQ2253" s="28" t="str">
        <f t="shared" si="665"/>
        <v>20247JPY</v>
      </c>
      <c r="AR2253" s="206" t="str">
        <f t="shared" si="666"/>
        <v>YAMAHA_Non_Mounter</v>
      </c>
      <c r="AS2253" s="22">
        <f t="shared" si="667"/>
        <v>1</v>
      </c>
      <c r="AT2253" s="24" t="str">
        <f t="shared" si="668"/>
        <v>0-3 months</v>
      </c>
    </row>
    <row r="2254" spans="1:46" s="12" customFormat="1">
      <c r="A2254" s="33" t="str">
        <f t="shared" si="656"/>
        <v>FY 23/24</v>
      </c>
      <c r="B2254" s="152">
        <v>2023</v>
      </c>
      <c r="C2254" s="152">
        <v>6</v>
      </c>
      <c r="D2254" s="33" t="str">
        <f t="shared" si="657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58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si="659"/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6">IF(W2254="RMB","1.13", "1")</f>
        <v>1</v>
      </c>
      <c r="Z2254" s="18">
        <f t="shared" si="670"/>
        <v>7960000</v>
      </c>
      <c r="AA2254" s="13">
        <v>5.3100000000000001E-2</v>
      </c>
      <c r="AB2254" s="21">
        <f t="shared" si="660"/>
        <v>422676</v>
      </c>
      <c r="AC2254" s="130">
        <f t="shared" si="661"/>
        <v>65345.709599999995</v>
      </c>
      <c r="AD2254" s="212">
        <v>0.15459999999999999</v>
      </c>
      <c r="AE2254" s="154">
        <f t="shared" si="662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71"/>
        <v>21194662.454867262</v>
      </c>
      <c r="AJ2254" s="19">
        <f t="shared" si="672"/>
        <v>2981431.5970757701</v>
      </c>
      <c r="AK2254" s="20">
        <f t="shared" si="663"/>
        <v>0.14066898226968919</v>
      </c>
      <c r="AL2254" s="17"/>
      <c r="AM2254" s="17"/>
      <c r="AN2254" s="17"/>
      <c r="AO2254" s="17"/>
      <c r="AP2254" s="28" t="str">
        <f t="shared" si="664"/>
        <v>20243</v>
      </c>
      <c r="AQ2254" s="28" t="str">
        <f t="shared" si="665"/>
        <v>20243JPY</v>
      </c>
      <c r="AR2254" s="206" t="str">
        <f t="shared" si="666"/>
        <v>YAMAHA_Mounter</v>
      </c>
      <c r="AS2254" s="22">
        <f t="shared" si="667"/>
        <v>9</v>
      </c>
      <c r="AT2254" s="24" t="str">
        <f t="shared" si="668"/>
        <v>&gt; 6 months</v>
      </c>
    </row>
    <row r="2255" spans="1:46" s="12" customFormat="1">
      <c r="A2255" s="33" t="str">
        <f t="shared" si="656"/>
        <v>FY 23/24</v>
      </c>
      <c r="B2255" s="152">
        <v>2023</v>
      </c>
      <c r="C2255" s="152">
        <v>6</v>
      </c>
      <c r="D2255" s="33" t="str">
        <f t="shared" si="657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58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59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6"/>
        <v>1</v>
      </c>
      <c r="Z2255" s="18">
        <f t="shared" si="670"/>
        <v>7960000</v>
      </c>
      <c r="AA2255" s="13">
        <v>5.3100000000000001E-2</v>
      </c>
      <c r="AB2255" s="21">
        <f t="shared" si="660"/>
        <v>422676</v>
      </c>
      <c r="AC2255" s="130">
        <f t="shared" si="661"/>
        <v>65345.709599999995</v>
      </c>
      <c r="AD2255" s="162">
        <v>0.15459999999999999</v>
      </c>
      <c r="AE2255" s="154">
        <f t="shared" si="662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71"/>
        <v>21194662.454867262</v>
      </c>
      <c r="AJ2255" s="19">
        <f t="shared" si="672"/>
        <v>2981431.5970757701</v>
      </c>
      <c r="AK2255" s="20">
        <f t="shared" si="663"/>
        <v>0.14066898226968919</v>
      </c>
      <c r="AL2255" s="17"/>
      <c r="AM2255" s="17"/>
      <c r="AN2255" s="17"/>
      <c r="AO2255" s="17"/>
      <c r="AP2255" s="28" t="str">
        <f t="shared" si="664"/>
        <v>20243</v>
      </c>
      <c r="AQ2255" s="28" t="str">
        <f t="shared" si="665"/>
        <v>20243JPY</v>
      </c>
      <c r="AR2255" s="206" t="str">
        <f t="shared" si="666"/>
        <v>YAMAHA_Mounter</v>
      </c>
      <c r="AS2255" s="22">
        <f t="shared" si="667"/>
        <v>9</v>
      </c>
      <c r="AT2255" s="24" t="str">
        <f t="shared" si="668"/>
        <v>&gt; 6 months</v>
      </c>
    </row>
    <row r="2256" spans="1:46" s="12" customFormat="1">
      <c r="A2256" s="33" t="str">
        <f t="shared" si="656"/>
        <v>FY 23/24</v>
      </c>
      <c r="B2256" s="152">
        <v>2023</v>
      </c>
      <c r="C2256" s="152">
        <v>6</v>
      </c>
      <c r="D2256" s="33" t="str">
        <f t="shared" si="657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58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59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6"/>
        <v>1</v>
      </c>
      <c r="Z2256" s="18">
        <f t="shared" si="670"/>
        <v>7960000</v>
      </c>
      <c r="AA2256" s="13">
        <v>5.3100000000000001E-2</v>
      </c>
      <c r="AB2256" s="21">
        <f t="shared" si="660"/>
        <v>422676</v>
      </c>
      <c r="AC2256" s="130">
        <f t="shared" si="661"/>
        <v>65345.709599999995</v>
      </c>
      <c r="AD2256" s="162">
        <v>0.15459999999999999</v>
      </c>
      <c r="AE2256" s="154">
        <f t="shared" si="662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71"/>
        <v>21194662.454867262</v>
      </c>
      <c r="AJ2256" s="19">
        <f t="shared" si="672"/>
        <v>2981431.5970757701</v>
      </c>
      <c r="AK2256" s="20">
        <f t="shared" si="663"/>
        <v>0.14066898226968919</v>
      </c>
      <c r="AL2256" s="17"/>
      <c r="AM2256" s="17"/>
      <c r="AN2256" s="17"/>
      <c r="AO2256" s="17"/>
      <c r="AP2256" s="28" t="str">
        <f t="shared" si="664"/>
        <v>20243</v>
      </c>
      <c r="AQ2256" s="28" t="str">
        <f t="shared" si="665"/>
        <v>20243JPY</v>
      </c>
      <c r="AR2256" s="206" t="str">
        <f t="shared" si="666"/>
        <v>YAMAHA_Mounter</v>
      </c>
      <c r="AS2256" s="22">
        <f t="shared" si="667"/>
        <v>9</v>
      </c>
      <c r="AT2256" s="24" t="str">
        <f t="shared" si="668"/>
        <v>&gt; 6 months</v>
      </c>
    </row>
    <row r="2257" spans="1:46" s="12" customFormat="1">
      <c r="A2257" s="33" t="str">
        <f t="shared" si="656"/>
        <v>FY 23/24</v>
      </c>
      <c r="B2257" s="152">
        <v>2023</v>
      </c>
      <c r="C2257" s="152">
        <v>6</v>
      </c>
      <c r="D2257" s="33" t="str">
        <f t="shared" si="657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58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59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6"/>
        <v>1</v>
      </c>
      <c r="Z2257" s="18">
        <f t="shared" si="670"/>
        <v>7960000</v>
      </c>
      <c r="AA2257" s="13">
        <v>5.3100000000000001E-2</v>
      </c>
      <c r="AB2257" s="21">
        <f t="shared" si="660"/>
        <v>422676</v>
      </c>
      <c r="AC2257" s="130">
        <f t="shared" si="661"/>
        <v>65345.709599999995</v>
      </c>
      <c r="AD2257" s="162">
        <v>0.15459999999999999</v>
      </c>
      <c r="AE2257" s="154">
        <f t="shared" si="662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71"/>
        <v>21194662.454867262</v>
      </c>
      <c r="AJ2257" s="19">
        <f t="shared" si="672"/>
        <v>2981431.5970757701</v>
      </c>
      <c r="AK2257" s="20">
        <f t="shared" si="663"/>
        <v>0.14066898226968919</v>
      </c>
      <c r="AL2257" s="17"/>
      <c r="AM2257" s="17"/>
      <c r="AN2257" s="17"/>
      <c r="AO2257" s="17"/>
      <c r="AP2257" s="28" t="str">
        <f t="shared" si="664"/>
        <v>20243</v>
      </c>
      <c r="AQ2257" s="28" t="str">
        <f t="shared" si="665"/>
        <v>20243JPY</v>
      </c>
      <c r="AR2257" s="206" t="str">
        <f t="shared" si="666"/>
        <v>YAMAHA_Mounter</v>
      </c>
      <c r="AS2257" s="22">
        <f t="shared" si="667"/>
        <v>9</v>
      </c>
      <c r="AT2257" s="24" t="str">
        <f t="shared" si="668"/>
        <v>&gt; 6 months</v>
      </c>
    </row>
    <row r="2258" spans="1:46" s="12" customFormat="1">
      <c r="A2258" s="33" t="str">
        <f t="shared" si="656"/>
        <v>FY 23/24</v>
      </c>
      <c r="B2258" s="152">
        <v>2023</v>
      </c>
      <c r="C2258" s="152">
        <v>6</v>
      </c>
      <c r="D2258" s="33" t="str">
        <f t="shared" si="657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58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59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6"/>
        <v>1</v>
      </c>
      <c r="Z2258" s="18">
        <f t="shared" si="670"/>
        <v>7960000</v>
      </c>
      <c r="AA2258" s="13">
        <v>5.3100000000000001E-2</v>
      </c>
      <c r="AB2258" s="21">
        <f t="shared" si="660"/>
        <v>422676</v>
      </c>
      <c r="AC2258" s="130">
        <f t="shared" si="661"/>
        <v>65345.709599999995</v>
      </c>
      <c r="AD2258" s="162">
        <v>0.15459999999999999</v>
      </c>
      <c r="AE2258" s="154">
        <f t="shared" si="662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71"/>
        <v>21194662.454867262</v>
      </c>
      <c r="AJ2258" s="19">
        <f t="shared" si="672"/>
        <v>2981431.5970757701</v>
      </c>
      <c r="AK2258" s="20">
        <f t="shared" si="663"/>
        <v>0.14066898226968919</v>
      </c>
      <c r="AL2258" s="17"/>
      <c r="AM2258" s="17"/>
      <c r="AN2258" s="17"/>
      <c r="AO2258" s="17"/>
      <c r="AP2258" s="28" t="str">
        <f t="shared" si="664"/>
        <v>20243</v>
      </c>
      <c r="AQ2258" s="28" t="str">
        <f t="shared" si="665"/>
        <v>20243JPY</v>
      </c>
      <c r="AR2258" s="206" t="str">
        <f t="shared" si="666"/>
        <v>YAMAHA_Mounter</v>
      </c>
      <c r="AS2258" s="22">
        <f t="shared" si="667"/>
        <v>9</v>
      </c>
      <c r="AT2258" s="24" t="str">
        <f t="shared" si="668"/>
        <v>&gt; 6 months</v>
      </c>
    </row>
    <row r="2259" spans="1:46" s="12" customFormat="1">
      <c r="A2259" s="33" t="str">
        <f t="shared" si="656"/>
        <v>FY 23/24</v>
      </c>
      <c r="B2259" s="152">
        <v>2023</v>
      </c>
      <c r="C2259" s="152">
        <v>6</v>
      </c>
      <c r="D2259" s="33" t="str">
        <f t="shared" si="657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58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59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6"/>
        <v>1</v>
      </c>
      <c r="Z2259" s="18">
        <f t="shared" si="670"/>
        <v>7960000</v>
      </c>
      <c r="AA2259" s="13">
        <v>5.3100000000000001E-2</v>
      </c>
      <c r="AB2259" s="21">
        <f t="shared" si="660"/>
        <v>422676</v>
      </c>
      <c r="AC2259" s="130">
        <f t="shared" si="661"/>
        <v>65345.709599999995</v>
      </c>
      <c r="AD2259" s="162">
        <v>0.15459999999999999</v>
      </c>
      <c r="AE2259" s="154">
        <f t="shared" si="662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71"/>
        <v>21194662.454867262</v>
      </c>
      <c r="AJ2259" s="19">
        <f t="shared" si="672"/>
        <v>2981431.5970757701</v>
      </c>
      <c r="AK2259" s="20">
        <f t="shared" si="663"/>
        <v>0.14066898226968919</v>
      </c>
      <c r="AL2259" s="17"/>
      <c r="AM2259" s="17"/>
      <c r="AN2259" s="17"/>
      <c r="AO2259" s="17"/>
      <c r="AP2259" s="28" t="str">
        <f t="shared" si="664"/>
        <v>20243</v>
      </c>
      <c r="AQ2259" s="28" t="str">
        <f t="shared" si="665"/>
        <v>20243JPY</v>
      </c>
      <c r="AR2259" s="206" t="str">
        <f t="shared" si="666"/>
        <v>YAMAHA_Mounter</v>
      </c>
      <c r="AS2259" s="22">
        <f t="shared" si="667"/>
        <v>9</v>
      </c>
      <c r="AT2259" s="24" t="str">
        <f t="shared" si="668"/>
        <v>&gt; 6 months</v>
      </c>
    </row>
    <row r="2260" spans="1:46" s="12" customFormat="1">
      <c r="A2260" s="33" t="str">
        <f t="shared" si="656"/>
        <v>FY 24/25</v>
      </c>
      <c r="B2260" s="23">
        <v>2024</v>
      </c>
      <c r="C2260" s="152">
        <v>5</v>
      </c>
      <c r="D2260" s="202" t="str">
        <f t="shared" si="657"/>
        <v>Q1</v>
      </c>
      <c r="E2260" s="33" t="s">
        <v>3173</v>
      </c>
      <c r="F2260" s="152">
        <v>2024</v>
      </c>
      <c r="G2260" s="23">
        <v>7</v>
      </c>
      <c r="H2260" s="29"/>
      <c r="I2260" s="202" t="str">
        <f t="shared" si="658"/>
        <v>Q2</v>
      </c>
      <c r="J2260" s="188" t="s">
        <v>3451</v>
      </c>
      <c r="K2260" s="29" t="s">
        <v>3457</v>
      </c>
      <c r="L2260" s="17" t="s">
        <v>93</v>
      </c>
      <c r="M2260" s="22" t="s">
        <v>61</v>
      </c>
      <c r="N2260" s="22">
        <v>1</v>
      </c>
      <c r="O2260" s="22"/>
      <c r="P2260" s="33" t="str">
        <f t="shared" si="659"/>
        <v>MAIN UNIT</v>
      </c>
      <c r="Q2260" s="22" t="s">
        <v>69</v>
      </c>
      <c r="R2260" s="22" t="s">
        <v>63</v>
      </c>
      <c r="S2260" s="22" t="s">
        <v>51</v>
      </c>
      <c r="T2260" s="22" t="s">
        <v>89</v>
      </c>
      <c r="U2260" s="22" t="s">
        <v>71</v>
      </c>
      <c r="V2260" s="22" t="s">
        <v>1401</v>
      </c>
      <c r="W2260" s="22" t="s">
        <v>65</v>
      </c>
      <c r="X2260" s="104">
        <v>643000</v>
      </c>
      <c r="Y2260" s="195" t="str">
        <f>IF(W2260="","",IF(W2260="RMB","1.13", "1"))</f>
        <v>1.13</v>
      </c>
      <c r="Z2260" s="196">
        <f t="shared" si="670"/>
        <v>643000</v>
      </c>
      <c r="AA2260" s="22">
        <v>1.075</v>
      </c>
      <c r="AB2260" s="197">
        <f t="shared" si="660"/>
        <v>611703.53982300893</v>
      </c>
      <c r="AC2260" s="198">
        <f t="shared" si="661"/>
        <v>127784.86946902657</v>
      </c>
      <c r="AD2260" s="169">
        <v>0.2089</v>
      </c>
      <c r="AE2260" s="199">
        <f t="shared" si="662"/>
        <v>1</v>
      </c>
      <c r="AF2260" s="199">
        <f>IF(AND(COUNTIFS($J$18:J2260,J2260)=1,AE2260=1),1,"")</f>
        <v>1</v>
      </c>
      <c r="AG2260" s="199">
        <f>IF(C2260="","",IF(AND(COUNTIFS($J$18:J2260,J2260)=1,C2260&lt;&gt;""),1,""))</f>
        <v>1</v>
      </c>
      <c r="AH2260" s="199">
        <f>IF(G2260="","",IF(AND(COUNTIFS($J$18:J2260,J2260)=1,G2260&lt;&gt;""),1,""))</f>
        <v>1</v>
      </c>
      <c r="AI2260" s="200">
        <f t="shared" si="671"/>
        <v>25458266.694690265</v>
      </c>
      <c r="AJ2260" s="200">
        <f t="shared" si="672"/>
        <v>4116526.778578762</v>
      </c>
      <c r="AK2260" s="201">
        <f t="shared" si="663"/>
        <v>0.16169705612508689</v>
      </c>
      <c r="AL2260" s="24"/>
      <c r="AM2260" s="24"/>
      <c r="AN2260" s="24"/>
      <c r="AO2260" s="24"/>
      <c r="AP2260" s="105" t="str">
        <f t="shared" si="664"/>
        <v>20247</v>
      </c>
      <c r="AQ2260" s="28" t="str">
        <f t="shared" si="665"/>
        <v>20247RMB</v>
      </c>
      <c r="AR2260" s="206" t="str">
        <f t="shared" si="666"/>
        <v>YAMAHA_Mounter</v>
      </c>
      <c r="AS2260" s="22">
        <f t="shared" si="667"/>
        <v>2</v>
      </c>
      <c r="AT2260" s="24" t="str">
        <f t="shared" si="668"/>
        <v>0-3 months</v>
      </c>
    </row>
    <row r="2261" spans="1:46" s="12" customFormat="1">
      <c r="A2261" s="33" t="str">
        <f t="shared" si="656"/>
        <v>FY 24/25</v>
      </c>
      <c r="B2261" s="23">
        <v>2024</v>
      </c>
      <c r="C2261" s="152">
        <v>5</v>
      </c>
      <c r="D2261" s="202" t="str">
        <f t="shared" si="657"/>
        <v>Q1</v>
      </c>
      <c r="E2261" s="33" t="s">
        <v>3173</v>
      </c>
      <c r="F2261" s="152">
        <v>2024</v>
      </c>
      <c r="G2261" s="23">
        <v>7</v>
      </c>
      <c r="H2261" s="29"/>
      <c r="I2261" s="202" t="str">
        <f t="shared" si="658"/>
        <v>Q2</v>
      </c>
      <c r="J2261" s="188" t="s">
        <v>3451</v>
      </c>
      <c r="K2261" s="29" t="s">
        <v>3457</v>
      </c>
      <c r="L2261" s="17" t="s">
        <v>68</v>
      </c>
      <c r="M2261" s="22" t="s">
        <v>61</v>
      </c>
      <c r="N2261" s="22">
        <v>1</v>
      </c>
      <c r="O2261" s="22"/>
      <c r="P2261" s="33" t="str">
        <f t="shared" si="659"/>
        <v>MAIN UNIT</v>
      </c>
      <c r="Q2261" s="22" t="s">
        <v>69</v>
      </c>
      <c r="R2261" s="22" t="s">
        <v>63</v>
      </c>
      <c r="S2261" s="22" t="s">
        <v>51</v>
      </c>
      <c r="T2261" s="22" t="s">
        <v>89</v>
      </c>
      <c r="U2261" s="22" t="s">
        <v>71</v>
      </c>
      <c r="V2261" s="22" t="s">
        <v>1401</v>
      </c>
      <c r="W2261" s="22" t="s">
        <v>65</v>
      </c>
      <c r="X2261" s="104">
        <v>643000</v>
      </c>
      <c r="Y2261" s="195" t="str">
        <f>IF(W2261="","",IF(W2261="RMB","1.13", "1"))</f>
        <v>1.13</v>
      </c>
      <c r="Z2261" s="196">
        <f t="shared" si="670"/>
        <v>643000</v>
      </c>
      <c r="AA2261" s="22">
        <v>1.075</v>
      </c>
      <c r="AB2261" s="197">
        <f t="shared" si="660"/>
        <v>611703.53982300893</v>
      </c>
      <c r="AC2261" s="198">
        <f t="shared" si="661"/>
        <v>127784.86946902657</v>
      </c>
      <c r="AD2261" s="169">
        <v>0.2089</v>
      </c>
      <c r="AE2261" s="199">
        <f t="shared" si="662"/>
        <v>1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71"/>
        <v>25458266.694690265</v>
      </c>
      <c r="AJ2261" s="200">
        <f t="shared" si="672"/>
        <v>4116526.778578762</v>
      </c>
      <c r="AK2261" s="201">
        <f t="shared" si="663"/>
        <v>0.16169705612508689</v>
      </c>
      <c r="AL2261" s="24"/>
      <c r="AM2261" s="24"/>
      <c r="AN2261" s="24"/>
      <c r="AO2261" s="24"/>
      <c r="AP2261" s="105" t="str">
        <f t="shared" si="664"/>
        <v>20247</v>
      </c>
      <c r="AQ2261" s="28" t="str">
        <f t="shared" si="665"/>
        <v>20247RMB</v>
      </c>
      <c r="AR2261" s="206" t="str">
        <f t="shared" si="666"/>
        <v>YAMAHA_Mounter</v>
      </c>
      <c r="AS2261" s="22">
        <f t="shared" si="667"/>
        <v>2</v>
      </c>
      <c r="AT2261" s="24" t="str">
        <f t="shared" si="668"/>
        <v>0-3 months</v>
      </c>
    </row>
    <row r="2262" spans="1:46" s="12" customFormat="1">
      <c r="A2262" s="33" t="str">
        <f t="shared" si="656"/>
        <v>FY 24/25</v>
      </c>
      <c r="B2262" s="23">
        <v>2024</v>
      </c>
      <c r="C2262" s="152">
        <v>5</v>
      </c>
      <c r="D2262" s="202" t="str">
        <f t="shared" si="657"/>
        <v>Q1</v>
      </c>
      <c r="E2262" s="33" t="s">
        <v>3173</v>
      </c>
      <c r="F2262" s="152">
        <v>2024</v>
      </c>
      <c r="G2262" s="23">
        <v>7</v>
      </c>
      <c r="H2262" s="29"/>
      <c r="I2262" s="202" t="str">
        <f t="shared" si="658"/>
        <v>Q2</v>
      </c>
      <c r="J2262" s="188" t="s">
        <v>3452</v>
      </c>
      <c r="K2262" s="29" t="s">
        <v>1693</v>
      </c>
      <c r="L2262" s="17" t="s">
        <v>93</v>
      </c>
      <c r="M2262" s="22" t="s">
        <v>61</v>
      </c>
      <c r="N2262" s="22">
        <v>1</v>
      </c>
      <c r="O2262" s="22"/>
      <c r="P2262" s="33" t="str">
        <f t="shared" si="659"/>
        <v>MAIN UNIT</v>
      </c>
      <c r="Q2262" s="22" t="s">
        <v>62</v>
      </c>
      <c r="R2262" s="22" t="s">
        <v>63</v>
      </c>
      <c r="S2262" s="22" t="s">
        <v>51</v>
      </c>
      <c r="T2262" s="22" t="s">
        <v>195</v>
      </c>
      <c r="U2262" s="22" t="s">
        <v>71</v>
      </c>
      <c r="V2262" s="22" t="s">
        <v>95</v>
      </c>
      <c r="W2262" s="22" t="s">
        <v>65</v>
      </c>
      <c r="X2262" s="104">
        <v>630000</v>
      </c>
      <c r="Y2262" s="195" t="str">
        <f>IF(W2262="","",IF(W2262="RMB","1.13", "1"))</f>
        <v>1.13</v>
      </c>
      <c r="Z2262" s="196">
        <f t="shared" si="670"/>
        <v>630000</v>
      </c>
      <c r="AA2262" s="22">
        <v>1.075</v>
      </c>
      <c r="AB2262" s="197">
        <f t="shared" si="660"/>
        <v>599336.2831858407</v>
      </c>
      <c r="AC2262" s="198">
        <f t="shared" si="661"/>
        <v>79711.725663716818</v>
      </c>
      <c r="AD2262" s="169">
        <v>0.13300000000000001</v>
      </c>
      <c r="AE2262" s="199">
        <f t="shared" si="662"/>
        <v>0</v>
      </c>
      <c r="AF2262" s="199" t="str">
        <f>IF(AND(COUNTIFS($J$18:J2262,J2262)=1,AE2262=1),1,"")</f>
        <v/>
      </c>
      <c r="AG2262" s="199" t="str">
        <f>IF(C2262="","",IF(AND(COUNTIFS($J$18:J2262,J2262)=1,C2262&lt;&gt;""),1,""))</f>
        <v/>
      </c>
      <c r="AH2262" s="199" t="str">
        <f>IF(G2262="","",IF(AND(COUNTIFS($J$18:J2262,J2262)=1,G2262&lt;&gt;""),1,""))</f>
        <v/>
      </c>
      <c r="AI2262" s="200">
        <f t="shared" si="671"/>
        <v>25458266.694690265</v>
      </c>
      <c r="AJ2262" s="200">
        <f t="shared" si="672"/>
        <v>4116526.778578762</v>
      </c>
      <c r="AK2262" s="201">
        <f t="shared" si="663"/>
        <v>0.16169705612508689</v>
      </c>
      <c r="AL2262" s="24"/>
      <c r="AM2262" s="24"/>
      <c r="AN2262" s="24"/>
      <c r="AO2262" s="24"/>
      <c r="AP2262" s="105" t="str">
        <f t="shared" si="664"/>
        <v>20247</v>
      </c>
      <c r="AQ2262" s="28" t="str">
        <f t="shared" si="665"/>
        <v>20247RMB</v>
      </c>
      <c r="AR2262" s="206" t="str">
        <f t="shared" si="666"/>
        <v>YAMAHA_Mounter</v>
      </c>
      <c r="AS2262" s="22">
        <f t="shared" si="667"/>
        <v>2</v>
      </c>
      <c r="AT2262" s="24" t="str">
        <f t="shared" si="668"/>
        <v>0-3 months</v>
      </c>
    </row>
    <row r="2263" spans="1:46" s="12" customFormat="1">
      <c r="A2263" s="33" t="str">
        <f t="shared" si="656"/>
        <v>FY 24/25</v>
      </c>
      <c r="B2263" s="23">
        <v>2024</v>
      </c>
      <c r="C2263" s="152">
        <v>5</v>
      </c>
      <c r="D2263" s="202" t="str">
        <f t="shared" si="657"/>
        <v>Q1</v>
      </c>
      <c r="E2263" s="33" t="s">
        <v>3173</v>
      </c>
      <c r="F2263" s="152">
        <v>2024</v>
      </c>
      <c r="G2263" s="23">
        <v>7</v>
      </c>
      <c r="H2263" s="29"/>
      <c r="I2263" s="202" t="str">
        <f t="shared" si="658"/>
        <v>Q2</v>
      </c>
      <c r="J2263" s="188" t="s">
        <v>3454</v>
      </c>
      <c r="K2263" s="29" t="s">
        <v>3513</v>
      </c>
      <c r="L2263" s="17" t="s">
        <v>3455</v>
      </c>
      <c r="M2263" s="22" t="s">
        <v>2608</v>
      </c>
      <c r="N2263" s="22">
        <v>1</v>
      </c>
      <c r="O2263" s="22"/>
      <c r="P2263" s="33" t="str">
        <f t="shared" si="659"/>
        <v>MAIN UNIT</v>
      </c>
      <c r="Q2263" s="22" t="s">
        <v>62</v>
      </c>
      <c r="R2263" s="22" t="s">
        <v>2056</v>
      </c>
      <c r="S2263" s="22" t="s">
        <v>51</v>
      </c>
      <c r="T2263" s="22" t="s">
        <v>89</v>
      </c>
      <c r="U2263" s="22" t="s">
        <v>71</v>
      </c>
      <c r="V2263" s="22" t="s">
        <v>103</v>
      </c>
      <c r="W2263" s="22" t="s">
        <v>65</v>
      </c>
      <c r="X2263" s="104">
        <v>335000</v>
      </c>
      <c r="Y2263" s="195" t="str">
        <f>IF(W2263="","",IF(W2263="RMB","1.13", "1"))</f>
        <v>1.13</v>
      </c>
      <c r="Z2263" s="196">
        <f t="shared" si="670"/>
        <v>335000</v>
      </c>
      <c r="AA2263" s="22">
        <v>1.075</v>
      </c>
      <c r="AB2263" s="197">
        <f t="shared" si="660"/>
        <v>318694.69026548677</v>
      </c>
      <c r="AC2263" s="198">
        <f t="shared" si="661"/>
        <v>50066.935840707971</v>
      </c>
      <c r="AD2263" s="169">
        <v>0.15709999999999999</v>
      </c>
      <c r="AE2263" s="199">
        <f t="shared" si="662"/>
        <v>0</v>
      </c>
      <c r="AF2263" s="199" t="str">
        <f>IF(AND(COUNTIFS($J$18:J2263,J2263)=1,AE2263=1),1,"")</f>
        <v/>
      </c>
      <c r="AG2263" s="199">
        <f>IF(C2263="","",IF(AND(COUNTIFS($J$18:J2263,J2263)=1,C2263&lt;&gt;""),1,""))</f>
        <v>1</v>
      </c>
      <c r="AH2263" s="199">
        <f>IF(G2263="","",IF(AND(COUNTIFS($J$18:J2263,J2263)=1,G2263&lt;&gt;""),1,""))</f>
        <v>1</v>
      </c>
      <c r="AI2263" s="200">
        <f t="shared" si="671"/>
        <v>25458266.694690265</v>
      </c>
      <c r="AJ2263" s="200">
        <f t="shared" si="672"/>
        <v>4116526.778578762</v>
      </c>
      <c r="AK2263" s="201">
        <f t="shared" si="663"/>
        <v>0.16169705612508689</v>
      </c>
      <c r="AL2263" s="24"/>
      <c r="AM2263" s="24"/>
      <c r="AN2263" s="24"/>
      <c r="AO2263" s="24"/>
      <c r="AP2263" s="105" t="str">
        <f t="shared" si="664"/>
        <v>20247</v>
      </c>
      <c r="AQ2263" s="28" t="str">
        <f t="shared" si="665"/>
        <v>20247RMB</v>
      </c>
      <c r="AR2263" s="206" t="str">
        <f t="shared" si="666"/>
        <v>HELLER</v>
      </c>
      <c r="AS2263" s="22">
        <f t="shared" si="667"/>
        <v>2</v>
      </c>
      <c r="AT2263" s="24" t="str">
        <f t="shared" si="668"/>
        <v>0-3 months</v>
      </c>
    </row>
    <row r="2264" spans="1:46" s="12" customFormat="1">
      <c r="A2264" s="33" t="str">
        <f t="shared" si="656"/>
        <v>FY 20/21</v>
      </c>
      <c r="B2264" s="152">
        <v>2020</v>
      </c>
      <c r="C2264" s="152">
        <v>12</v>
      </c>
      <c r="D2264" s="33" t="str">
        <f t="shared" si="657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58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59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ref="Y2264:Y2269" si="677">IF(W2264="RMB","1.13", "1")</f>
        <v>1</v>
      </c>
      <c r="Z2264" s="18">
        <f t="shared" si="670"/>
        <v>7587500</v>
      </c>
      <c r="AA2264" s="13">
        <v>7.4499999999999997E-2</v>
      </c>
      <c r="AB2264" s="21">
        <f t="shared" si="660"/>
        <v>565268.75</v>
      </c>
      <c r="AC2264" s="130">
        <f t="shared" si="661"/>
        <v>77159.184375000012</v>
      </c>
      <c r="AD2264" s="169">
        <v>0.13650000000000001</v>
      </c>
      <c r="AE2264" s="154">
        <f t="shared" si="662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71"/>
        <v>57778307.282035396</v>
      </c>
      <c r="AJ2264" s="19">
        <f t="shared" si="672"/>
        <v>7259860.7225420559</v>
      </c>
      <c r="AK2264" s="20">
        <f t="shared" si="663"/>
        <v>0.12565028406083667</v>
      </c>
      <c r="AL2264" s="17"/>
      <c r="AM2264" s="17"/>
      <c r="AN2264" s="17"/>
      <c r="AO2264" s="17"/>
      <c r="AP2264" s="28" t="str">
        <f t="shared" si="664"/>
        <v>20213</v>
      </c>
      <c r="AQ2264" s="28" t="str">
        <f t="shared" si="665"/>
        <v>20213JPY</v>
      </c>
      <c r="AR2264" s="206" t="str">
        <f t="shared" si="666"/>
        <v>YAMAHA_Mounter</v>
      </c>
      <c r="AS2264" s="22">
        <f t="shared" si="667"/>
        <v>3</v>
      </c>
      <c r="AT2264" s="24" t="str">
        <f t="shared" si="668"/>
        <v>0-3 months</v>
      </c>
    </row>
    <row r="2265" spans="1:46" s="12" customFormat="1">
      <c r="A2265" s="33" t="str">
        <f t="shared" si="656"/>
        <v>FY 20/21</v>
      </c>
      <c r="B2265" s="152">
        <v>2020</v>
      </c>
      <c r="C2265" s="152">
        <v>12</v>
      </c>
      <c r="D2265" s="33" t="str">
        <f t="shared" si="657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58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59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77"/>
        <v>1</v>
      </c>
      <c r="Z2265" s="18">
        <f t="shared" si="670"/>
        <v>7587500</v>
      </c>
      <c r="AA2265" s="13">
        <v>7.4499999999999997E-2</v>
      </c>
      <c r="AB2265" s="21">
        <f t="shared" si="660"/>
        <v>565268.75</v>
      </c>
      <c r="AC2265" s="130">
        <f t="shared" si="661"/>
        <v>77159.184375000012</v>
      </c>
      <c r="AD2265" s="169">
        <v>0.13650000000000001</v>
      </c>
      <c r="AE2265" s="154">
        <f t="shared" si="662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71"/>
        <v>57778307.282035396</v>
      </c>
      <c r="AJ2265" s="19">
        <f t="shared" si="672"/>
        <v>7259860.7225420559</v>
      </c>
      <c r="AK2265" s="20">
        <f t="shared" si="663"/>
        <v>0.12565028406083667</v>
      </c>
      <c r="AL2265" s="17"/>
      <c r="AM2265" s="17"/>
      <c r="AN2265" s="17"/>
      <c r="AO2265" s="17"/>
      <c r="AP2265" s="28" t="str">
        <f t="shared" si="664"/>
        <v>20213</v>
      </c>
      <c r="AQ2265" s="28" t="str">
        <f t="shared" si="665"/>
        <v>20213JPY</v>
      </c>
      <c r="AR2265" s="206" t="str">
        <f t="shared" si="666"/>
        <v>YAMAHA_Mounter</v>
      </c>
      <c r="AS2265" s="22">
        <f t="shared" si="667"/>
        <v>3</v>
      </c>
      <c r="AT2265" s="24" t="str">
        <f t="shared" si="668"/>
        <v>0-3 months</v>
      </c>
    </row>
    <row r="2266" spans="1:46" s="12" customFormat="1">
      <c r="A2266" s="33" t="str">
        <f t="shared" si="656"/>
        <v>FY 20/21</v>
      </c>
      <c r="B2266" s="152">
        <v>2020</v>
      </c>
      <c r="C2266" s="152">
        <v>12</v>
      </c>
      <c r="D2266" s="33" t="str">
        <f t="shared" si="657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58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59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77"/>
        <v>1</v>
      </c>
      <c r="Z2266" s="18">
        <f t="shared" si="670"/>
        <v>7587500</v>
      </c>
      <c r="AA2266" s="13">
        <v>7.4499999999999997E-2</v>
      </c>
      <c r="AB2266" s="21">
        <f t="shared" si="660"/>
        <v>565268.75</v>
      </c>
      <c r="AC2266" s="130">
        <f t="shared" si="661"/>
        <v>77159.184375000012</v>
      </c>
      <c r="AD2266" s="169">
        <v>0.13650000000000001</v>
      </c>
      <c r="AE2266" s="154">
        <f t="shared" si="662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71"/>
        <v>57778307.282035396</v>
      </c>
      <c r="AJ2266" s="19">
        <f t="shared" si="672"/>
        <v>7259860.7225420559</v>
      </c>
      <c r="AK2266" s="20">
        <f t="shared" si="663"/>
        <v>0.12565028406083667</v>
      </c>
      <c r="AL2266" s="17"/>
      <c r="AM2266" s="17"/>
      <c r="AN2266" s="17"/>
      <c r="AO2266" s="17"/>
      <c r="AP2266" s="28" t="str">
        <f t="shared" si="664"/>
        <v>20213</v>
      </c>
      <c r="AQ2266" s="28" t="str">
        <f t="shared" si="665"/>
        <v>20213JPY</v>
      </c>
      <c r="AR2266" s="206" t="str">
        <f t="shared" si="666"/>
        <v>YAMAHA_Mounter</v>
      </c>
      <c r="AS2266" s="22">
        <f t="shared" si="667"/>
        <v>3</v>
      </c>
      <c r="AT2266" s="24" t="str">
        <f t="shared" si="668"/>
        <v>0-3 months</v>
      </c>
    </row>
    <row r="2267" spans="1:46" s="12" customFormat="1">
      <c r="A2267" s="33" t="str">
        <f t="shared" si="656"/>
        <v>FY 20/21</v>
      </c>
      <c r="B2267" s="152">
        <v>2020</v>
      </c>
      <c r="C2267" s="152">
        <v>12</v>
      </c>
      <c r="D2267" s="33" t="str">
        <f t="shared" si="657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58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59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77"/>
        <v>1</v>
      </c>
      <c r="Z2267" s="18">
        <f t="shared" si="670"/>
        <v>7587500</v>
      </c>
      <c r="AA2267" s="13">
        <v>7.4499999999999997E-2</v>
      </c>
      <c r="AB2267" s="21">
        <f t="shared" si="660"/>
        <v>565268.75</v>
      </c>
      <c r="AC2267" s="130">
        <f t="shared" si="661"/>
        <v>77159.184375000012</v>
      </c>
      <c r="AD2267" s="169">
        <v>0.13650000000000001</v>
      </c>
      <c r="AE2267" s="154">
        <f t="shared" si="662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71"/>
        <v>57778307.282035396</v>
      </c>
      <c r="AJ2267" s="19">
        <f t="shared" si="672"/>
        <v>7259860.7225420559</v>
      </c>
      <c r="AK2267" s="20">
        <f t="shared" si="663"/>
        <v>0.12565028406083667</v>
      </c>
      <c r="AL2267" s="17"/>
      <c r="AM2267" s="17"/>
      <c r="AN2267" s="17"/>
      <c r="AO2267" s="17"/>
      <c r="AP2267" s="28" t="str">
        <f t="shared" si="664"/>
        <v>20213</v>
      </c>
      <c r="AQ2267" s="28" t="str">
        <f t="shared" si="665"/>
        <v>20213JPY</v>
      </c>
      <c r="AR2267" s="206" t="str">
        <f t="shared" si="666"/>
        <v>YAMAHA_Mounter</v>
      </c>
      <c r="AS2267" s="22">
        <f t="shared" si="667"/>
        <v>3</v>
      </c>
      <c r="AT2267" s="24" t="str">
        <f t="shared" si="668"/>
        <v>0-3 months</v>
      </c>
    </row>
    <row r="2268" spans="1:46" s="12" customFormat="1">
      <c r="A2268" s="33" t="str">
        <f t="shared" si="656"/>
        <v>FY 21/22</v>
      </c>
      <c r="B2268" s="152">
        <v>2021</v>
      </c>
      <c r="C2268" s="152">
        <v>11</v>
      </c>
      <c r="D2268" s="33" t="str">
        <f t="shared" si="657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58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59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77"/>
        <v>1</v>
      </c>
      <c r="Z2268" s="18">
        <f t="shared" si="670"/>
        <v>8100000</v>
      </c>
      <c r="AA2268" s="13">
        <v>6.2799999999999995E-2</v>
      </c>
      <c r="AB2268" s="21">
        <f t="shared" si="660"/>
        <v>508679.99999999994</v>
      </c>
      <c r="AC2268" s="130">
        <f t="shared" si="661"/>
        <v>97208.747999999978</v>
      </c>
      <c r="AD2268" s="169">
        <v>0.19109999999999999</v>
      </c>
      <c r="AE2268" s="154">
        <f t="shared" si="662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71"/>
        <v>44014086.982070789</v>
      </c>
      <c r="AJ2268" s="19">
        <f t="shared" si="672"/>
        <v>6419974.0221889298</v>
      </c>
      <c r="AK2268" s="20">
        <f t="shared" si="663"/>
        <v>0.14586180158193709</v>
      </c>
      <c r="AL2268" s="17"/>
      <c r="AM2268" s="17"/>
      <c r="AN2268" s="17"/>
      <c r="AO2268" s="17"/>
      <c r="AP2268" s="28" t="str">
        <f t="shared" si="664"/>
        <v>20225</v>
      </c>
      <c r="AQ2268" s="28" t="str">
        <f t="shared" si="665"/>
        <v>20225JPY</v>
      </c>
      <c r="AR2268" s="206" t="str">
        <f t="shared" si="666"/>
        <v>YAMAHA_Mounter</v>
      </c>
      <c r="AS2268" s="22">
        <f t="shared" si="667"/>
        <v>6</v>
      </c>
      <c r="AT2268" s="24" t="str">
        <f t="shared" si="668"/>
        <v>4-6 months</v>
      </c>
    </row>
    <row r="2269" spans="1:46" s="12" customFormat="1">
      <c r="A2269" s="33" t="str">
        <f t="shared" si="656"/>
        <v>FY 21/22</v>
      </c>
      <c r="B2269" s="152">
        <v>2021</v>
      </c>
      <c r="C2269" s="152">
        <v>11</v>
      </c>
      <c r="D2269" s="33" t="str">
        <f t="shared" si="657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58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59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77"/>
        <v>1</v>
      </c>
      <c r="Z2269" s="18">
        <f t="shared" si="670"/>
        <v>8100000</v>
      </c>
      <c r="AA2269" s="13">
        <v>6.2799999999999995E-2</v>
      </c>
      <c r="AB2269" s="21">
        <f t="shared" si="660"/>
        <v>508679.99999999994</v>
      </c>
      <c r="AC2269" s="130">
        <f t="shared" si="661"/>
        <v>97208.747999999978</v>
      </c>
      <c r="AD2269" s="169">
        <v>0.19109999999999999</v>
      </c>
      <c r="AE2269" s="154">
        <f t="shared" si="662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71"/>
        <v>44014086.982070789</v>
      </c>
      <c r="AJ2269" s="19">
        <f t="shared" si="672"/>
        <v>6419974.0221889298</v>
      </c>
      <c r="AK2269" s="20">
        <f t="shared" si="663"/>
        <v>0.14586180158193709</v>
      </c>
      <c r="AL2269" s="17"/>
      <c r="AM2269" s="17"/>
      <c r="AN2269" s="17"/>
      <c r="AO2269" s="17"/>
      <c r="AP2269" s="28" t="str">
        <f t="shared" si="664"/>
        <v>20225</v>
      </c>
      <c r="AQ2269" s="28" t="str">
        <f t="shared" si="665"/>
        <v>20225JPY</v>
      </c>
      <c r="AR2269" s="206" t="str">
        <f t="shared" si="666"/>
        <v>YAMAHA_Mounter</v>
      </c>
      <c r="AS2269" s="22">
        <f t="shared" si="667"/>
        <v>6</v>
      </c>
      <c r="AT2269" s="24" t="str">
        <f t="shared" si="668"/>
        <v>4-6 months</v>
      </c>
    </row>
    <row r="2270" spans="1:46" s="12" customFormat="1">
      <c r="A2270" s="33" t="str">
        <f t="shared" si="656"/>
        <v>cancel</v>
      </c>
      <c r="B2270" s="152"/>
      <c r="C2270" s="152" t="s">
        <v>186</v>
      </c>
      <c r="D2270" s="33" t="str">
        <f t="shared" si="657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58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59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0"/>
        <v>9100000</v>
      </c>
      <c r="AA2270" s="13">
        <v>7.5200000000000003E-2</v>
      </c>
      <c r="AB2270" s="21">
        <f t="shared" si="660"/>
        <v>684320</v>
      </c>
      <c r="AC2270" s="130">
        <f t="shared" si="661"/>
        <v>82118.399999999994</v>
      </c>
      <c r="AD2270" s="169">
        <v>0.12</v>
      </c>
      <c r="AE2270" s="154">
        <f t="shared" si="662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71"/>
        <v>477651199.57437885</v>
      </c>
      <c r="AJ2270" s="19">
        <f t="shared" si="672"/>
        <v>56918800.518691957</v>
      </c>
      <c r="AK2270" s="20">
        <f t="shared" si="663"/>
        <v>0.11916394341605475</v>
      </c>
      <c r="AL2270" s="17"/>
      <c r="AM2270" s="17"/>
      <c r="AN2270" s="17"/>
      <c r="AO2270" s="17"/>
      <c r="AP2270" s="28" t="str">
        <f t="shared" si="664"/>
        <v>CancelCancel</v>
      </c>
      <c r="AQ2270" s="28" t="str">
        <f t="shared" si="665"/>
        <v>CancelCancelJPY</v>
      </c>
      <c r="AR2270" s="206" t="str">
        <f t="shared" si="666"/>
        <v>YAMAHA_Mounter</v>
      </c>
      <c r="AS2270" s="22" t="str">
        <f t="shared" si="667"/>
        <v/>
      </c>
      <c r="AT2270" s="24" t="str">
        <f t="shared" si="668"/>
        <v/>
      </c>
    </row>
    <row r="2271" spans="1:46" s="12" customFormat="1">
      <c r="A2271" s="33" t="str">
        <f t="shared" si="656"/>
        <v>cancel</v>
      </c>
      <c r="B2271" s="152"/>
      <c r="C2271" s="152" t="s">
        <v>186</v>
      </c>
      <c r="D2271" s="33" t="str">
        <f t="shared" si="657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58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59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0"/>
        <v>9100000</v>
      </c>
      <c r="AA2271" s="13">
        <v>7.5200000000000003E-2</v>
      </c>
      <c r="AB2271" s="21">
        <f t="shared" si="660"/>
        <v>684320</v>
      </c>
      <c r="AC2271" s="130">
        <f t="shared" si="661"/>
        <v>82118.399999999994</v>
      </c>
      <c r="AD2271" s="169">
        <v>0.12</v>
      </c>
      <c r="AE2271" s="154">
        <f t="shared" si="662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71"/>
        <v>477651199.57437885</v>
      </c>
      <c r="AJ2271" s="19">
        <f t="shared" si="672"/>
        <v>56918800.518691957</v>
      </c>
      <c r="AK2271" s="20">
        <f t="shared" si="663"/>
        <v>0.11916394341605475</v>
      </c>
      <c r="AL2271" s="17"/>
      <c r="AM2271" s="17"/>
      <c r="AN2271" s="17"/>
      <c r="AO2271" s="17"/>
      <c r="AP2271" s="28" t="str">
        <f t="shared" si="664"/>
        <v>CancelCancel</v>
      </c>
      <c r="AQ2271" s="28" t="str">
        <f t="shared" si="665"/>
        <v>CancelCancelJPY</v>
      </c>
      <c r="AR2271" s="206" t="str">
        <f t="shared" si="666"/>
        <v>YAMAHA_Mounter</v>
      </c>
      <c r="AS2271" s="22" t="str">
        <f t="shared" si="667"/>
        <v/>
      </c>
      <c r="AT2271" s="24" t="str">
        <f t="shared" si="668"/>
        <v/>
      </c>
    </row>
    <row r="2272" spans="1:46" s="12" customFormat="1">
      <c r="A2272" s="33" t="str">
        <f t="shared" ref="A2272:A2335" si="678">IF(C2272="cancel","cancel",IFERROR(IF(D2272="Q4","FY "&amp;RIGHT(B2272,2)-1&amp;"/"&amp;RIGHT(B2272,2),"FY "&amp;RIGHT(B2272,2)&amp;"/"&amp;RIGHT(B2272,2)+1),""))</f>
        <v>cancel</v>
      </c>
      <c r="B2272" s="152"/>
      <c r="C2272" s="152" t="s">
        <v>186</v>
      </c>
      <c r="D2272" s="33" t="str">
        <f t="shared" ref="D2272:D2335" si="679">IF(B2272="","",IF(AND(C2272&gt;=10,C2272&lt;=12),"Q3",IF(AND(C2272&gt;=1,C2272&lt;=3),"Q4",IF(AND(C2272&gt;=7,C2272&lt;=9),"Q2",IF(AND(C2272&gt;=4,C2272&lt;=6),"Q1")))))</f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ref="I2272:I2335" si="680">IFERROR(IF(F2272="","",IF(F2272="TBA","TBA",IF(F2272="Cancel","Cancel",IF(AND(G2272&gt;=10,G2272&lt;=12),"Q3",IF(AND(G2272&gt;=1,G2272&lt;=3),"Q4",IF(AND(G2272&gt;=7,G2272&lt;=9),"Q2",IF(AND(G2272&gt;=4,G2272&lt;=6),"Q1"))))))),"")</f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ref="P2272:P2335" si="681">IF(M2272="","",IF(AND(N2272&gt;0,L2272&lt;&gt;""),"MAIN UNIT",IF(AND(O2272&gt;0,L2272&lt;&gt;""),"SERVICE/ PARTS","C66 SERVICE/OTHERS")))</f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0"/>
        <v>9100000</v>
      </c>
      <c r="AA2272" s="13">
        <v>7.5200000000000003E-2</v>
      </c>
      <c r="AB2272" s="21">
        <f t="shared" ref="AB2272:AB2335" si="682">IF(AND(R2272&lt;&gt;"C66",R2272&lt;&gt;""),Z2272/Y2272*AA2272,"")</f>
        <v>684320</v>
      </c>
      <c r="AC2272" s="130">
        <f t="shared" ref="AC2272:AC2335" si="683">IF(R2272&lt;&gt;"",AB2272*AD2272,"")</f>
        <v>82118.399999999994</v>
      </c>
      <c r="AD2272" s="169">
        <v>0.12</v>
      </c>
      <c r="AE2272" s="154">
        <f t="shared" ref="AE2272:AE2335" si="684">IF(Q2272="","",IF(Q2272="Yes",1,0))</f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71"/>
        <v>477651199.57437885</v>
      </c>
      <c r="AJ2272" s="19">
        <f t="shared" si="672"/>
        <v>56918800.518691957</v>
      </c>
      <c r="AK2272" s="20">
        <f t="shared" ref="AK2272:AK2335" si="685">IF(AJ2272&gt;0,AJ2272/AI2272,"")</f>
        <v>0.11916394341605475</v>
      </c>
      <c r="AL2272" s="17"/>
      <c r="AM2272" s="17"/>
      <c r="AN2272" s="17"/>
      <c r="AO2272" s="17"/>
      <c r="AP2272" s="28" t="str">
        <f t="shared" ref="AP2272:AP2335" si="686">IF(F2272="","",F2272&amp;G2272)</f>
        <v>CancelCancel</v>
      </c>
      <c r="AQ2272" s="28" t="str">
        <f t="shared" ref="AQ2272:AQ2335" si="687">IF(W2272="","",F2272&amp;G2272&amp;W2272)</f>
        <v>CancelCancelJPY</v>
      </c>
      <c r="AR2272" s="206" t="str">
        <f t="shared" ref="AR2272:AR2335" si="688">IFERROR(IF(AND(M2272="YAMAHA", R2272="C28"), "YAMAHA_Non_Mounter", IF(AND(M2272="YAMAHA", R2272="C49"), "YAMAHA_Mounter", M2272)),"")</f>
        <v>YAMAHA_Mounter</v>
      </c>
      <c r="AS2272" s="22" t="str">
        <f t="shared" ref="AS2272:AS2335" si="689">IFERROR(IF(OR(G2272="TBA", G2272=""), "", DATEDIF(DATE(B2272, C2272, 1), DATE(F2272, G2272, 1), "M")),"")</f>
        <v/>
      </c>
      <c r="AT2272" s="24" t="str">
        <f t="shared" ref="AT2272:AT2335" si="690">IF(ISNUMBER(AS2272), IF(AS2272&gt;=0, IF(AS2272&lt;=3, "0-3 months", IF(AS2272&lt;=6, "4-6 months", "&gt; 6 months"))), "")</f>
        <v/>
      </c>
    </row>
    <row r="2273" spans="1:46" s="12" customFormat="1">
      <c r="A2273" s="33" t="str">
        <f t="shared" si="678"/>
        <v>FY 24/25</v>
      </c>
      <c r="B2273" s="23">
        <v>2024</v>
      </c>
      <c r="C2273" s="152">
        <v>5</v>
      </c>
      <c r="D2273" s="202" t="str">
        <f t="shared" si="679"/>
        <v>Q1</v>
      </c>
      <c r="E2273" s="33" t="s">
        <v>3173</v>
      </c>
      <c r="F2273" s="152">
        <v>2024</v>
      </c>
      <c r="G2273" s="23">
        <v>7</v>
      </c>
      <c r="H2273" s="29"/>
      <c r="I2273" s="202" t="str">
        <f t="shared" si="680"/>
        <v>Q2</v>
      </c>
      <c r="J2273" s="188" t="s">
        <v>3447</v>
      </c>
      <c r="K2273" s="29" t="s">
        <v>1635</v>
      </c>
      <c r="L2273" s="17" t="s">
        <v>68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22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127</v>
      </c>
      <c r="W2273" s="22" t="s">
        <v>110</v>
      </c>
      <c r="X2273" s="104">
        <v>7250000</v>
      </c>
      <c r="Y2273" s="195" t="str">
        <f>IF(W2273="","",IF(W2273="RMB","1.13", "1"))</f>
        <v>1</v>
      </c>
      <c r="Z2273" s="196">
        <f t="shared" si="670"/>
        <v>7250000</v>
      </c>
      <c r="AA2273" s="22">
        <v>4.9500000000000002E-2</v>
      </c>
      <c r="AB2273" s="197">
        <f t="shared" si="682"/>
        <v>358875</v>
      </c>
      <c r="AC2273" s="198">
        <f t="shared" si="683"/>
        <v>32334.637500000001</v>
      </c>
      <c r="AD2273" s="169">
        <v>9.01E-2</v>
      </c>
      <c r="AE2273" s="199">
        <f t="shared" si="684"/>
        <v>0</v>
      </c>
      <c r="AF2273" s="199" t="str">
        <f>IF(AND(COUNTIFS($J$18:J2273,J2273)=1,AE2273=1),1,"")</f>
        <v/>
      </c>
      <c r="AG2273" s="199">
        <f>IF(C2273="","",IF(AND(COUNTIFS($J$18:J2273,J2273)=1,C2273&lt;&gt;""),1,""))</f>
        <v>1</v>
      </c>
      <c r="AH2273" s="199">
        <f>IF(G2273="","",IF(AND(COUNTIFS($J$18:J2273,J2273)=1,G2273&lt;&gt;""),1,""))</f>
        <v>1</v>
      </c>
      <c r="AI2273" s="200">
        <f t="shared" si="671"/>
        <v>25458266.694690265</v>
      </c>
      <c r="AJ2273" s="200">
        <f t="shared" si="672"/>
        <v>4116526.778578762</v>
      </c>
      <c r="AK2273" s="201">
        <f t="shared" si="685"/>
        <v>0.16169705612508689</v>
      </c>
      <c r="AL2273" s="24"/>
      <c r="AM2273" s="24"/>
      <c r="AN2273" s="24"/>
      <c r="AO2273" s="24"/>
      <c r="AP2273" s="105" t="str">
        <f t="shared" si="686"/>
        <v>20247</v>
      </c>
      <c r="AQ2273" s="28" t="str">
        <f t="shared" si="687"/>
        <v>20247JPY</v>
      </c>
      <c r="AR2273" s="206" t="str">
        <f t="shared" si="688"/>
        <v>YAMAHA_Mounter</v>
      </c>
      <c r="AS2273" s="22">
        <f t="shared" si="689"/>
        <v>2</v>
      </c>
      <c r="AT2273" s="24" t="str">
        <f t="shared" si="690"/>
        <v>0-3 months</v>
      </c>
    </row>
    <row r="2274" spans="1:46" s="12" customFormat="1">
      <c r="A2274" s="33" t="str">
        <f t="shared" si="678"/>
        <v>FY 20/21</v>
      </c>
      <c r="B2274" s="152">
        <v>2021</v>
      </c>
      <c r="C2274" s="152">
        <v>3</v>
      </c>
      <c r="D2274" s="33" t="str">
        <f t="shared" si="679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80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0"/>
        <v>12400000</v>
      </c>
      <c r="AA2274" s="13">
        <v>7.17E-2</v>
      </c>
      <c r="AB2274" s="21">
        <f t="shared" si="682"/>
        <v>889080</v>
      </c>
      <c r="AC2274" s="130">
        <f t="shared" si="683"/>
        <v>114869.13600000001</v>
      </c>
      <c r="AD2274" s="169">
        <v>0.12920000000000001</v>
      </c>
      <c r="AE2274" s="154">
        <f t="shared" si="684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71"/>
        <v>41443303.53761062</v>
      </c>
      <c r="AJ2274" s="19">
        <f t="shared" si="672"/>
        <v>6194988.76643031</v>
      </c>
      <c r="AK2274" s="20">
        <f t="shared" si="685"/>
        <v>0.1494810557466355</v>
      </c>
      <c r="AL2274" s="17"/>
      <c r="AM2274" s="17"/>
      <c r="AN2274" s="17"/>
      <c r="AO2274" s="17"/>
      <c r="AP2274" s="28" t="str">
        <f t="shared" si="686"/>
        <v>20217</v>
      </c>
      <c r="AQ2274" s="28" t="str">
        <f t="shared" si="687"/>
        <v>20217JPY</v>
      </c>
      <c r="AR2274" s="206" t="str">
        <f t="shared" si="688"/>
        <v>YAMAHA_Mounter</v>
      </c>
      <c r="AS2274" s="22">
        <f t="shared" si="689"/>
        <v>4</v>
      </c>
      <c r="AT2274" s="24" t="str">
        <f t="shared" si="690"/>
        <v>4-6 months</v>
      </c>
    </row>
    <row r="2275" spans="1:46" s="12" customFormat="1">
      <c r="A2275" s="33" t="str">
        <f t="shared" si="678"/>
        <v>FY 19/20</v>
      </c>
      <c r="B2275" s="152">
        <v>2020</v>
      </c>
      <c r="C2275" s="152">
        <v>3</v>
      </c>
      <c r="D2275" s="33" t="str">
        <f t="shared" si="679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80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0"/>
        <v>1031822</v>
      </c>
      <c r="AA2275" s="13">
        <v>1.095</v>
      </c>
      <c r="AB2275" s="21">
        <f t="shared" si="682"/>
        <v>999862.91150442488</v>
      </c>
      <c r="AC2275" s="130">
        <f t="shared" si="683"/>
        <v>161477.86020796461</v>
      </c>
      <c r="AD2275" s="169">
        <v>0.1615</v>
      </c>
      <c r="AE2275" s="154">
        <f t="shared" si="684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71"/>
        <v>28065694.408805311</v>
      </c>
      <c r="AJ2275" s="19">
        <f t="shared" si="672"/>
        <v>4157433.2906989697</v>
      </c>
      <c r="AK2275" s="20">
        <f t="shared" si="685"/>
        <v>0.14813220831602228</v>
      </c>
      <c r="AL2275" s="17"/>
      <c r="AM2275" s="17"/>
      <c r="AN2275" s="17"/>
      <c r="AO2275" s="17"/>
      <c r="AP2275" s="28" t="str">
        <f t="shared" si="686"/>
        <v>20205</v>
      </c>
      <c r="AQ2275" s="28" t="str">
        <f t="shared" si="687"/>
        <v>20205RMB</v>
      </c>
      <c r="AR2275" s="206" t="str">
        <f t="shared" si="688"/>
        <v>YAMAHA_Mounter</v>
      </c>
      <c r="AS2275" s="22">
        <f t="shared" si="689"/>
        <v>2</v>
      </c>
      <c r="AT2275" s="24" t="str">
        <f t="shared" si="690"/>
        <v>0-3 months</v>
      </c>
    </row>
    <row r="2276" spans="1:46" s="12" customFormat="1">
      <c r="A2276" s="33" t="str">
        <f t="shared" si="678"/>
        <v>FY 24/25</v>
      </c>
      <c r="B2276" s="23">
        <v>2024</v>
      </c>
      <c r="C2276" s="152">
        <v>5</v>
      </c>
      <c r="D2276" s="202" t="str">
        <f t="shared" si="679"/>
        <v>Q1</v>
      </c>
      <c r="E2276" s="33" t="s">
        <v>3173</v>
      </c>
      <c r="F2276" s="152">
        <v>2024</v>
      </c>
      <c r="G2276" s="23">
        <v>7</v>
      </c>
      <c r="H2276" s="29"/>
      <c r="I2276" s="202" t="str">
        <f t="shared" si="680"/>
        <v>Q2</v>
      </c>
      <c r="J2276" s="188" t="s">
        <v>3447</v>
      </c>
      <c r="K2276" s="29" t="s">
        <v>1635</v>
      </c>
      <c r="L2276" s="17" t="s">
        <v>68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22" t="s">
        <v>62</v>
      </c>
      <c r="R2276" s="22" t="s">
        <v>63</v>
      </c>
      <c r="S2276" s="22" t="s">
        <v>50</v>
      </c>
      <c r="T2276" s="22" t="s">
        <v>79</v>
      </c>
      <c r="U2276" s="22" t="s">
        <v>79</v>
      </c>
      <c r="V2276" s="22" t="s">
        <v>127</v>
      </c>
      <c r="W2276" s="22" t="s">
        <v>110</v>
      </c>
      <c r="X2276" s="104">
        <v>7250000</v>
      </c>
      <c r="Y2276" s="195" t="str">
        <f t="shared" ref="Y2276:Y2303" si="691">IF(W2276="","",IF(W2276="RMB","1.13", "1"))</f>
        <v>1</v>
      </c>
      <c r="Z2276" s="196">
        <f t="shared" si="670"/>
        <v>7250000</v>
      </c>
      <c r="AA2276" s="22">
        <v>4.9500000000000002E-2</v>
      </c>
      <c r="AB2276" s="197">
        <f t="shared" si="682"/>
        <v>358875</v>
      </c>
      <c r="AC2276" s="198">
        <f t="shared" si="683"/>
        <v>32334.637500000001</v>
      </c>
      <c r="AD2276" s="169">
        <v>9.01E-2</v>
      </c>
      <c r="AE2276" s="199">
        <f t="shared" si="684"/>
        <v>0</v>
      </c>
      <c r="AF2276" s="199" t="str">
        <f>IF(AND(COUNTIFS($J$18:J2276,J2276)=1,AE2276=1),1,"")</f>
        <v/>
      </c>
      <c r="AG2276" s="199" t="str">
        <f>IF(C2276="","",IF(AND(COUNTIFS($J$18:J2276,J2276)=1,C2276&lt;&gt;""),1,""))</f>
        <v/>
      </c>
      <c r="AH2276" s="199" t="str">
        <f>IF(G2276="","",IF(AND(COUNTIFS($J$18:J2276,J2276)=1,G2276&lt;&gt;""),1,""))</f>
        <v/>
      </c>
      <c r="AI2276" s="200">
        <f t="shared" si="671"/>
        <v>25458266.694690265</v>
      </c>
      <c r="AJ2276" s="200">
        <f t="shared" si="672"/>
        <v>4116526.778578762</v>
      </c>
      <c r="AK2276" s="201">
        <f t="shared" si="685"/>
        <v>0.16169705612508689</v>
      </c>
      <c r="AL2276" s="24"/>
      <c r="AM2276" s="24"/>
      <c r="AN2276" s="24"/>
      <c r="AO2276" s="24"/>
      <c r="AP2276" s="105" t="str">
        <f t="shared" si="686"/>
        <v>20247</v>
      </c>
      <c r="AQ2276" s="28" t="str">
        <f t="shared" si="687"/>
        <v>20247JPY</v>
      </c>
      <c r="AR2276" s="206" t="str">
        <f t="shared" si="688"/>
        <v>YAMAHA_Mounter</v>
      </c>
      <c r="AS2276" s="22">
        <f t="shared" si="689"/>
        <v>2</v>
      </c>
      <c r="AT2276" s="24" t="str">
        <f t="shared" si="690"/>
        <v>0-3 months</v>
      </c>
    </row>
    <row r="2277" spans="1:46" s="12" customFormat="1">
      <c r="A2277" s="33" t="str">
        <f t="shared" si="678"/>
        <v>FY 23/24</v>
      </c>
      <c r="B2277" s="23">
        <v>2024</v>
      </c>
      <c r="C2277" s="152">
        <v>3</v>
      </c>
      <c r="D2277" s="33" t="str">
        <f t="shared" si="679"/>
        <v>Q4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6</v>
      </c>
      <c r="H2277" s="29"/>
      <c r="I2277" s="33" t="str">
        <f t="shared" si="680"/>
        <v>Q1</v>
      </c>
      <c r="J2277" s="188" t="s">
        <v>3365</v>
      </c>
      <c r="K2277" s="29" t="s">
        <v>919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79</v>
      </c>
      <c r="V2277" s="22" t="s">
        <v>113</v>
      </c>
      <c r="W2277" s="22" t="s">
        <v>65</v>
      </c>
      <c r="X2277" s="30">
        <v>788888</v>
      </c>
      <c r="Y2277" s="31" t="str">
        <f t="shared" si="691"/>
        <v>1.13</v>
      </c>
      <c r="Z2277" s="18">
        <f t="shared" si="670"/>
        <v>788888</v>
      </c>
      <c r="AA2277" s="22">
        <v>1.08</v>
      </c>
      <c r="AB2277" s="21">
        <f t="shared" si="682"/>
        <v>753981.45132743381</v>
      </c>
      <c r="AC2277" s="25">
        <f t="shared" si="683"/>
        <v>95906.440608849589</v>
      </c>
      <c r="AD2277" s="170">
        <v>0.12720000000000001</v>
      </c>
      <c r="AE2277" s="26">
        <f t="shared" si="684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71"/>
        <v>27308925.887079656</v>
      </c>
      <c r="AJ2277" s="27">
        <f t="shared" si="672"/>
        <v>3319273.860338124</v>
      </c>
      <c r="AK2277" s="28">
        <f t="shared" si="685"/>
        <v>0.12154538314919709</v>
      </c>
      <c r="AL2277" s="24"/>
      <c r="AM2277" s="24"/>
      <c r="AN2277" s="24"/>
      <c r="AO2277" s="24"/>
      <c r="AP2277" s="28" t="str">
        <f t="shared" si="686"/>
        <v>20246</v>
      </c>
      <c r="AQ2277" s="28" t="str">
        <f t="shared" si="687"/>
        <v>20246RMB</v>
      </c>
      <c r="AR2277" s="206" t="str">
        <f t="shared" si="688"/>
        <v>YAMAHA_Mounter</v>
      </c>
      <c r="AS2277" s="22">
        <f t="shared" si="689"/>
        <v>3</v>
      </c>
      <c r="AT2277" s="24" t="str">
        <f t="shared" si="690"/>
        <v>0-3 months</v>
      </c>
    </row>
    <row r="2278" spans="1:46" s="12" customFormat="1">
      <c r="A2278" s="33" t="str">
        <f t="shared" si="678"/>
        <v>FY 23/24</v>
      </c>
      <c r="B2278" s="23">
        <v>2024</v>
      </c>
      <c r="C2278" s="152">
        <v>3</v>
      </c>
      <c r="D2278" s="33" t="str">
        <f t="shared" si="679"/>
        <v>Q4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6</v>
      </c>
      <c r="H2278" s="29"/>
      <c r="I2278" s="33" t="str">
        <f t="shared" si="680"/>
        <v>Q1</v>
      </c>
      <c r="J2278" s="188" t="s">
        <v>3365</v>
      </c>
      <c r="K2278" s="29" t="s">
        <v>919</v>
      </c>
      <c r="L2278" s="17" t="s">
        <v>68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79</v>
      </c>
      <c r="V2278" s="22" t="s">
        <v>113</v>
      </c>
      <c r="W2278" s="22" t="s">
        <v>65</v>
      </c>
      <c r="X2278" s="30">
        <v>595556</v>
      </c>
      <c r="Y2278" s="31" t="str">
        <f t="shared" si="691"/>
        <v>1.13</v>
      </c>
      <c r="Z2278" s="18">
        <f t="shared" si="670"/>
        <v>595556</v>
      </c>
      <c r="AA2278" s="22">
        <v>1.08</v>
      </c>
      <c r="AB2278" s="21">
        <f t="shared" si="682"/>
        <v>569203.96460177004</v>
      </c>
      <c r="AC2278" s="25">
        <f t="shared" si="683"/>
        <v>72402.744297345154</v>
      </c>
      <c r="AD2278" s="170">
        <v>0.12720000000000001</v>
      </c>
      <c r="AE2278" s="26">
        <f t="shared" si="684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71"/>
        <v>27308925.887079656</v>
      </c>
      <c r="AJ2278" s="27">
        <f t="shared" si="672"/>
        <v>3319273.860338124</v>
      </c>
      <c r="AK2278" s="28">
        <f t="shared" si="685"/>
        <v>0.12154538314919709</v>
      </c>
      <c r="AL2278" s="24"/>
      <c r="AM2278" s="24"/>
      <c r="AN2278" s="24"/>
      <c r="AO2278" s="24"/>
      <c r="AP2278" s="28" t="str">
        <f t="shared" si="686"/>
        <v>20246</v>
      </c>
      <c r="AQ2278" s="28" t="str">
        <f t="shared" si="687"/>
        <v>20246RMB</v>
      </c>
      <c r="AR2278" s="206" t="str">
        <f t="shared" si="688"/>
        <v>YAMAHA_Mounter</v>
      </c>
      <c r="AS2278" s="22">
        <f t="shared" si="689"/>
        <v>3</v>
      </c>
      <c r="AT2278" s="24" t="str">
        <f t="shared" si="690"/>
        <v>0-3 months</v>
      </c>
    </row>
    <row r="2279" spans="1:46" s="12" customFormat="1">
      <c r="A2279" s="33" t="str">
        <f t="shared" si="678"/>
        <v>FY 24/25</v>
      </c>
      <c r="B2279" s="23">
        <v>2024</v>
      </c>
      <c r="C2279" s="152">
        <v>5</v>
      </c>
      <c r="D2279" s="202" t="str">
        <f t="shared" si="679"/>
        <v>Q1</v>
      </c>
      <c r="E2279" s="33" t="s">
        <v>3173</v>
      </c>
      <c r="F2279" s="152">
        <v>2024</v>
      </c>
      <c r="G2279" s="23">
        <v>7</v>
      </c>
      <c r="H2279" s="29"/>
      <c r="I2279" s="202" t="str">
        <f t="shared" si="680"/>
        <v>Q2</v>
      </c>
      <c r="J2279" s="188" t="s">
        <v>3447</v>
      </c>
      <c r="K2279" s="29" t="s">
        <v>1635</v>
      </c>
      <c r="L2279" s="17" t="s">
        <v>68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22" t="s">
        <v>62</v>
      </c>
      <c r="R2279" s="22" t="s">
        <v>63</v>
      </c>
      <c r="S2279" s="22" t="s">
        <v>50</v>
      </c>
      <c r="T2279" s="22" t="s">
        <v>79</v>
      </c>
      <c r="U2279" s="22" t="s">
        <v>79</v>
      </c>
      <c r="V2279" s="22" t="s">
        <v>127</v>
      </c>
      <c r="W2279" s="22" t="s">
        <v>110</v>
      </c>
      <c r="X2279" s="104">
        <v>7250000</v>
      </c>
      <c r="Y2279" s="195" t="str">
        <f t="shared" si="691"/>
        <v>1</v>
      </c>
      <c r="Z2279" s="196">
        <f t="shared" si="670"/>
        <v>7250000</v>
      </c>
      <c r="AA2279" s="22">
        <v>4.9500000000000002E-2</v>
      </c>
      <c r="AB2279" s="197">
        <f t="shared" si="682"/>
        <v>358875</v>
      </c>
      <c r="AC2279" s="198">
        <f t="shared" si="683"/>
        <v>32334.637500000001</v>
      </c>
      <c r="AD2279" s="169">
        <v>9.01E-2</v>
      </c>
      <c r="AE2279" s="199">
        <f t="shared" si="684"/>
        <v>0</v>
      </c>
      <c r="AF2279" s="199" t="str">
        <f>IF(AND(COUNTIFS($J$18:J2279,J2279)=1,AE2279=1),1,"")</f>
        <v/>
      </c>
      <c r="AG2279" s="199" t="str">
        <f>IF(C2279="","",IF(AND(COUNTIFS($J$18:J2279,J2279)=1,C2279&lt;&gt;""),1,""))</f>
        <v/>
      </c>
      <c r="AH2279" s="199" t="str">
        <f>IF(G2279="","",IF(AND(COUNTIFS($J$18:J2279,J2279)=1,G2279&lt;&gt;""),1,""))</f>
        <v/>
      </c>
      <c r="AI2279" s="200">
        <f t="shared" si="671"/>
        <v>25458266.694690265</v>
      </c>
      <c r="AJ2279" s="200">
        <f t="shared" si="672"/>
        <v>4116526.778578762</v>
      </c>
      <c r="AK2279" s="201">
        <f t="shared" si="685"/>
        <v>0.16169705612508689</v>
      </c>
      <c r="AL2279" s="24"/>
      <c r="AM2279" s="24"/>
      <c r="AN2279" s="24"/>
      <c r="AO2279" s="24"/>
      <c r="AP2279" s="105" t="str">
        <f t="shared" si="686"/>
        <v>20247</v>
      </c>
      <c r="AQ2279" s="28" t="str">
        <f t="shared" si="687"/>
        <v>20247JPY</v>
      </c>
      <c r="AR2279" s="206" t="str">
        <f t="shared" si="688"/>
        <v>YAMAHA_Mounter</v>
      </c>
      <c r="AS2279" s="22">
        <f t="shared" si="689"/>
        <v>2</v>
      </c>
      <c r="AT2279" s="24" t="str">
        <f t="shared" si="690"/>
        <v>0-3 months</v>
      </c>
    </row>
    <row r="2280" spans="1:46" s="12" customFormat="1">
      <c r="A2280" s="33" t="str">
        <f t="shared" si="678"/>
        <v>FY 24/25</v>
      </c>
      <c r="B2280" s="23">
        <v>2024</v>
      </c>
      <c r="C2280" s="152">
        <v>5</v>
      </c>
      <c r="D2280" s="202" t="str">
        <f t="shared" si="679"/>
        <v>Q1</v>
      </c>
      <c r="E2280" s="33" t="s">
        <v>3173</v>
      </c>
      <c r="F2280" s="152">
        <v>2024</v>
      </c>
      <c r="G2280" s="23">
        <v>7</v>
      </c>
      <c r="H2280" s="29"/>
      <c r="I2280" s="202" t="str">
        <f t="shared" si="680"/>
        <v>Q2</v>
      </c>
      <c r="J2280" s="188" t="s">
        <v>3447</v>
      </c>
      <c r="K2280" s="29" t="s">
        <v>1635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22" t="s">
        <v>62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127</v>
      </c>
      <c r="W2280" s="22" t="s">
        <v>110</v>
      </c>
      <c r="X2280" s="104">
        <v>7250000</v>
      </c>
      <c r="Y2280" s="195" t="str">
        <f t="shared" si="691"/>
        <v>1</v>
      </c>
      <c r="Z2280" s="196">
        <f t="shared" si="670"/>
        <v>7250000</v>
      </c>
      <c r="AA2280" s="22">
        <v>4.9500000000000002E-2</v>
      </c>
      <c r="AB2280" s="197">
        <f t="shared" si="682"/>
        <v>358875</v>
      </c>
      <c r="AC2280" s="198">
        <f t="shared" si="683"/>
        <v>32334.637500000001</v>
      </c>
      <c r="AD2280" s="169">
        <v>9.01E-2</v>
      </c>
      <c r="AE2280" s="199">
        <f t="shared" si="684"/>
        <v>0</v>
      </c>
      <c r="AF2280" s="199" t="str">
        <f>IF(AND(COUNTIFS($J$18:J2280,J2280)=1,AE2280=1),1,"")</f>
        <v/>
      </c>
      <c r="AG2280" s="199" t="str">
        <f>IF(C2280="","",IF(AND(COUNTIFS($J$18:J2280,J2280)=1,C2280&lt;&gt;""),1,""))</f>
        <v/>
      </c>
      <c r="AH2280" s="199" t="str">
        <f>IF(G2280="","",IF(AND(COUNTIFS($J$18:J2280,J2280)=1,G2280&lt;&gt;""),1,""))</f>
        <v/>
      </c>
      <c r="AI2280" s="200">
        <f t="shared" si="671"/>
        <v>25458266.694690265</v>
      </c>
      <c r="AJ2280" s="200">
        <f t="shared" si="672"/>
        <v>4116526.778578762</v>
      </c>
      <c r="AK2280" s="201">
        <f t="shared" si="685"/>
        <v>0.16169705612508689</v>
      </c>
      <c r="AL2280" s="24"/>
      <c r="AM2280" s="24"/>
      <c r="AN2280" s="24"/>
      <c r="AO2280" s="24"/>
      <c r="AP2280" s="105" t="str">
        <f t="shared" si="686"/>
        <v>20247</v>
      </c>
      <c r="AQ2280" s="28" t="str">
        <f t="shared" si="687"/>
        <v>20247JPY</v>
      </c>
      <c r="AR2280" s="206" t="str">
        <f t="shared" si="688"/>
        <v>YAMAHA_Mounter</v>
      </c>
      <c r="AS2280" s="22">
        <f t="shared" si="689"/>
        <v>2</v>
      </c>
      <c r="AT2280" s="24" t="str">
        <f t="shared" si="690"/>
        <v>0-3 months</v>
      </c>
    </row>
    <row r="2281" spans="1:46" s="12" customFormat="1">
      <c r="A2281" s="33" t="str">
        <f t="shared" si="678"/>
        <v>FY 24/25</v>
      </c>
      <c r="B2281" s="23">
        <v>2024</v>
      </c>
      <c r="C2281" s="152">
        <v>5</v>
      </c>
      <c r="D2281" s="202" t="str">
        <f t="shared" si="679"/>
        <v>Q1</v>
      </c>
      <c r="E2281" s="33" t="s">
        <v>3173</v>
      </c>
      <c r="F2281" s="152">
        <v>2024</v>
      </c>
      <c r="G2281" s="23">
        <v>7</v>
      </c>
      <c r="H2281" s="29"/>
      <c r="I2281" s="202" t="str">
        <f t="shared" si="680"/>
        <v>Q2</v>
      </c>
      <c r="J2281" s="188" t="s">
        <v>3447</v>
      </c>
      <c r="K2281" s="29" t="s">
        <v>1635</v>
      </c>
      <c r="L2281" s="17" t="s">
        <v>93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22" t="s">
        <v>62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127</v>
      </c>
      <c r="W2281" s="22" t="s">
        <v>110</v>
      </c>
      <c r="X2281" s="104">
        <v>12066000</v>
      </c>
      <c r="Y2281" s="195" t="str">
        <f t="shared" si="691"/>
        <v>1</v>
      </c>
      <c r="Z2281" s="196">
        <f t="shared" si="670"/>
        <v>12066000</v>
      </c>
      <c r="AA2281" s="22">
        <v>4.9500000000000002E-2</v>
      </c>
      <c r="AB2281" s="197">
        <f t="shared" si="682"/>
        <v>597267</v>
      </c>
      <c r="AC2281" s="198">
        <f t="shared" si="683"/>
        <v>53813.756699999998</v>
      </c>
      <c r="AD2281" s="169">
        <v>9.01E-2</v>
      </c>
      <c r="AE2281" s="199">
        <f t="shared" si="684"/>
        <v>0</v>
      </c>
      <c r="AF2281" s="199" t="str">
        <f>IF(AND(COUNTIFS($J$18:J2281,J2281)=1,AE2281=1),1,"")</f>
        <v/>
      </c>
      <c r="AG2281" s="199" t="str">
        <f>IF(C2281="","",IF(AND(COUNTIFS($J$18:J2281,J2281)=1,C2281&lt;&gt;""),1,""))</f>
        <v/>
      </c>
      <c r="AH2281" s="199" t="str">
        <f>IF(G2281="","",IF(AND(COUNTIFS($J$18:J2281,J2281)=1,G2281&lt;&gt;""),1,""))</f>
        <v/>
      </c>
      <c r="AI2281" s="200">
        <f t="shared" si="671"/>
        <v>25458266.694690265</v>
      </c>
      <c r="AJ2281" s="200">
        <f t="shared" si="672"/>
        <v>4116526.778578762</v>
      </c>
      <c r="AK2281" s="201">
        <f t="shared" si="685"/>
        <v>0.16169705612508689</v>
      </c>
      <c r="AL2281" s="24"/>
      <c r="AM2281" s="24"/>
      <c r="AN2281" s="24"/>
      <c r="AO2281" s="24"/>
      <c r="AP2281" s="105" t="str">
        <f t="shared" si="686"/>
        <v>20247</v>
      </c>
      <c r="AQ2281" s="28" t="str">
        <f t="shared" si="687"/>
        <v>20247JPY</v>
      </c>
      <c r="AR2281" s="206" t="str">
        <f t="shared" si="688"/>
        <v>YAMAHA_Mounter</v>
      </c>
      <c r="AS2281" s="22">
        <f t="shared" si="689"/>
        <v>2</v>
      </c>
      <c r="AT2281" s="24" t="str">
        <f t="shared" si="690"/>
        <v>0-3 months</v>
      </c>
    </row>
    <row r="2282" spans="1:46" s="12" customFormat="1">
      <c r="A2282" s="33" t="str">
        <f t="shared" si="678"/>
        <v>FY 24/25</v>
      </c>
      <c r="B2282" s="23">
        <v>2024</v>
      </c>
      <c r="C2282" s="23">
        <v>6</v>
      </c>
      <c r="D2282" s="33" t="str">
        <f t="shared" si="679"/>
        <v>Q1</v>
      </c>
      <c r="E2282" s="33" t="str">
        <f t="shared" ref="E2282:E2287" si="692"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202" t="str">
        <f t="shared" si="680"/>
        <v>Q2</v>
      </c>
      <c r="J2282" s="188" t="s">
        <v>3474</v>
      </c>
      <c r="K2282" s="29" t="s">
        <v>3475</v>
      </c>
      <c r="L2282" s="17" t="s">
        <v>93</v>
      </c>
      <c r="M2282" s="13" t="s">
        <v>61</v>
      </c>
      <c r="N2282" s="13">
        <v>1</v>
      </c>
      <c r="O2282" s="22"/>
      <c r="P2282" s="33" t="str">
        <f t="shared" si="681"/>
        <v>MAIN UNIT</v>
      </c>
      <c r="Q2282" s="22" t="s">
        <v>69</v>
      </c>
      <c r="R2282" s="22" t="s">
        <v>63</v>
      </c>
      <c r="S2282" s="22" t="s">
        <v>50</v>
      </c>
      <c r="T2282" s="22" t="s">
        <v>79</v>
      </c>
      <c r="U2282" s="22" t="s">
        <v>79</v>
      </c>
      <c r="V2282" s="22" t="s">
        <v>113</v>
      </c>
      <c r="W2282" s="22" t="s">
        <v>110</v>
      </c>
      <c r="X2282" s="104">
        <v>15000000</v>
      </c>
      <c r="Y2282" s="195" t="str">
        <f t="shared" si="691"/>
        <v>1</v>
      </c>
      <c r="Z2282" s="196">
        <f t="shared" si="670"/>
        <v>15000000</v>
      </c>
      <c r="AA2282" s="22">
        <v>4.9500000000000002E-2</v>
      </c>
      <c r="AB2282" s="197">
        <f t="shared" si="682"/>
        <v>742500</v>
      </c>
      <c r="AC2282" s="198">
        <f t="shared" si="683"/>
        <v>96376.5</v>
      </c>
      <c r="AD2282" s="169">
        <v>0.1298</v>
      </c>
      <c r="AE2282" s="199">
        <f t="shared" si="684"/>
        <v>1</v>
      </c>
      <c r="AF2282" s="199">
        <f>IF(AND(COUNTIFS($J$18:J2282,J2282)=1,AE2282=1),1,"")</f>
        <v>1</v>
      </c>
      <c r="AG2282" s="199">
        <f>IF(C2282="","",IF(AND(COUNTIFS($J$18:J2282,J2282)=1,C2282&lt;&gt;""),1,""))</f>
        <v>1</v>
      </c>
      <c r="AH2282" s="199">
        <f>IF(G2282="","",IF(AND(COUNTIFS($J$18:J2282,J2282)=1,G2282&lt;&gt;""),1,""))</f>
        <v>1</v>
      </c>
      <c r="AI2282" s="200">
        <f t="shared" si="671"/>
        <v>25458266.694690265</v>
      </c>
      <c r="AJ2282" s="200">
        <f t="shared" si="672"/>
        <v>4116526.778578762</v>
      </c>
      <c r="AK2282" s="201">
        <f t="shared" si="685"/>
        <v>0.16169705612508689</v>
      </c>
      <c r="AL2282" s="24"/>
      <c r="AM2282" s="24"/>
      <c r="AN2282" s="24"/>
      <c r="AO2282" s="24"/>
      <c r="AP2282" s="105" t="str">
        <f t="shared" si="686"/>
        <v>20247</v>
      </c>
      <c r="AQ2282" s="28" t="str">
        <f t="shared" si="687"/>
        <v>20247JPY</v>
      </c>
      <c r="AR2282" s="206" t="str">
        <f t="shared" si="688"/>
        <v>YAMAHA_Mounter</v>
      </c>
      <c r="AS2282" s="22">
        <f t="shared" si="689"/>
        <v>1</v>
      </c>
      <c r="AT2282" s="24" t="str">
        <f t="shared" si="690"/>
        <v>0-3 months</v>
      </c>
    </row>
    <row r="2283" spans="1:46" s="12" customFormat="1">
      <c r="A2283" s="33" t="str">
        <f t="shared" si="678"/>
        <v>FY 24/25</v>
      </c>
      <c r="B2283" s="23">
        <v>2024</v>
      </c>
      <c r="C2283" s="23">
        <v>6</v>
      </c>
      <c r="D2283" s="33" t="str">
        <f t="shared" si="679"/>
        <v>Q1</v>
      </c>
      <c r="E2283" s="33" t="str">
        <f t="shared" si="692"/>
        <v>FY 24/25</v>
      </c>
      <c r="F2283" s="23">
        <v>2024</v>
      </c>
      <c r="G2283" s="23">
        <v>7</v>
      </c>
      <c r="H2283" s="29"/>
      <c r="I2283" s="202" t="str">
        <f t="shared" si="680"/>
        <v>Q2</v>
      </c>
      <c r="J2283" s="188" t="s">
        <v>3474</v>
      </c>
      <c r="K2283" s="29" t="s">
        <v>3475</v>
      </c>
      <c r="L2283" s="17" t="s">
        <v>93</v>
      </c>
      <c r="M2283" s="13" t="s">
        <v>61</v>
      </c>
      <c r="N2283" s="13">
        <v>1</v>
      </c>
      <c r="O2283" s="22"/>
      <c r="P2283" s="33" t="str">
        <f t="shared" si="681"/>
        <v>MAIN UNIT</v>
      </c>
      <c r="Q2283" s="22" t="s">
        <v>69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104">
        <v>15000000</v>
      </c>
      <c r="Y2283" s="195" t="str">
        <f t="shared" si="691"/>
        <v>1</v>
      </c>
      <c r="Z2283" s="196">
        <f t="shared" si="670"/>
        <v>15000000</v>
      </c>
      <c r="AA2283" s="22">
        <v>4.9500000000000002E-2</v>
      </c>
      <c r="AB2283" s="197">
        <f t="shared" si="682"/>
        <v>742500</v>
      </c>
      <c r="AC2283" s="198">
        <f t="shared" si="683"/>
        <v>96376.5</v>
      </c>
      <c r="AD2283" s="169">
        <v>0.1298</v>
      </c>
      <c r="AE2283" s="199">
        <f t="shared" si="684"/>
        <v>1</v>
      </c>
      <c r="AF2283" s="199" t="str">
        <f>IF(AND(COUNTIFS($J$18:J2283,J2283)=1,AE2283=1),1,"")</f>
        <v/>
      </c>
      <c r="AG2283" s="199" t="str">
        <f>IF(C2283="","",IF(AND(COUNTIFS($J$18:J2283,J2283)=1,C2283&lt;&gt;""),1,""))</f>
        <v/>
      </c>
      <c r="AH2283" s="199" t="str">
        <f>IF(G2283="","",IF(AND(COUNTIFS($J$18:J2283,J2283)=1,G2283&lt;&gt;""),1,""))</f>
        <v/>
      </c>
      <c r="AI2283" s="200">
        <f t="shared" si="671"/>
        <v>25458266.694690265</v>
      </c>
      <c r="AJ2283" s="200">
        <f t="shared" si="672"/>
        <v>4116526.778578762</v>
      </c>
      <c r="AK2283" s="201">
        <f t="shared" si="685"/>
        <v>0.16169705612508689</v>
      </c>
      <c r="AL2283" s="24"/>
      <c r="AM2283" s="24"/>
      <c r="AN2283" s="24"/>
      <c r="AO2283" s="24"/>
      <c r="AP2283" s="105" t="str">
        <f t="shared" si="686"/>
        <v>20247</v>
      </c>
      <c r="AQ2283" s="28" t="str">
        <f t="shared" si="687"/>
        <v>20247JPY</v>
      </c>
      <c r="AR2283" s="206" t="str">
        <f t="shared" si="688"/>
        <v>YAMAHA_Mounter</v>
      </c>
      <c r="AS2283" s="22">
        <f t="shared" si="689"/>
        <v>1</v>
      </c>
      <c r="AT2283" s="24" t="str">
        <f t="shared" si="690"/>
        <v>0-3 months</v>
      </c>
    </row>
    <row r="2284" spans="1:46" s="12" customFormat="1">
      <c r="A2284" s="33" t="str">
        <f t="shared" si="678"/>
        <v>FY 24/25</v>
      </c>
      <c r="B2284" s="23">
        <v>2024</v>
      </c>
      <c r="C2284" s="23">
        <v>6</v>
      </c>
      <c r="D2284" s="33" t="str">
        <f t="shared" si="679"/>
        <v>Q1</v>
      </c>
      <c r="E2284" s="33" t="str">
        <f t="shared" si="692"/>
        <v>FY 24/25</v>
      </c>
      <c r="F2284" s="23">
        <v>2024</v>
      </c>
      <c r="G2284" s="23">
        <v>7</v>
      </c>
      <c r="H2284" s="29"/>
      <c r="I2284" s="202" t="str">
        <f t="shared" si="680"/>
        <v>Q2</v>
      </c>
      <c r="J2284" s="188" t="s">
        <v>3474</v>
      </c>
      <c r="K2284" s="29" t="s">
        <v>3475</v>
      </c>
      <c r="L2284" s="17" t="s">
        <v>68</v>
      </c>
      <c r="M2284" s="13" t="s">
        <v>61</v>
      </c>
      <c r="N2284" s="13">
        <v>1</v>
      </c>
      <c r="O2284" s="22"/>
      <c r="P2284" s="33" t="str">
        <f t="shared" si="681"/>
        <v>MAIN UNIT</v>
      </c>
      <c r="Q2284" s="22" t="s">
        <v>69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104">
        <v>10225000</v>
      </c>
      <c r="Y2284" s="195" t="str">
        <f t="shared" si="691"/>
        <v>1</v>
      </c>
      <c r="Z2284" s="196">
        <f t="shared" si="670"/>
        <v>10225000</v>
      </c>
      <c r="AA2284" s="22">
        <v>4.9500000000000002E-2</v>
      </c>
      <c r="AB2284" s="197">
        <f t="shared" si="682"/>
        <v>506137.5</v>
      </c>
      <c r="AC2284" s="198">
        <f t="shared" si="683"/>
        <v>65696.647500000006</v>
      </c>
      <c r="AD2284" s="169">
        <v>0.1298</v>
      </c>
      <c r="AE2284" s="199">
        <f t="shared" si="684"/>
        <v>1</v>
      </c>
      <c r="AF2284" s="199" t="str">
        <f>IF(AND(COUNTIFS($J$18:J2284,J2284)=1,AE2284=1),1,"")</f>
        <v/>
      </c>
      <c r="AG2284" s="199" t="str">
        <f>IF(C2284="","",IF(AND(COUNTIFS($J$18:J2284,J2284)=1,C2284&lt;&gt;""),1,""))</f>
        <v/>
      </c>
      <c r="AH2284" s="199" t="str">
        <f>IF(G2284="","",IF(AND(COUNTIFS($J$18:J2284,J2284)=1,G2284&lt;&gt;""),1,""))</f>
        <v/>
      </c>
      <c r="AI2284" s="200">
        <f t="shared" si="671"/>
        <v>25458266.694690265</v>
      </c>
      <c r="AJ2284" s="200">
        <f t="shared" si="672"/>
        <v>4116526.778578762</v>
      </c>
      <c r="AK2284" s="201">
        <f t="shared" si="685"/>
        <v>0.16169705612508689</v>
      </c>
      <c r="AL2284" s="24"/>
      <c r="AM2284" s="24"/>
      <c r="AN2284" s="24"/>
      <c r="AO2284" s="24"/>
      <c r="AP2284" s="105" t="str">
        <f t="shared" si="686"/>
        <v>20247</v>
      </c>
      <c r="AQ2284" s="28" t="str">
        <f t="shared" si="687"/>
        <v>20247JPY</v>
      </c>
      <c r="AR2284" s="206" t="str">
        <f t="shared" si="688"/>
        <v>YAMAHA_Mounter</v>
      </c>
      <c r="AS2284" s="22">
        <f t="shared" si="689"/>
        <v>1</v>
      </c>
      <c r="AT2284" s="24" t="str">
        <f t="shared" si="690"/>
        <v>0-3 months</v>
      </c>
    </row>
    <row r="2285" spans="1:46" s="12" customFormat="1">
      <c r="A2285" s="33" t="str">
        <f t="shared" si="678"/>
        <v>FY 24/25</v>
      </c>
      <c r="B2285" s="23">
        <v>2024</v>
      </c>
      <c r="C2285" s="23">
        <v>6</v>
      </c>
      <c r="D2285" s="33" t="str">
        <f t="shared" si="679"/>
        <v>Q1</v>
      </c>
      <c r="E2285" s="33" t="str">
        <f t="shared" si="692"/>
        <v>FY 24/25</v>
      </c>
      <c r="F2285" s="23">
        <v>2024</v>
      </c>
      <c r="G2285" s="23">
        <v>7</v>
      </c>
      <c r="H2285" s="29"/>
      <c r="I2285" s="202" t="str">
        <f t="shared" si="680"/>
        <v>Q2</v>
      </c>
      <c r="J2285" s="188" t="s">
        <v>3482</v>
      </c>
      <c r="K2285" s="29" t="s">
        <v>580</v>
      </c>
      <c r="L2285" s="17" t="s">
        <v>93</v>
      </c>
      <c r="M2285" s="13" t="s">
        <v>61</v>
      </c>
      <c r="N2285" s="13">
        <v>1</v>
      </c>
      <c r="O2285" s="22"/>
      <c r="P2285" s="33" t="str">
        <f t="shared" si="681"/>
        <v>MAIN UNIT</v>
      </c>
      <c r="Q2285" s="22" t="s">
        <v>62</v>
      </c>
      <c r="R2285" s="22" t="s">
        <v>63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729350</v>
      </c>
      <c r="Y2285" s="195" t="str">
        <f t="shared" si="691"/>
        <v>1.13</v>
      </c>
      <c r="Z2285" s="196">
        <f t="shared" si="670"/>
        <v>729350</v>
      </c>
      <c r="AA2285" s="22">
        <v>1.075</v>
      </c>
      <c r="AB2285" s="197">
        <f t="shared" si="682"/>
        <v>693850.66371681425</v>
      </c>
      <c r="AC2285" s="198">
        <f t="shared" si="683"/>
        <v>90061.816150442493</v>
      </c>
      <c r="AD2285" s="169">
        <v>0.1298</v>
      </c>
      <c r="AE2285" s="199">
        <f t="shared" si="684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71"/>
        <v>25458266.694690265</v>
      </c>
      <c r="AJ2285" s="200">
        <f t="shared" si="672"/>
        <v>4116526.778578762</v>
      </c>
      <c r="AK2285" s="201">
        <f t="shared" si="685"/>
        <v>0.16169705612508689</v>
      </c>
      <c r="AL2285" s="24"/>
      <c r="AM2285" s="24"/>
      <c r="AN2285" s="24"/>
      <c r="AO2285" s="24"/>
      <c r="AP2285" s="105" t="str">
        <f t="shared" si="686"/>
        <v>20247</v>
      </c>
      <c r="AQ2285" s="28" t="str">
        <f t="shared" si="687"/>
        <v>20247RMB</v>
      </c>
      <c r="AR2285" s="206" t="str">
        <f t="shared" si="688"/>
        <v>YAMAHA_Mounter</v>
      </c>
      <c r="AS2285" s="22">
        <f t="shared" si="689"/>
        <v>1</v>
      </c>
      <c r="AT2285" s="24" t="str">
        <f t="shared" si="690"/>
        <v>0-3 months</v>
      </c>
    </row>
    <row r="2286" spans="1:46" s="12" customFormat="1">
      <c r="A2286" s="33" t="str">
        <f t="shared" si="678"/>
        <v>FY 24/25</v>
      </c>
      <c r="B2286" s="23">
        <v>2024</v>
      </c>
      <c r="C2286" s="23">
        <v>6</v>
      </c>
      <c r="D2286" s="33" t="str">
        <f t="shared" si="679"/>
        <v>Q1</v>
      </c>
      <c r="E2286" s="33" t="str">
        <f t="shared" si="692"/>
        <v>FY 24/25</v>
      </c>
      <c r="F2286" s="23">
        <v>2024</v>
      </c>
      <c r="G2286" s="23">
        <v>7</v>
      </c>
      <c r="H2286" s="29"/>
      <c r="I2286" s="202" t="str">
        <f t="shared" si="680"/>
        <v>Q2</v>
      </c>
      <c r="J2286" s="188" t="s">
        <v>3482</v>
      </c>
      <c r="K2286" s="29" t="s">
        <v>580</v>
      </c>
      <c r="L2286" s="17" t="s">
        <v>93</v>
      </c>
      <c r="M2286" s="13" t="s">
        <v>61</v>
      </c>
      <c r="N2286" s="13">
        <v>1</v>
      </c>
      <c r="O2286" s="22"/>
      <c r="P2286" s="33" t="str">
        <f t="shared" si="681"/>
        <v>MAIN UNIT</v>
      </c>
      <c r="Q2286" s="22" t="s">
        <v>62</v>
      </c>
      <c r="R2286" s="22" t="s">
        <v>63</v>
      </c>
      <c r="S2286" s="22" t="s">
        <v>51</v>
      </c>
      <c r="T2286" s="22" t="s">
        <v>102</v>
      </c>
      <c r="U2286" s="22" t="s">
        <v>71</v>
      </c>
      <c r="V2286" s="22" t="s">
        <v>103</v>
      </c>
      <c r="W2286" s="22" t="s">
        <v>65</v>
      </c>
      <c r="X2286" s="104">
        <v>729350</v>
      </c>
      <c r="Y2286" s="195" t="str">
        <f t="shared" si="691"/>
        <v>1.13</v>
      </c>
      <c r="Z2286" s="196">
        <f t="shared" si="670"/>
        <v>729350</v>
      </c>
      <c r="AA2286" s="22">
        <v>1.075</v>
      </c>
      <c r="AB2286" s="197">
        <f t="shared" si="682"/>
        <v>693850.66371681425</v>
      </c>
      <c r="AC2286" s="198">
        <f t="shared" si="683"/>
        <v>90061.816150442493</v>
      </c>
      <c r="AD2286" s="169">
        <v>0.1298</v>
      </c>
      <c r="AE2286" s="199">
        <f t="shared" si="684"/>
        <v>0</v>
      </c>
      <c r="AF2286" s="199" t="str">
        <f>IF(AND(COUNTIFS($J$18:J2286,J2286)=1,AE2286=1),1,"")</f>
        <v/>
      </c>
      <c r="AG2286" s="199" t="str">
        <f>IF(C2286="","",IF(AND(COUNTIFS($J$18:J2286,J2286)=1,C2286&lt;&gt;""),1,""))</f>
        <v/>
      </c>
      <c r="AH2286" s="199" t="str">
        <f>IF(G2286="","",IF(AND(COUNTIFS($J$18:J2286,J2286)=1,G2286&lt;&gt;""),1,""))</f>
        <v/>
      </c>
      <c r="AI2286" s="200">
        <f t="shared" si="671"/>
        <v>25458266.694690265</v>
      </c>
      <c r="AJ2286" s="200">
        <f t="shared" si="672"/>
        <v>4116526.778578762</v>
      </c>
      <c r="AK2286" s="201">
        <f t="shared" si="685"/>
        <v>0.16169705612508689</v>
      </c>
      <c r="AL2286" s="24"/>
      <c r="AM2286" s="24"/>
      <c r="AN2286" s="24"/>
      <c r="AO2286" s="24"/>
      <c r="AP2286" s="105" t="str">
        <f t="shared" si="686"/>
        <v>20247</v>
      </c>
      <c r="AQ2286" s="28" t="str">
        <f t="shared" si="687"/>
        <v>20247RMB</v>
      </c>
      <c r="AR2286" s="206" t="str">
        <f t="shared" si="688"/>
        <v>YAMAHA_Mounter</v>
      </c>
      <c r="AS2286" s="22">
        <f t="shared" si="689"/>
        <v>1</v>
      </c>
      <c r="AT2286" s="24" t="str">
        <f t="shared" si="690"/>
        <v>0-3 months</v>
      </c>
    </row>
    <row r="2287" spans="1:46" s="12" customFormat="1">
      <c r="A2287" s="33" t="str">
        <f t="shared" si="678"/>
        <v>FY 24/25</v>
      </c>
      <c r="B2287" s="23">
        <v>2024</v>
      </c>
      <c r="C2287" s="23">
        <v>6</v>
      </c>
      <c r="D2287" s="33" t="str">
        <f t="shared" si="679"/>
        <v>Q1</v>
      </c>
      <c r="E2287" s="33" t="str">
        <f t="shared" si="692"/>
        <v>FY 24/25</v>
      </c>
      <c r="F2287" s="23">
        <v>2024</v>
      </c>
      <c r="G2287" s="23">
        <v>7</v>
      </c>
      <c r="H2287" s="29"/>
      <c r="I2287" s="202" t="str">
        <f t="shared" si="680"/>
        <v>Q2</v>
      </c>
      <c r="J2287" s="188" t="s">
        <v>3482</v>
      </c>
      <c r="K2287" s="29" t="s">
        <v>580</v>
      </c>
      <c r="L2287" s="17" t="s">
        <v>2621</v>
      </c>
      <c r="M2287" s="13" t="s">
        <v>61</v>
      </c>
      <c r="N2287" s="13">
        <v>1</v>
      </c>
      <c r="O2287" s="22"/>
      <c r="P2287" s="33" t="str">
        <f t="shared" si="681"/>
        <v>MAIN UNIT</v>
      </c>
      <c r="Q2287" s="22" t="s">
        <v>62</v>
      </c>
      <c r="R2287" s="22" t="s">
        <v>2056</v>
      </c>
      <c r="S2287" s="22" t="s">
        <v>51</v>
      </c>
      <c r="T2287" s="22" t="s">
        <v>102</v>
      </c>
      <c r="U2287" s="22" t="s">
        <v>71</v>
      </c>
      <c r="V2287" s="22" t="s">
        <v>103</v>
      </c>
      <c r="W2287" s="22" t="s">
        <v>65</v>
      </c>
      <c r="X2287" s="104">
        <v>330000</v>
      </c>
      <c r="Y2287" s="195" t="str">
        <f t="shared" si="691"/>
        <v>1.13</v>
      </c>
      <c r="Z2287" s="196">
        <f t="shared" si="670"/>
        <v>330000</v>
      </c>
      <c r="AA2287" s="22">
        <v>1.075</v>
      </c>
      <c r="AB2287" s="197">
        <f t="shared" si="682"/>
        <v>313938.05309734517</v>
      </c>
      <c r="AC2287" s="198">
        <f t="shared" si="683"/>
        <v>40749.159292035401</v>
      </c>
      <c r="AD2287" s="169">
        <v>0.1298</v>
      </c>
      <c r="AE2287" s="199">
        <f t="shared" si="684"/>
        <v>0</v>
      </c>
      <c r="AF2287" s="199" t="str">
        <f>IF(AND(COUNTIFS($J$18:J2287,J2287)=1,AE2287=1),1,"")</f>
        <v/>
      </c>
      <c r="AG2287" s="199" t="str">
        <f>IF(C2287="","",IF(AND(COUNTIFS($J$18:J2287,J2287)=1,C2287&lt;&gt;""),1,""))</f>
        <v/>
      </c>
      <c r="AH2287" s="199" t="str">
        <f>IF(G2287="","",IF(AND(COUNTIFS($J$18:J2287,J2287)=1,G2287&lt;&gt;""),1,""))</f>
        <v/>
      </c>
      <c r="AI2287" s="200">
        <f t="shared" si="671"/>
        <v>25458266.694690265</v>
      </c>
      <c r="AJ2287" s="200">
        <f t="shared" si="672"/>
        <v>4116526.778578762</v>
      </c>
      <c r="AK2287" s="201">
        <f t="shared" si="685"/>
        <v>0.16169705612508689</v>
      </c>
      <c r="AL2287" s="24"/>
      <c r="AM2287" s="24"/>
      <c r="AN2287" s="24"/>
      <c r="AO2287" s="24"/>
      <c r="AP2287" s="105" t="str">
        <f t="shared" si="686"/>
        <v>20247</v>
      </c>
      <c r="AQ2287" s="28" t="str">
        <f t="shared" si="687"/>
        <v>20247RMB</v>
      </c>
      <c r="AR2287" s="206" t="str">
        <f t="shared" si="688"/>
        <v>YAMAHA_Non_Mounter</v>
      </c>
      <c r="AS2287" s="22">
        <f t="shared" si="689"/>
        <v>1</v>
      </c>
      <c r="AT2287" s="24" t="str">
        <f t="shared" si="690"/>
        <v>0-3 months</v>
      </c>
    </row>
    <row r="2288" spans="1:46" s="12" customFormat="1">
      <c r="A2288" s="33" t="str">
        <f t="shared" si="678"/>
        <v>FY 24/25</v>
      </c>
      <c r="B2288" s="23">
        <v>2024</v>
      </c>
      <c r="C2288" s="23">
        <v>7</v>
      </c>
      <c r="D2288" s="202" t="str">
        <f t="shared" si="679"/>
        <v>Q2</v>
      </c>
      <c r="E2288" s="33" t="s">
        <v>3173</v>
      </c>
      <c r="F2288" s="23">
        <v>2024</v>
      </c>
      <c r="G2288" s="23">
        <v>7</v>
      </c>
      <c r="H2288" s="29"/>
      <c r="I2288" s="202" t="str">
        <f t="shared" si="680"/>
        <v>Q2</v>
      </c>
      <c r="J2288" s="188" t="s">
        <v>3490</v>
      </c>
      <c r="K2288" s="29" t="s">
        <v>3450</v>
      </c>
      <c r="L2288" s="17" t="s">
        <v>2621</v>
      </c>
      <c r="M2288" s="13" t="s">
        <v>61</v>
      </c>
      <c r="N2288" s="13">
        <v>1</v>
      </c>
      <c r="O2288" s="22"/>
      <c r="P2288" s="202" t="str">
        <f t="shared" si="681"/>
        <v>MAIN UNIT</v>
      </c>
      <c r="Q2288" s="22" t="s">
        <v>62</v>
      </c>
      <c r="R2288" s="22" t="s">
        <v>2056</v>
      </c>
      <c r="S2288" s="22" t="s">
        <v>50</v>
      </c>
      <c r="T2288" s="22" t="s">
        <v>79</v>
      </c>
      <c r="U2288" s="22" t="s">
        <v>79</v>
      </c>
      <c r="V2288" s="22" t="s">
        <v>81</v>
      </c>
      <c r="W2288" s="22" t="s">
        <v>110</v>
      </c>
      <c r="X2288" s="104">
        <v>8080000</v>
      </c>
      <c r="Y2288" s="195" t="str">
        <f t="shared" si="691"/>
        <v>1</v>
      </c>
      <c r="Z2288" s="196">
        <f t="shared" si="670"/>
        <v>8080000</v>
      </c>
      <c r="AA2288" s="22">
        <v>4.9500000000000002E-2</v>
      </c>
      <c r="AB2288" s="197">
        <f t="shared" si="682"/>
        <v>399960</v>
      </c>
      <c r="AC2288" s="198">
        <f t="shared" si="683"/>
        <v>62553.744000000006</v>
      </c>
      <c r="AD2288" s="169">
        <v>0.15640000000000001</v>
      </c>
      <c r="AE2288" s="199">
        <f t="shared" si="684"/>
        <v>0</v>
      </c>
      <c r="AF2288" s="199" t="str">
        <f>IF(AND(COUNTIFS($J$18:J2288,J2288)=1,AE2288=1),1,"")</f>
        <v/>
      </c>
      <c r="AG2288" s="199">
        <f>IF(C2288="","",IF(AND(COUNTIFS($J$18:J2288,J2288)=1,C2288&lt;&gt;""),1,""))</f>
        <v>1</v>
      </c>
      <c r="AH2288" s="199">
        <f>IF(G2288="","",IF(AND(COUNTIFS($J$18:J2288,J2288)=1,G2288&lt;&gt;""),1,""))</f>
        <v>1</v>
      </c>
      <c r="AI2288" s="200">
        <f t="shared" si="671"/>
        <v>25458266.694690265</v>
      </c>
      <c r="AJ2288" s="200">
        <f t="shared" si="672"/>
        <v>4116526.778578762</v>
      </c>
      <c r="AK2288" s="201">
        <f t="shared" si="685"/>
        <v>0.16169705612508689</v>
      </c>
      <c r="AL2288" s="24"/>
      <c r="AM2288" s="24"/>
      <c r="AN2288" s="24"/>
      <c r="AO2288" s="24"/>
      <c r="AP2288" s="105" t="str">
        <f t="shared" si="686"/>
        <v>20247</v>
      </c>
      <c r="AQ2288" s="28" t="str">
        <f t="shared" si="687"/>
        <v>20247JPY</v>
      </c>
      <c r="AR2288" s="206" t="str">
        <f t="shared" si="688"/>
        <v>YAMAHA_Non_Mounter</v>
      </c>
      <c r="AS2288" s="22">
        <f t="shared" si="689"/>
        <v>0</v>
      </c>
      <c r="AT2288" s="24" t="str">
        <f t="shared" si="690"/>
        <v>0-3 months</v>
      </c>
    </row>
    <row r="2289" spans="1:46" s="12" customFormat="1">
      <c r="A2289" s="33" t="str">
        <f t="shared" si="678"/>
        <v>FY 24/25</v>
      </c>
      <c r="B2289" s="23">
        <v>2024</v>
      </c>
      <c r="C2289" s="23">
        <v>7</v>
      </c>
      <c r="D2289" s="202" t="str">
        <f t="shared" si="679"/>
        <v>Q2</v>
      </c>
      <c r="E2289" s="33" t="str">
        <f>IF(G2289="Cancel","Cancel",IF(G2289="TBA","TBA",IFERROR(IF(I2289="Q4","FY "&amp;RIGHT(F2289,2)-1&amp;"/"&amp;RIGHT(F2289,2),"FY "&amp;RIGHT(F2289,2)&amp;"/"&amp;RIGHT(F2289,2)+1),"")))</f>
        <v>FY 24/25</v>
      </c>
      <c r="F2289" s="23">
        <v>2024</v>
      </c>
      <c r="G2289" s="23">
        <v>7</v>
      </c>
      <c r="H2289" s="29"/>
      <c r="I2289" s="202" t="str">
        <f t="shared" si="680"/>
        <v>Q2</v>
      </c>
      <c r="J2289" s="188" t="s">
        <v>3500</v>
      </c>
      <c r="K2289" s="29" t="s">
        <v>257</v>
      </c>
      <c r="L2289" s="17" t="s">
        <v>93</v>
      </c>
      <c r="M2289" s="13" t="s">
        <v>61</v>
      </c>
      <c r="N2289" s="13">
        <v>1</v>
      </c>
      <c r="O2289" s="22"/>
      <c r="P2289" s="202" t="str">
        <f t="shared" si="681"/>
        <v>MAIN UNIT</v>
      </c>
      <c r="Q2289" s="22" t="s">
        <v>62</v>
      </c>
      <c r="R2289" s="22" t="s">
        <v>63</v>
      </c>
      <c r="S2289" s="22" t="s">
        <v>51</v>
      </c>
      <c r="T2289" s="22" t="s">
        <v>102</v>
      </c>
      <c r="U2289" s="22" t="s">
        <v>71</v>
      </c>
      <c r="V2289" s="22" t="s">
        <v>72</v>
      </c>
      <c r="W2289" s="22" t="s">
        <v>65</v>
      </c>
      <c r="X2289" s="104">
        <v>700000</v>
      </c>
      <c r="Y2289" s="195" t="str">
        <f t="shared" si="691"/>
        <v>1.13</v>
      </c>
      <c r="Z2289" s="196">
        <f t="shared" si="670"/>
        <v>700000</v>
      </c>
      <c r="AA2289" s="22">
        <v>1.075</v>
      </c>
      <c r="AB2289" s="197">
        <f t="shared" si="682"/>
        <v>665929.20353982295</v>
      </c>
      <c r="AC2289" s="198">
        <f t="shared" si="683"/>
        <v>92630.752212389372</v>
      </c>
      <c r="AD2289" s="169">
        <v>0.1391</v>
      </c>
      <c r="AE2289" s="199">
        <f t="shared" si="684"/>
        <v>0</v>
      </c>
      <c r="AF2289" s="199" t="str">
        <f>IF(AND(COUNTIFS($J$18:J2289,J2289)=1,AE2289=1),1,"")</f>
        <v/>
      </c>
      <c r="AG2289" s="199">
        <f>IF(C2289="","",IF(AND(COUNTIFS($J$18:J2289,J2289)=1,C2289&lt;&gt;""),1,""))</f>
        <v>1</v>
      </c>
      <c r="AH2289" s="199">
        <f>IF(G2289="","",IF(AND(COUNTIFS($J$18:J2289,J2289)=1,G2289&lt;&gt;""),1,""))</f>
        <v>1</v>
      </c>
      <c r="AI2289" s="200">
        <f t="shared" si="671"/>
        <v>25458266.694690265</v>
      </c>
      <c r="AJ2289" s="200">
        <f t="shared" si="672"/>
        <v>4116526.778578762</v>
      </c>
      <c r="AK2289" s="201">
        <f t="shared" si="685"/>
        <v>0.16169705612508689</v>
      </c>
      <c r="AL2289" s="24"/>
      <c r="AM2289" s="24"/>
      <c r="AN2289" s="24"/>
      <c r="AO2289" s="24"/>
      <c r="AP2289" s="105" t="str">
        <f t="shared" si="686"/>
        <v>20247</v>
      </c>
      <c r="AQ2289" s="28" t="str">
        <f t="shared" si="687"/>
        <v>20247RMB</v>
      </c>
      <c r="AR2289" s="206" t="str">
        <f t="shared" si="688"/>
        <v>YAMAHA_Mounter</v>
      </c>
      <c r="AS2289" s="22">
        <f t="shared" si="689"/>
        <v>0</v>
      </c>
      <c r="AT2289" s="24" t="str">
        <f t="shared" si="690"/>
        <v>0-3 months</v>
      </c>
    </row>
    <row r="2290" spans="1:46" s="12" customFormat="1">
      <c r="A2290" s="33" t="str">
        <f t="shared" si="678"/>
        <v>FY 24/25</v>
      </c>
      <c r="B2290" s="23">
        <v>2024</v>
      </c>
      <c r="C2290" s="23">
        <v>7</v>
      </c>
      <c r="D2290" s="202" t="str">
        <f t="shared" si="679"/>
        <v>Q2</v>
      </c>
      <c r="E2290" s="33" t="str">
        <f>IF(G2290="Cancel","Cancel",IF(G2290="TBA","TBA",IFERROR(IF(I2290="Q4","FY "&amp;RIGHT(F2290,2)-1&amp;"/"&amp;RIGHT(F2290,2),"FY "&amp;RIGHT(F2290,2)&amp;"/"&amp;RIGHT(F2290,2)+1),"")))</f>
        <v>FY 24/25</v>
      </c>
      <c r="F2290" s="23">
        <v>2024</v>
      </c>
      <c r="G2290" s="23">
        <v>7</v>
      </c>
      <c r="H2290" s="29"/>
      <c r="I2290" s="202" t="str">
        <f t="shared" si="680"/>
        <v>Q2</v>
      </c>
      <c r="J2290" s="188" t="s">
        <v>3500</v>
      </c>
      <c r="K2290" s="29" t="s">
        <v>257</v>
      </c>
      <c r="L2290" s="17" t="s">
        <v>68</v>
      </c>
      <c r="M2290" s="13" t="s">
        <v>61</v>
      </c>
      <c r="N2290" s="13">
        <v>1</v>
      </c>
      <c r="O2290" s="22"/>
      <c r="P2290" s="202" t="str">
        <f t="shared" si="681"/>
        <v>MAIN UNIT</v>
      </c>
      <c r="Q2290" s="22" t="s">
        <v>62</v>
      </c>
      <c r="R2290" s="22" t="s">
        <v>63</v>
      </c>
      <c r="S2290" s="22" t="s">
        <v>51</v>
      </c>
      <c r="T2290" s="22" t="s">
        <v>102</v>
      </c>
      <c r="U2290" s="22" t="s">
        <v>71</v>
      </c>
      <c r="V2290" s="22" t="s">
        <v>72</v>
      </c>
      <c r="W2290" s="22" t="s">
        <v>65</v>
      </c>
      <c r="X2290" s="104">
        <v>455000</v>
      </c>
      <c r="Y2290" s="195" t="str">
        <f t="shared" si="691"/>
        <v>1.13</v>
      </c>
      <c r="Z2290" s="196">
        <f t="shared" si="670"/>
        <v>455000</v>
      </c>
      <c r="AA2290" s="22">
        <v>1.075</v>
      </c>
      <c r="AB2290" s="197">
        <f t="shared" si="682"/>
        <v>432853.98230088496</v>
      </c>
      <c r="AC2290" s="198">
        <f t="shared" si="683"/>
        <v>60209.988938053102</v>
      </c>
      <c r="AD2290" s="169">
        <v>0.1391</v>
      </c>
      <c r="AE2290" s="199">
        <f t="shared" si="684"/>
        <v>0</v>
      </c>
      <c r="AF2290" s="199" t="str">
        <f>IF(AND(COUNTIFS($J$18:J2290,J2290)=1,AE2290=1),1,"")</f>
        <v/>
      </c>
      <c r="AG2290" s="199" t="str">
        <f>IF(C2290="","",IF(AND(COUNTIFS($J$18:J2290,J2290)=1,C2290&lt;&gt;""),1,""))</f>
        <v/>
      </c>
      <c r="AH2290" s="199" t="str">
        <f>IF(G2290="","",IF(AND(COUNTIFS($J$18:J2290,J2290)=1,G2290&lt;&gt;""),1,""))</f>
        <v/>
      </c>
      <c r="AI2290" s="200">
        <f t="shared" si="671"/>
        <v>25458266.694690265</v>
      </c>
      <c r="AJ2290" s="200">
        <f t="shared" si="672"/>
        <v>4116526.778578762</v>
      </c>
      <c r="AK2290" s="201">
        <f t="shared" si="685"/>
        <v>0.16169705612508689</v>
      </c>
      <c r="AL2290" s="24"/>
      <c r="AM2290" s="24"/>
      <c r="AN2290" s="24"/>
      <c r="AO2290" s="24"/>
      <c r="AP2290" s="105" t="str">
        <f t="shared" si="686"/>
        <v>20247</v>
      </c>
      <c r="AQ2290" s="28" t="str">
        <f t="shared" si="687"/>
        <v>20247RMB</v>
      </c>
      <c r="AR2290" s="206" t="str">
        <f t="shared" si="688"/>
        <v>YAMAHA_Mounter</v>
      </c>
      <c r="AS2290" s="22">
        <f t="shared" si="689"/>
        <v>0</v>
      </c>
      <c r="AT2290" s="24" t="str">
        <f t="shared" si="690"/>
        <v>0-3 months</v>
      </c>
    </row>
    <row r="2291" spans="1:46" s="12" customFormat="1">
      <c r="A2291" s="33" t="str">
        <f t="shared" si="678"/>
        <v>FY 24/25</v>
      </c>
      <c r="B2291" s="23">
        <v>2024</v>
      </c>
      <c r="C2291" s="23">
        <v>7</v>
      </c>
      <c r="D2291" s="202" t="str">
        <f t="shared" si="679"/>
        <v>Q2</v>
      </c>
      <c r="E2291" s="33" t="str">
        <f>IF(G2291="Cancel","Cancel",IF(G2291="TBA","TBA",IFERROR(IF(I2291="Q4","FY "&amp;RIGHT(F2291,2)-1&amp;"/"&amp;RIGHT(F2291,2),"FY "&amp;RIGHT(F2291,2)&amp;"/"&amp;RIGHT(F2291,2)+1),"")))</f>
        <v>FY 24/25</v>
      </c>
      <c r="F2291" s="23">
        <v>2024</v>
      </c>
      <c r="G2291" s="23">
        <v>7</v>
      </c>
      <c r="H2291" s="29"/>
      <c r="I2291" s="202" t="str">
        <f t="shared" si="680"/>
        <v>Q2</v>
      </c>
      <c r="J2291" s="188" t="s">
        <v>3500</v>
      </c>
      <c r="K2291" s="29" t="s">
        <v>257</v>
      </c>
      <c r="L2291" s="17" t="s">
        <v>68</v>
      </c>
      <c r="M2291" s="13" t="s">
        <v>61</v>
      </c>
      <c r="N2291" s="13">
        <v>1</v>
      </c>
      <c r="O2291" s="22"/>
      <c r="P2291" s="202" t="str">
        <f t="shared" si="681"/>
        <v>MAIN UNIT</v>
      </c>
      <c r="Q2291" s="22" t="s">
        <v>62</v>
      </c>
      <c r="R2291" s="22" t="s">
        <v>63</v>
      </c>
      <c r="S2291" s="22" t="s">
        <v>51</v>
      </c>
      <c r="T2291" s="22" t="s">
        <v>102</v>
      </c>
      <c r="U2291" s="22" t="s">
        <v>71</v>
      </c>
      <c r="V2291" s="22" t="s">
        <v>72</v>
      </c>
      <c r="W2291" s="22" t="s">
        <v>65</v>
      </c>
      <c r="X2291" s="104">
        <v>455000</v>
      </c>
      <c r="Y2291" s="195" t="str">
        <f t="shared" si="691"/>
        <v>1.13</v>
      </c>
      <c r="Z2291" s="196">
        <f t="shared" si="670"/>
        <v>455000</v>
      </c>
      <c r="AA2291" s="22">
        <v>1.075</v>
      </c>
      <c r="AB2291" s="197">
        <f t="shared" si="682"/>
        <v>432853.98230088496</v>
      </c>
      <c r="AC2291" s="198">
        <f t="shared" si="683"/>
        <v>60209.988938053102</v>
      </c>
      <c r="AD2291" s="169">
        <v>0.1391</v>
      </c>
      <c r="AE2291" s="199">
        <f t="shared" si="684"/>
        <v>0</v>
      </c>
      <c r="AF2291" s="199" t="str">
        <f>IF(AND(COUNTIFS($J$18:J2291,J2291)=1,AE2291=1),1,"")</f>
        <v/>
      </c>
      <c r="AG2291" s="199" t="str">
        <f>IF(C2291="","",IF(AND(COUNTIFS($J$18:J2291,J2291)=1,C2291&lt;&gt;""),1,""))</f>
        <v/>
      </c>
      <c r="AH2291" s="199" t="str">
        <f>IF(G2291="","",IF(AND(COUNTIFS($J$18:J2291,J2291)=1,G2291&lt;&gt;""),1,""))</f>
        <v/>
      </c>
      <c r="AI2291" s="200">
        <f t="shared" si="671"/>
        <v>25458266.694690265</v>
      </c>
      <c r="AJ2291" s="200">
        <f t="shared" si="672"/>
        <v>4116526.778578762</v>
      </c>
      <c r="AK2291" s="201">
        <f t="shared" si="685"/>
        <v>0.16169705612508689</v>
      </c>
      <c r="AL2291" s="24"/>
      <c r="AM2291" s="24"/>
      <c r="AN2291" s="24"/>
      <c r="AO2291" s="24"/>
      <c r="AP2291" s="105" t="str">
        <f t="shared" si="686"/>
        <v>20247</v>
      </c>
      <c r="AQ2291" s="28" t="str">
        <f t="shared" si="687"/>
        <v>20247RMB</v>
      </c>
      <c r="AR2291" s="206" t="str">
        <f t="shared" si="688"/>
        <v>YAMAHA_Mounter</v>
      </c>
      <c r="AS2291" s="22">
        <f t="shared" si="689"/>
        <v>0</v>
      </c>
      <c r="AT2291" s="24" t="str">
        <f t="shared" si="690"/>
        <v>0-3 months</v>
      </c>
    </row>
    <row r="2292" spans="1:46" s="12" customFormat="1">
      <c r="A2292" s="33" t="str">
        <f t="shared" si="678"/>
        <v>FY 24/25</v>
      </c>
      <c r="B2292" s="23">
        <v>2024</v>
      </c>
      <c r="C2292" s="152">
        <v>5</v>
      </c>
      <c r="D2292" s="202" t="str">
        <f t="shared" si="679"/>
        <v>Q1</v>
      </c>
      <c r="E2292" s="33" t="s">
        <v>3173</v>
      </c>
      <c r="F2292" s="23">
        <v>2024</v>
      </c>
      <c r="G2292" s="23">
        <v>8</v>
      </c>
      <c r="H2292" s="29"/>
      <c r="I2292" s="202" t="str">
        <f t="shared" si="680"/>
        <v>Q2</v>
      </c>
      <c r="J2292" s="188" t="s">
        <v>3426</v>
      </c>
      <c r="K2292" s="29" t="s">
        <v>3427</v>
      </c>
      <c r="L2292" s="17" t="s">
        <v>68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63</v>
      </c>
      <c r="S2292" s="22" t="s">
        <v>50</v>
      </c>
      <c r="T2292" s="22" t="s">
        <v>79</v>
      </c>
      <c r="U2292" s="22" t="s">
        <v>79</v>
      </c>
      <c r="V2292" s="22" t="s">
        <v>81</v>
      </c>
      <c r="W2292" s="22" t="s">
        <v>110</v>
      </c>
      <c r="X2292" s="104">
        <v>9398800</v>
      </c>
      <c r="Y2292" s="195" t="str">
        <f t="shared" si="691"/>
        <v>1</v>
      </c>
      <c r="Z2292" s="196">
        <f t="shared" si="670"/>
        <v>9398800</v>
      </c>
      <c r="AA2292" s="22">
        <v>5.2299999999999999E-2</v>
      </c>
      <c r="AB2292" s="197">
        <f t="shared" si="682"/>
        <v>491557.24</v>
      </c>
      <c r="AC2292" s="198">
        <f t="shared" si="683"/>
        <v>60314.073347999998</v>
      </c>
      <c r="AD2292" s="169">
        <v>0.1227</v>
      </c>
      <c r="AE2292" s="199">
        <f t="shared" si="684"/>
        <v>0</v>
      </c>
      <c r="AF2292" s="199" t="str">
        <f>IF(AND(COUNTIFS($J$18:J2292,J2292)=1,AE2292=1),1,"")</f>
        <v/>
      </c>
      <c r="AG2292" s="199">
        <f>IF(C2292="","",IF(AND(COUNTIFS($J$18:J2292,J2292)=1,C2292&lt;&gt;""),1,""))</f>
        <v>1</v>
      </c>
      <c r="AH2292" s="199">
        <f>IF(G2292="","",IF(AND(COUNTIFS($J$18:J2292,J2292)=1,G2292&lt;&gt;""),1,""))</f>
        <v>1</v>
      </c>
      <c r="AI2292" s="200">
        <f t="shared" si="671"/>
        <v>25354039.366920356</v>
      </c>
      <c r="AJ2292" s="200">
        <f t="shared" si="672"/>
        <v>3027878.5311884549</v>
      </c>
      <c r="AK2292" s="201">
        <f t="shared" si="685"/>
        <v>0.11942391061910851</v>
      </c>
      <c r="AL2292" s="24"/>
      <c r="AM2292" s="24"/>
      <c r="AN2292" s="24"/>
      <c r="AO2292" s="24"/>
      <c r="AP2292" s="105" t="str">
        <f t="shared" si="686"/>
        <v>20248</v>
      </c>
      <c r="AQ2292" s="28" t="str">
        <f t="shared" si="687"/>
        <v>20248JPY</v>
      </c>
      <c r="AR2292" s="206" t="str">
        <f t="shared" si="688"/>
        <v>YAMAHA_Mounter</v>
      </c>
      <c r="AS2292" s="22">
        <f t="shared" si="689"/>
        <v>3</v>
      </c>
      <c r="AT2292" s="24" t="str">
        <f t="shared" si="690"/>
        <v>0-3 months</v>
      </c>
    </row>
    <row r="2293" spans="1:46" s="12" customFormat="1">
      <c r="A2293" s="33" t="str">
        <f t="shared" si="678"/>
        <v>FY 24/25</v>
      </c>
      <c r="B2293" s="23">
        <v>2024</v>
      </c>
      <c r="C2293" s="152">
        <v>4</v>
      </c>
      <c r="D2293" s="33" t="str">
        <f t="shared" si="679"/>
        <v>Q1</v>
      </c>
      <c r="E2293" s="33" t="str">
        <f>IF(G2293="Cancel","Cancel",IF(G2293="TBA","TBA",IFERROR(IF(I2293="Q4","FY "&amp;RIGHT(F2293,2)-1&amp;"/"&amp;RIGHT(F2293,2),"FY "&amp;RIGHT(F2293,2)&amp;"/"&amp;RIGHT(F2293,2)+1),"")))</f>
        <v>FY 24/25</v>
      </c>
      <c r="F2293" s="23">
        <v>2024</v>
      </c>
      <c r="G2293" s="23">
        <v>8</v>
      </c>
      <c r="H2293" s="29"/>
      <c r="I2293" s="33" t="str">
        <f t="shared" si="680"/>
        <v>Q2</v>
      </c>
      <c r="J2293" s="188" t="s">
        <v>3399</v>
      </c>
      <c r="K2293" s="29" t="s">
        <v>3400</v>
      </c>
      <c r="L2293" s="17" t="s">
        <v>93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13" t="s">
        <v>62</v>
      </c>
      <c r="R2293" s="22" t="s">
        <v>63</v>
      </c>
      <c r="S2293" s="22" t="s">
        <v>50</v>
      </c>
      <c r="T2293" s="22" t="s">
        <v>79</v>
      </c>
      <c r="U2293" s="22" t="s">
        <v>79</v>
      </c>
      <c r="V2293" s="22" t="s">
        <v>113</v>
      </c>
      <c r="W2293" s="22" t="s">
        <v>65</v>
      </c>
      <c r="X2293" s="30">
        <v>837083.3</v>
      </c>
      <c r="Y2293" s="31" t="str">
        <f t="shared" si="691"/>
        <v>1.13</v>
      </c>
      <c r="Z2293" s="18">
        <f t="shared" si="670"/>
        <v>837083.3</v>
      </c>
      <c r="AA2293" s="22">
        <v>1.08</v>
      </c>
      <c r="AB2293" s="21">
        <f t="shared" si="682"/>
        <v>800044.21592920378</v>
      </c>
      <c r="AC2293" s="25">
        <f t="shared" si="683"/>
        <v>96885.354549026582</v>
      </c>
      <c r="AD2293" s="170">
        <v>0.1211</v>
      </c>
      <c r="AE2293" s="26">
        <f t="shared" si="684"/>
        <v>0</v>
      </c>
      <c r="AF2293" s="26" t="str">
        <f>IF(AND(COUNTIFS($J$18:J2293,J2293)=1,AE2293=1),1,"")</f>
        <v/>
      </c>
      <c r="AG2293" s="26" t="str">
        <f>IF(C2293="","",IF(AND(COUNTIFS($J$18:J2293,J2293)=1,C2293&lt;&gt;""),1,""))</f>
        <v/>
      </c>
      <c r="AH2293" s="26" t="str">
        <f>IF(G2293="","",IF(AND(COUNTIFS($J$18:J2293,J2293)=1,G2293&lt;&gt;""),1,""))</f>
        <v/>
      </c>
      <c r="AI2293" s="27">
        <f t="shared" si="671"/>
        <v>25354039.366920356</v>
      </c>
      <c r="AJ2293" s="27">
        <f t="shared" si="672"/>
        <v>3027878.5311884549</v>
      </c>
      <c r="AK2293" s="28">
        <f t="shared" si="685"/>
        <v>0.11942391061910851</v>
      </c>
      <c r="AL2293" s="24"/>
      <c r="AM2293" s="24"/>
      <c r="AN2293" s="24"/>
      <c r="AO2293" s="24"/>
      <c r="AP2293" s="28" t="str">
        <f t="shared" si="686"/>
        <v>20248</v>
      </c>
      <c r="AQ2293" s="28" t="str">
        <f t="shared" si="687"/>
        <v>20248RMB</v>
      </c>
      <c r="AR2293" s="206" t="str">
        <f t="shared" si="688"/>
        <v>YAMAHA_Mounter</v>
      </c>
      <c r="AS2293" s="22">
        <f t="shared" si="689"/>
        <v>4</v>
      </c>
      <c r="AT2293" s="24" t="str">
        <f t="shared" si="690"/>
        <v>4-6 months</v>
      </c>
    </row>
    <row r="2294" spans="1:46" s="12" customFormat="1">
      <c r="A2294" s="33" t="str">
        <f t="shared" si="678"/>
        <v>FY 24/25</v>
      </c>
      <c r="B2294" s="23">
        <v>2024</v>
      </c>
      <c r="C2294" s="152">
        <v>4</v>
      </c>
      <c r="D2294" s="33" t="str">
        <f t="shared" si="679"/>
        <v>Q1</v>
      </c>
      <c r="E2294" s="33" t="str">
        <f>IF(G2294="Cancel","Cancel",IF(G2294="TBA","TBA",IFERROR(IF(I2294="Q4","FY "&amp;RIGHT(F2294,2)-1&amp;"/"&amp;RIGHT(F2294,2),"FY "&amp;RIGHT(F2294,2)&amp;"/"&amp;RIGHT(F2294,2)+1),"")))</f>
        <v>FY 24/25</v>
      </c>
      <c r="F2294" s="23">
        <v>2024</v>
      </c>
      <c r="G2294" s="23">
        <v>8</v>
      </c>
      <c r="H2294" s="29"/>
      <c r="I2294" s="33" t="str">
        <f t="shared" si="680"/>
        <v>Q2</v>
      </c>
      <c r="J2294" s="188" t="s">
        <v>3399</v>
      </c>
      <c r="K2294" s="29" t="s">
        <v>3400</v>
      </c>
      <c r="L2294" s="17" t="s">
        <v>68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13" t="s">
        <v>62</v>
      </c>
      <c r="R2294" s="22" t="s">
        <v>63</v>
      </c>
      <c r="S2294" s="22" t="s">
        <v>50</v>
      </c>
      <c r="T2294" s="22" t="s">
        <v>79</v>
      </c>
      <c r="U2294" s="22" t="s">
        <v>79</v>
      </c>
      <c r="V2294" s="22" t="s">
        <v>113</v>
      </c>
      <c r="W2294" s="22" t="s">
        <v>65</v>
      </c>
      <c r="X2294" s="30">
        <v>358750</v>
      </c>
      <c r="Y2294" s="31" t="str">
        <f t="shared" si="691"/>
        <v>1.13</v>
      </c>
      <c r="Z2294" s="18">
        <f t="shared" si="670"/>
        <v>358750</v>
      </c>
      <c r="AA2294" s="22">
        <v>1.08</v>
      </c>
      <c r="AB2294" s="21">
        <f t="shared" si="682"/>
        <v>342876.10619469034</v>
      </c>
      <c r="AC2294" s="25">
        <f t="shared" si="683"/>
        <v>41522.296460177</v>
      </c>
      <c r="AD2294" s="170">
        <v>0.1211</v>
      </c>
      <c r="AE2294" s="26">
        <f t="shared" si="684"/>
        <v>0</v>
      </c>
      <c r="AF2294" s="26" t="str">
        <f>IF(AND(COUNTIFS($J$18:J2294,J2294)=1,AE2294=1),1,"")</f>
        <v/>
      </c>
      <c r="AG2294" s="26" t="str">
        <f>IF(C2294="","",IF(AND(COUNTIFS($J$18:J2294,J2294)=1,C2294&lt;&gt;""),1,""))</f>
        <v/>
      </c>
      <c r="AH2294" s="26" t="str">
        <f>IF(G2294="","",IF(AND(COUNTIFS($J$18:J2294,J2294)=1,G2294&lt;&gt;""),1,""))</f>
        <v/>
      </c>
      <c r="AI2294" s="27">
        <f t="shared" si="671"/>
        <v>25354039.366920356</v>
      </c>
      <c r="AJ2294" s="27">
        <f t="shared" si="672"/>
        <v>3027878.5311884549</v>
      </c>
      <c r="AK2294" s="28">
        <f t="shared" si="685"/>
        <v>0.11942391061910851</v>
      </c>
      <c r="AL2294" s="24"/>
      <c r="AM2294" s="24"/>
      <c r="AN2294" s="24"/>
      <c r="AO2294" s="24"/>
      <c r="AP2294" s="28" t="str">
        <f t="shared" si="686"/>
        <v>20248</v>
      </c>
      <c r="AQ2294" s="28" t="str">
        <f t="shared" si="687"/>
        <v>20248RMB</v>
      </c>
      <c r="AR2294" s="206" t="str">
        <f t="shared" si="688"/>
        <v>YAMAHA_Mounter</v>
      </c>
      <c r="AS2294" s="22">
        <f t="shared" si="689"/>
        <v>4</v>
      </c>
      <c r="AT2294" s="24" t="str">
        <f t="shared" si="690"/>
        <v>4-6 months</v>
      </c>
    </row>
    <row r="2295" spans="1:46" s="12" customFormat="1">
      <c r="A2295" s="33" t="str">
        <f t="shared" si="678"/>
        <v>FY 24/25</v>
      </c>
      <c r="B2295" s="23">
        <v>2024</v>
      </c>
      <c r="C2295" s="152">
        <v>5</v>
      </c>
      <c r="D2295" s="202" t="str">
        <f t="shared" si="679"/>
        <v>Q1</v>
      </c>
      <c r="E2295" s="33" t="s">
        <v>3173</v>
      </c>
      <c r="F2295" s="152">
        <v>2024</v>
      </c>
      <c r="G2295" s="23">
        <v>9</v>
      </c>
      <c r="H2295" s="29"/>
      <c r="I2295" s="202" t="str">
        <f t="shared" si="680"/>
        <v>Q2</v>
      </c>
      <c r="J2295" s="188" t="s">
        <v>3458</v>
      </c>
      <c r="K2295" s="29" t="s">
        <v>3459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50</v>
      </c>
      <c r="T2295" s="22" t="s">
        <v>79</v>
      </c>
      <c r="U2295" s="22" t="s">
        <v>79</v>
      </c>
      <c r="V2295" s="22" t="s">
        <v>132</v>
      </c>
      <c r="W2295" s="22" t="s">
        <v>110</v>
      </c>
      <c r="X2295" s="104">
        <v>16835000</v>
      </c>
      <c r="Y2295" s="195" t="str">
        <f t="shared" si="691"/>
        <v>1</v>
      </c>
      <c r="Z2295" s="196">
        <f t="shared" si="670"/>
        <v>16835000</v>
      </c>
      <c r="AA2295" s="22">
        <v>5.5100000000000003E-2</v>
      </c>
      <c r="AB2295" s="197">
        <f t="shared" si="682"/>
        <v>927608.5</v>
      </c>
      <c r="AC2295" s="198">
        <f t="shared" si="683"/>
        <v>209268.47759999998</v>
      </c>
      <c r="AD2295" s="170">
        <v>0.22559999999999999</v>
      </c>
      <c r="AE2295" s="199">
        <f t="shared" si="684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71"/>
        <v>35931087.732566379</v>
      </c>
      <c r="AJ2295" s="200">
        <f t="shared" si="672"/>
        <v>4346699.6584161064</v>
      </c>
      <c r="AK2295" s="201">
        <f t="shared" si="685"/>
        <v>0.12097322771769156</v>
      </c>
      <c r="AL2295" s="24"/>
      <c r="AM2295" s="24"/>
      <c r="AN2295" s="24"/>
      <c r="AO2295" s="24"/>
      <c r="AP2295" s="105" t="str">
        <f t="shared" si="686"/>
        <v>20249</v>
      </c>
      <c r="AQ2295" s="28" t="str">
        <f t="shared" si="687"/>
        <v>20249JPY</v>
      </c>
      <c r="AR2295" s="206" t="str">
        <f t="shared" si="688"/>
        <v>YAMAHA_Mounter</v>
      </c>
      <c r="AS2295" s="22">
        <f t="shared" si="689"/>
        <v>4</v>
      </c>
      <c r="AT2295" s="24" t="str">
        <f t="shared" si="690"/>
        <v>4-6 months</v>
      </c>
    </row>
    <row r="2296" spans="1:46" s="12" customFormat="1">
      <c r="A2296" s="33" t="str">
        <f t="shared" si="678"/>
        <v>FY 24/25</v>
      </c>
      <c r="B2296" s="23">
        <v>2024</v>
      </c>
      <c r="C2296" s="152">
        <v>5</v>
      </c>
      <c r="D2296" s="202" t="str">
        <f t="shared" si="679"/>
        <v>Q1</v>
      </c>
      <c r="E2296" s="33" t="s">
        <v>3173</v>
      </c>
      <c r="F2296" s="152">
        <v>2024</v>
      </c>
      <c r="G2296" s="23">
        <v>9</v>
      </c>
      <c r="H2296" s="29"/>
      <c r="I2296" s="202" t="str">
        <f t="shared" si="680"/>
        <v>Q2</v>
      </c>
      <c r="J2296" s="188" t="s">
        <v>3458</v>
      </c>
      <c r="K2296" s="29" t="s">
        <v>3459</v>
      </c>
      <c r="L2296" s="17" t="s">
        <v>93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50</v>
      </c>
      <c r="T2296" s="22" t="s">
        <v>79</v>
      </c>
      <c r="U2296" s="22" t="s">
        <v>79</v>
      </c>
      <c r="V2296" s="22" t="s">
        <v>132</v>
      </c>
      <c r="W2296" s="22" t="s">
        <v>110</v>
      </c>
      <c r="X2296" s="104">
        <v>16835000</v>
      </c>
      <c r="Y2296" s="195" t="str">
        <f t="shared" si="691"/>
        <v>1</v>
      </c>
      <c r="Z2296" s="196">
        <f t="shared" si="670"/>
        <v>16835000</v>
      </c>
      <c r="AA2296" s="22">
        <v>5.5100000000000003E-2</v>
      </c>
      <c r="AB2296" s="197">
        <f t="shared" si="682"/>
        <v>927608.5</v>
      </c>
      <c r="AC2296" s="198">
        <f t="shared" si="683"/>
        <v>209268.47759999998</v>
      </c>
      <c r="AD2296" s="170">
        <v>0.22559999999999999</v>
      </c>
      <c r="AE2296" s="199">
        <f t="shared" si="684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71"/>
        <v>35931087.732566379</v>
      </c>
      <c r="AJ2296" s="200">
        <f t="shared" si="672"/>
        <v>4346699.6584161064</v>
      </c>
      <c r="AK2296" s="201">
        <f t="shared" si="685"/>
        <v>0.12097322771769156</v>
      </c>
      <c r="AL2296" s="24"/>
      <c r="AM2296" s="24"/>
      <c r="AN2296" s="24"/>
      <c r="AO2296" s="24"/>
      <c r="AP2296" s="105" t="str">
        <f t="shared" si="686"/>
        <v>20249</v>
      </c>
      <c r="AQ2296" s="28" t="str">
        <f t="shared" si="687"/>
        <v>20249JPY</v>
      </c>
      <c r="AR2296" s="206" t="str">
        <f t="shared" si="688"/>
        <v>YAMAHA_Mounter</v>
      </c>
      <c r="AS2296" s="22">
        <f t="shared" si="689"/>
        <v>4</v>
      </c>
      <c r="AT2296" s="24" t="str">
        <f t="shared" si="690"/>
        <v>4-6 months</v>
      </c>
    </row>
    <row r="2297" spans="1:46" s="12" customFormat="1">
      <c r="A2297" s="33" t="str">
        <f t="shared" si="678"/>
        <v>FY 24/25</v>
      </c>
      <c r="B2297" s="23">
        <v>2024</v>
      </c>
      <c r="C2297" s="152">
        <v>5</v>
      </c>
      <c r="D2297" s="202" t="str">
        <f t="shared" si="679"/>
        <v>Q1</v>
      </c>
      <c r="E2297" s="33" t="s">
        <v>3173</v>
      </c>
      <c r="F2297" s="152">
        <v>2024</v>
      </c>
      <c r="G2297" s="23">
        <v>9</v>
      </c>
      <c r="H2297" s="29"/>
      <c r="I2297" s="202" t="str">
        <f t="shared" si="680"/>
        <v>Q2</v>
      </c>
      <c r="J2297" s="188" t="s">
        <v>3458</v>
      </c>
      <c r="K2297" s="29" t="s">
        <v>3459</v>
      </c>
      <c r="L2297" s="17" t="s">
        <v>68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69</v>
      </c>
      <c r="R2297" s="22" t="s">
        <v>63</v>
      </c>
      <c r="S2297" s="22" t="s">
        <v>50</v>
      </c>
      <c r="T2297" s="22" t="s">
        <v>79</v>
      </c>
      <c r="U2297" s="22" t="s">
        <v>79</v>
      </c>
      <c r="V2297" s="22" t="s">
        <v>132</v>
      </c>
      <c r="W2297" s="22" t="s">
        <v>110</v>
      </c>
      <c r="X2297" s="104">
        <v>14300000</v>
      </c>
      <c r="Y2297" s="195" t="str">
        <f t="shared" si="691"/>
        <v>1</v>
      </c>
      <c r="Z2297" s="196">
        <f t="shared" si="670"/>
        <v>14300000</v>
      </c>
      <c r="AA2297" s="22">
        <v>5.5100000000000003E-2</v>
      </c>
      <c r="AB2297" s="197">
        <f t="shared" si="682"/>
        <v>787930</v>
      </c>
      <c r="AC2297" s="198">
        <f t="shared" si="683"/>
        <v>177757.008</v>
      </c>
      <c r="AD2297" s="170">
        <v>0.22559999999999999</v>
      </c>
      <c r="AE2297" s="199">
        <f t="shared" si="684"/>
        <v>1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71"/>
        <v>35931087.732566379</v>
      </c>
      <c r="AJ2297" s="200">
        <f t="shared" si="672"/>
        <v>4346699.6584161064</v>
      </c>
      <c r="AK2297" s="201">
        <f t="shared" si="685"/>
        <v>0.12097322771769156</v>
      </c>
      <c r="AL2297" s="24"/>
      <c r="AM2297" s="24"/>
      <c r="AN2297" s="24"/>
      <c r="AO2297" s="24"/>
      <c r="AP2297" s="105" t="str">
        <f t="shared" si="686"/>
        <v>20249</v>
      </c>
      <c r="AQ2297" s="28" t="str">
        <f t="shared" si="687"/>
        <v>20249JPY</v>
      </c>
      <c r="AR2297" s="206" t="str">
        <f t="shared" si="688"/>
        <v>YAMAHA_Mounter</v>
      </c>
      <c r="AS2297" s="22">
        <f t="shared" si="689"/>
        <v>4</v>
      </c>
      <c r="AT2297" s="24" t="str">
        <f t="shared" si="690"/>
        <v>4-6 months</v>
      </c>
    </row>
    <row r="2298" spans="1:46" s="12" customFormat="1">
      <c r="A2298" s="33" t="str">
        <f t="shared" si="678"/>
        <v>FY 24/25</v>
      </c>
      <c r="B2298" s="23">
        <v>2024</v>
      </c>
      <c r="C2298" s="152">
        <v>5</v>
      </c>
      <c r="D2298" s="202" t="str">
        <f t="shared" si="679"/>
        <v>Q1</v>
      </c>
      <c r="E2298" s="33" t="s">
        <v>3173</v>
      </c>
      <c r="F2298" s="152">
        <v>2024</v>
      </c>
      <c r="G2298" s="23">
        <v>9</v>
      </c>
      <c r="H2298" s="29"/>
      <c r="I2298" s="202" t="str">
        <f t="shared" si="680"/>
        <v>Q2</v>
      </c>
      <c r="J2298" s="188" t="s">
        <v>3458</v>
      </c>
      <c r="K2298" s="29" t="s">
        <v>3459</v>
      </c>
      <c r="L2298" s="17" t="s">
        <v>68</v>
      </c>
      <c r="M2298" s="22" t="s">
        <v>61</v>
      </c>
      <c r="N2298" s="22">
        <v>1</v>
      </c>
      <c r="O2298" s="22"/>
      <c r="P2298" s="33" t="str">
        <f t="shared" si="681"/>
        <v>MAIN UNIT</v>
      </c>
      <c r="Q2298" s="22" t="s">
        <v>69</v>
      </c>
      <c r="R2298" s="22" t="s">
        <v>63</v>
      </c>
      <c r="S2298" s="22" t="s">
        <v>50</v>
      </c>
      <c r="T2298" s="22" t="s">
        <v>79</v>
      </c>
      <c r="U2298" s="22" t="s">
        <v>79</v>
      </c>
      <c r="V2298" s="22" t="s">
        <v>132</v>
      </c>
      <c r="W2298" s="22" t="s">
        <v>110</v>
      </c>
      <c r="X2298" s="104">
        <v>14300000</v>
      </c>
      <c r="Y2298" s="195" t="str">
        <f t="shared" si="691"/>
        <v>1</v>
      </c>
      <c r="Z2298" s="196">
        <f t="shared" si="670"/>
        <v>14300000</v>
      </c>
      <c r="AA2298" s="22">
        <v>5.5100000000000003E-2</v>
      </c>
      <c r="AB2298" s="197">
        <f t="shared" si="682"/>
        <v>787930</v>
      </c>
      <c r="AC2298" s="198">
        <f t="shared" si="683"/>
        <v>177757.008</v>
      </c>
      <c r="AD2298" s="170">
        <v>0.22559999999999999</v>
      </c>
      <c r="AE2298" s="199">
        <f t="shared" si="684"/>
        <v>1</v>
      </c>
      <c r="AF2298" s="199" t="str">
        <f>IF(AND(COUNTIFS($J$18:J2298,J2298)=1,AE2298=1),1,"")</f>
        <v/>
      </c>
      <c r="AG2298" s="199" t="str">
        <f>IF(C2298="","",IF(AND(COUNTIFS($J$18:J2298,J2298)=1,C2298&lt;&gt;""),1,""))</f>
        <v/>
      </c>
      <c r="AH2298" s="199" t="str">
        <f>IF(G2298="","",IF(AND(COUNTIFS($J$18:J2298,J2298)=1,G2298&lt;&gt;""),1,""))</f>
        <v/>
      </c>
      <c r="AI2298" s="200">
        <f t="shared" si="671"/>
        <v>35931087.732566379</v>
      </c>
      <c r="AJ2298" s="200">
        <f t="shared" si="672"/>
        <v>4346699.6584161064</v>
      </c>
      <c r="AK2298" s="201">
        <f t="shared" si="685"/>
        <v>0.12097322771769156</v>
      </c>
      <c r="AL2298" s="24"/>
      <c r="AM2298" s="24"/>
      <c r="AN2298" s="24"/>
      <c r="AO2298" s="24"/>
      <c r="AP2298" s="105" t="str">
        <f t="shared" si="686"/>
        <v>20249</v>
      </c>
      <c r="AQ2298" s="28" t="str">
        <f t="shared" si="687"/>
        <v>20249JPY</v>
      </c>
      <c r="AR2298" s="206" t="str">
        <f t="shared" si="688"/>
        <v>YAMAHA_Mounter</v>
      </c>
      <c r="AS2298" s="22">
        <f t="shared" si="689"/>
        <v>4</v>
      </c>
      <c r="AT2298" s="24" t="str">
        <f t="shared" si="690"/>
        <v>4-6 months</v>
      </c>
    </row>
    <row r="2299" spans="1:46" s="12" customFormat="1">
      <c r="A2299" s="33" t="str">
        <f t="shared" si="678"/>
        <v>FY 23/24</v>
      </c>
      <c r="B2299" s="23">
        <v>2024</v>
      </c>
      <c r="C2299" s="152">
        <v>3</v>
      </c>
      <c r="D2299" s="33" t="str">
        <f t="shared" si="679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80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91"/>
        <v>1</v>
      </c>
      <c r="Z2299" s="18">
        <f t="shared" si="670"/>
        <v>7800000</v>
      </c>
      <c r="AA2299" s="13">
        <v>5.5599999999999997E-2</v>
      </c>
      <c r="AB2299" s="21">
        <f t="shared" si="682"/>
        <v>433680</v>
      </c>
      <c r="AC2299" s="25">
        <f t="shared" si="683"/>
        <v>52041.599999999999</v>
      </c>
      <c r="AD2299" s="169">
        <v>0.12</v>
      </c>
      <c r="AE2299" s="26">
        <f t="shared" si="684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71"/>
        <v>25860689.500884958</v>
      </c>
      <c r="AJ2299" s="27">
        <f t="shared" si="672"/>
        <v>3153620.4547964605</v>
      </c>
      <c r="AK2299" s="28">
        <f t="shared" si="685"/>
        <v>0.1219464954593938</v>
      </c>
      <c r="AL2299" s="24"/>
      <c r="AM2299" s="24"/>
      <c r="AN2299" s="24"/>
      <c r="AO2299" s="24"/>
      <c r="AP2299" s="28" t="str">
        <f t="shared" si="686"/>
        <v>202410</v>
      </c>
      <c r="AQ2299" s="28" t="str">
        <f t="shared" si="687"/>
        <v>202410JPY</v>
      </c>
      <c r="AR2299" s="206" t="str">
        <f t="shared" si="688"/>
        <v>YAMAHA_Non_Mounter</v>
      </c>
      <c r="AS2299" s="22">
        <f t="shared" si="689"/>
        <v>7</v>
      </c>
      <c r="AT2299" s="24" t="str">
        <f t="shared" si="690"/>
        <v>&gt; 6 months</v>
      </c>
    </row>
    <row r="2300" spans="1:46" s="12" customFormat="1">
      <c r="A2300" s="33" t="str">
        <f t="shared" si="678"/>
        <v>FY 23/24</v>
      </c>
      <c r="B2300" s="23">
        <v>2024</v>
      </c>
      <c r="C2300" s="152">
        <v>3</v>
      </c>
      <c r="D2300" s="33" t="str">
        <f t="shared" si="679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80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91"/>
        <v>1</v>
      </c>
      <c r="Z2300" s="18">
        <f t="shared" ref="Z2300:Z2363" si="693">IF(X2300="","",X2300*MAX(O2300,N2300))</f>
        <v>7800000</v>
      </c>
      <c r="AA2300" s="13">
        <v>5.5599999999999997E-2</v>
      </c>
      <c r="AB2300" s="21">
        <f t="shared" si="682"/>
        <v>433680</v>
      </c>
      <c r="AC2300" s="25">
        <f t="shared" si="683"/>
        <v>52041.599999999999</v>
      </c>
      <c r="AD2300" s="169">
        <v>0.12</v>
      </c>
      <c r="AE2300" s="26">
        <f t="shared" si="684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71"/>
        <v>25860689.500884958</v>
      </c>
      <c r="AJ2300" s="27">
        <f t="shared" si="672"/>
        <v>3153620.4547964605</v>
      </c>
      <c r="AK2300" s="28">
        <f t="shared" si="685"/>
        <v>0.1219464954593938</v>
      </c>
      <c r="AL2300" s="24"/>
      <c r="AM2300" s="24"/>
      <c r="AN2300" s="24"/>
      <c r="AO2300" s="24"/>
      <c r="AP2300" s="28" t="str">
        <f t="shared" si="686"/>
        <v>202410</v>
      </c>
      <c r="AQ2300" s="28" t="str">
        <f t="shared" si="687"/>
        <v>202410JPY</v>
      </c>
      <c r="AR2300" s="206" t="str">
        <f t="shared" si="688"/>
        <v>YAMAHA_Non_Mounter</v>
      </c>
      <c r="AS2300" s="22">
        <f t="shared" si="689"/>
        <v>7</v>
      </c>
      <c r="AT2300" s="24" t="str">
        <f t="shared" si="690"/>
        <v>&gt; 6 months</v>
      </c>
    </row>
    <row r="2301" spans="1:46" s="12" customFormat="1">
      <c r="A2301" s="33" t="str">
        <f t="shared" si="678"/>
        <v>FY 24/25</v>
      </c>
      <c r="B2301" s="23">
        <v>2024</v>
      </c>
      <c r="C2301" s="152">
        <v>4</v>
      </c>
      <c r="D2301" s="33" t="str">
        <f t="shared" si="679"/>
        <v>Q1</v>
      </c>
      <c r="E2301" s="33" t="str">
        <f>IF(G2301="Cancel","Cancel",IF(G2301="TBA","TBA",IFERROR(IF(I2301="Q4","FY "&amp;RIGHT(F2301,2)-1&amp;"/"&amp;RIGHT(F2301,2),"FY "&amp;RIGHT(F2301,2)&amp;"/"&amp;RIGHT(F2301,2)+1),"")))</f>
        <v>FY 24/25</v>
      </c>
      <c r="F2301" s="23">
        <v>2024</v>
      </c>
      <c r="G2301" s="152">
        <v>8</v>
      </c>
      <c r="H2301" s="29"/>
      <c r="I2301" s="33" t="str">
        <f t="shared" si="680"/>
        <v>Q2</v>
      </c>
      <c r="J2301" s="188" t="s">
        <v>3395</v>
      </c>
      <c r="K2301" s="29" t="s">
        <v>800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13" t="s">
        <v>62</v>
      </c>
      <c r="R2301" s="22" t="s">
        <v>63</v>
      </c>
      <c r="S2301" s="22" t="s">
        <v>51</v>
      </c>
      <c r="T2301" s="22" t="s">
        <v>102</v>
      </c>
      <c r="U2301" s="22" t="s">
        <v>71</v>
      </c>
      <c r="V2301" s="22" t="s">
        <v>1011</v>
      </c>
      <c r="W2301" s="22" t="s">
        <v>65</v>
      </c>
      <c r="X2301" s="30">
        <v>460000</v>
      </c>
      <c r="Y2301" s="31" t="str">
        <f t="shared" si="691"/>
        <v>1.13</v>
      </c>
      <c r="Z2301" s="18">
        <f t="shared" si="693"/>
        <v>460000</v>
      </c>
      <c r="AA2301" s="22">
        <v>1.08</v>
      </c>
      <c r="AB2301" s="21">
        <f t="shared" si="682"/>
        <v>439646.01769911509</v>
      </c>
      <c r="AC2301" s="25">
        <f t="shared" si="683"/>
        <v>44140.460176991153</v>
      </c>
      <c r="AD2301" s="170">
        <v>0.1004</v>
      </c>
      <c r="AE2301" s="26">
        <f t="shared" si="684"/>
        <v>0</v>
      </c>
      <c r="AF2301" s="26" t="str">
        <f>IF(AND(COUNTIFS($J$18:J2301,J2301)=1,AE2301=1),1,"")</f>
        <v/>
      </c>
      <c r="AG2301" s="26">
        <f>IF(C2301="","",IF(AND(COUNTIFS($J$18:J2301,J2301)=1,C2301&lt;&gt;""),1,""))</f>
        <v>1</v>
      </c>
      <c r="AH2301" s="26">
        <f>IF(G2301="","",IF(AND(COUNTIFS($J$18:J2301,J2301)=1,G2301&lt;&gt;""),1,""))</f>
        <v>1</v>
      </c>
      <c r="AI2301" s="27">
        <f t="shared" si="671"/>
        <v>25354039.366920356</v>
      </c>
      <c r="AJ2301" s="27">
        <f t="shared" si="672"/>
        <v>3027878.5311884549</v>
      </c>
      <c r="AK2301" s="28">
        <f t="shared" si="685"/>
        <v>0.11942391061910851</v>
      </c>
      <c r="AL2301" s="24"/>
      <c r="AM2301" s="24"/>
      <c r="AN2301" s="24"/>
      <c r="AO2301" s="24"/>
      <c r="AP2301" s="28" t="str">
        <f t="shared" si="686"/>
        <v>20248</v>
      </c>
      <c r="AQ2301" s="28" t="str">
        <f t="shared" si="687"/>
        <v>20248RMB</v>
      </c>
      <c r="AR2301" s="206" t="str">
        <f t="shared" si="688"/>
        <v>YAMAHA_Mounter</v>
      </c>
      <c r="AS2301" s="22">
        <f t="shared" si="689"/>
        <v>4</v>
      </c>
      <c r="AT2301" s="24" t="str">
        <f t="shared" si="690"/>
        <v>4-6 months</v>
      </c>
    </row>
    <row r="2302" spans="1:46" s="12" customFormat="1">
      <c r="A2302" s="33" t="str">
        <f t="shared" si="678"/>
        <v>FY 24/25</v>
      </c>
      <c r="B2302" s="23">
        <v>2024</v>
      </c>
      <c r="C2302" s="152">
        <v>4</v>
      </c>
      <c r="D2302" s="33" t="str">
        <f t="shared" si="679"/>
        <v>Q1</v>
      </c>
      <c r="E2302" s="33" t="str">
        <f>IF(G2302="Cancel","Cancel",IF(G2302="TBA","TBA",IFERROR(IF(I2302="Q4","FY "&amp;RIGHT(F2302,2)-1&amp;"/"&amp;RIGHT(F2302,2),"FY "&amp;RIGHT(F2302,2)&amp;"/"&amp;RIGHT(F2302,2)+1),"")))</f>
        <v>FY 24/25</v>
      </c>
      <c r="F2302" s="23">
        <v>2024</v>
      </c>
      <c r="G2302" s="23">
        <v>8</v>
      </c>
      <c r="H2302" s="29"/>
      <c r="I2302" s="33" t="str">
        <f t="shared" si="680"/>
        <v>Q2</v>
      </c>
      <c r="J2302" s="188" t="s">
        <v>3415</v>
      </c>
      <c r="K2302" s="29" t="s">
        <v>1449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13" t="s">
        <v>62</v>
      </c>
      <c r="R2302" s="22" t="s">
        <v>63</v>
      </c>
      <c r="S2302" s="22" t="s">
        <v>51</v>
      </c>
      <c r="T2302" s="22" t="s">
        <v>2375</v>
      </c>
      <c r="U2302" s="22" t="s">
        <v>71</v>
      </c>
      <c r="V2302" s="22" t="s">
        <v>2124</v>
      </c>
      <c r="W2302" s="22" t="s">
        <v>110</v>
      </c>
      <c r="X2302" s="30">
        <v>7923395</v>
      </c>
      <c r="Y2302" s="31" t="str">
        <f t="shared" si="691"/>
        <v>1</v>
      </c>
      <c r="Z2302" s="18">
        <f t="shared" si="693"/>
        <v>7923395</v>
      </c>
      <c r="AA2302" s="22">
        <v>5.2299999999999999E-2</v>
      </c>
      <c r="AB2302" s="21">
        <f t="shared" si="682"/>
        <v>414393.55849999998</v>
      </c>
      <c r="AC2302" s="25">
        <f t="shared" si="683"/>
        <v>27640.050351949998</v>
      </c>
      <c r="AD2302" s="170">
        <v>6.6699999999999995E-2</v>
      </c>
      <c r="AE2302" s="26">
        <f t="shared" si="684"/>
        <v>0</v>
      </c>
      <c r="AF2302" s="26" t="str">
        <f>IF(AND(COUNTIFS($J$18:J2302,J2302)=1,AE2302=1),1,"")</f>
        <v/>
      </c>
      <c r="AG2302" s="26">
        <f>IF(C2302="","",IF(AND(COUNTIFS($J$18:J2302,J2302)=1,C2302&lt;&gt;""),1,""))</f>
        <v>1</v>
      </c>
      <c r="AH2302" s="26">
        <f>IF(G2302="","",IF(AND(COUNTIFS($J$18:J2302,J2302)=1,G2302&lt;&gt;""),1,""))</f>
        <v>1</v>
      </c>
      <c r="AI2302" s="27">
        <f t="shared" si="671"/>
        <v>25354039.366920356</v>
      </c>
      <c r="AJ2302" s="27">
        <f t="shared" si="672"/>
        <v>3027878.5311884549</v>
      </c>
      <c r="AK2302" s="28">
        <f t="shared" si="685"/>
        <v>0.11942391061910851</v>
      </c>
      <c r="AL2302" s="24"/>
      <c r="AM2302" s="24"/>
      <c r="AN2302" s="24"/>
      <c r="AO2302" s="24"/>
      <c r="AP2302" s="28" t="str">
        <f t="shared" si="686"/>
        <v>20248</v>
      </c>
      <c r="AQ2302" s="28" t="str">
        <f t="shared" si="687"/>
        <v>20248JPY</v>
      </c>
      <c r="AR2302" s="206" t="str">
        <f t="shared" si="688"/>
        <v>YAMAHA_Mounter</v>
      </c>
      <c r="AS2302" s="22">
        <f t="shared" si="689"/>
        <v>4</v>
      </c>
      <c r="AT2302" s="24" t="str">
        <f t="shared" si="690"/>
        <v>4-6 months</v>
      </c>
    </row>
    <row r="2303" spans="1:46" s="12" customFormat="1">
      <c r="A2303" s="33" t="str">
        <f t="shared" si="678"/>
        <v>FY 24/25</v>
      </c>
      <c r="B2303" s="23">
        <v>2024</v>
      </c>
      <c r="C2303" s="152">
        <v>4</v>
      </c>
      <c r="D2303" s="33" t="str">
        <f t="shared" si="679"/>
        <v>Q1</v>
      </c>
      <c r="E2303" s="33" t="str">
        <f>IF(G2303="Cancel","Cancel",IF(G2303="TBA","TBA",IFERROR(IF(I2303="Q4","FY "&amp;RIGHT(F2303,2)-1&amp;"/"&amp;RIGHT(F2303,2),"FY "&amp;RIGHT(F2303,2)&amp;"/"&amp;RIGHT(F2303,2)+1),"")))</f>
        <v>FY 24/25</v>
      </c>
      <c r="F2303" s="23">
        <v>2024</v>
      </c>
      <c r="G2303" s="23">
        <v>8</v>
      </c>
      <c r="H2303" s="29"/>
      <c r="I2303" s="33" t="str">
        <f t="shared" si="680"/>
        <v>Q2</v>
      </c>
      <c r="J2303" s="188" t="s">
        <v>3415</v>
      </c>
      <c r="K2303" s="29" t="s">
        <v>1449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13" t="s">
        <v>62</v>
      </c>
      <c r="R2303" s="22" t="s">
        <v>63</v>
      </c>
      <c r="S2303" s="22" t="s">
        <v>51</v>
      </c>
      <c r="T2303" s="22" t="s">
        <v>2375</v>
      </c>
      <c r="U2303" s="22" t="s">
        <v>71</v>
      </c>
      <c r="V2303" s="22" t="s">
        <v>2124</v>
      </c>
      <c r="W2303" s="22" t="s">
        <v>110</v>
      </c>
      <c r="X2303" s="30">
        <v>7923395</v>
      </c>
      <c r="Y2303" s="31" t="str">
        <f t="shared" si="691"/>
        <v>1</v>
      </c>
      <c r="Z2303" s="18">
        <f t="shared" si="693"/>
        <v>7923395</v>
      </c>
      <c r="AA2303" s="22">
        <v>5.2299999999999999E-2</v>
      </c>
      <c r="AB2303" s="21">
        <f t="shared" si="682"/>
        <v>414393.55849999998</v>
      </c>
      <c r="AC2303" s="25">
        <f t="shared" si="683"/>
        <v>27640.050351949998</v>
      </c>
      <c r="AD2303" s="170">
        <v>6.6699999999999995E-2</v>
      </c>
      <c r="AE2303" s="26">
        <f t="shared" si="684"/>
        <v>0</v>
      </c>
      <c r="AF2303" s="26" t="str">
        <f>IF(AND(COUNTIFS($J$18:J2303,J2303)=1,AE2303=1),1,"")</f>
        <v/>
      </c>
      <c r="AG2303" s="26" t="str">
        <f>IF(C2303="","",IF(AND(COUNTIFS($J$18:J2303,J2303)=1,C2303&lt;&gt;""),1,""))</f>
        <v/>
      </c>
      <c r="AH2303" s="26" t="str">
        <f>IF(G2303="","",IF(AND(COUNTIFS($J$18:J2303,J2303)=1,G2303&lt;&gt;""),1,""))</f>
        <v/>
      </c>
      <c r="AI2303" s="27">
        <f t="shared" si="671"/>
        <v>25354039.366920356</v>
      </c>
      <c r="AJ2303" s="27">
        <f t="shared" si="672"/>
        <v>3027878.5311884549</v>
      </c>
      <c r="AK2303" s="28">
        <f t="shared" si="685"/>
        <v>0.11942391061910851</v>
      </c>
      <c r="AL2303" s="24"/>
      <c r="AM2303" s="24"/>
      <c r="AN2303" s="24"/>
      <c r="AO2303" s="24"/>
      <c r="AP2303" s="28" t="str">
        <f t="shared" si="686"/>
        <v>20248</v>
      </c>
      <c r="AQ2303" s="28" t="str">
        <f t="shared" si="687"/>
        <v>20248JPY</v>
      </c>
      <c r="AR2303" s="206" t="str">
        <f t="shared" si="688"/>
        <v>YAMAHA_Mounter</v>
      </c>
      <c r="AS2303" s="22">
        <f t="shared" si="689"/>
        <v>4</v>
      </c>
      <c r="AT2303" s="24" t="str">
        <f t="shared" si="690"/>
        <v>4-6 months</v>
      </c>
    </row>
    <row r="2304" spans="1:46" s="12" customFormat="1">
      <c r="A2304" s="33" t="str">
        <f t="shared" si="678"/>
        <v>FY 20/21</v>
      </c>
      <c r="B2304" s="152">
        <v>2020</v>
      </c>
      <c r="C2304" s="152">
        <v>9</v>
      </c>
      <c r="D2304" s="33" t="str">
        <f t="shared" si="679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80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94">IF(W2304="RMB","1.13", "1")</f>
        <v>1</v>
      </c>
      <c r="Z2304" s="18">
        <f t="shared" si="693"/>
        <v>11687500</v>
      </c>
      <c r="AA2304" s="13">
        <v>7.6100000000000001E-2</v>
      </c>
      <c r="AB2304" s="21">
        <f t="shared" si="682"/>
        <v>889418.75</v>
      </c>
      <c r="AC2304" s="130">
        <f t="shared" si="683"/>
        <v>92054.840624999997</v>
      </c>
      <c r="AD2304" s="169">
        <v>0.10349999999999999</v>
      </c>
      <c r="AE2304" s="154">
        <f t="shared" si="684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71"/>
        <v>44078731.611185849</v>
      </c>
      <c r="AJ2304" s="19">
        <f t="shared" si="672"/>
        <v>5508173.2163771465</v>
      </c>
      <c r="AK2304" s="20">
        <f t="shared" si="685"/>
        <v>0.12496215328889679</v>
      </c>
      <c r="AL2304" s="17"/>
      <c r="AM2304" s="17"/>
      <c r="AN2304" s="17"/>
      <c r="AO2304" s="17"/>
      <c r="AP2304" s="28" t="str">
        <f t="shared" si="686"/>
        <v>202011</v>
      </c>
      <c r="AQ2304" s="28" t="str">
        <f t="shared" si="687"/>
        <v>202011JPY</v>
      </c>
      <c r="AR2304" s="206" t="str">
        <f t="shared" si="688"/>
        <v>YAMAHA_Mounter</v>
      </c>
      <c r="AS2304" s="22">
        <f t="shared" si="689"/>
        <v>2</v>
      </c>
      <c r="AT2304" s="24" t="str">
        <f t="shared" si="690"/>
        <v>0-3 months</v>
      </c>
    </row>
    <row r="2305" spans="1:46" s="12" customFormat="1">
      <c r="A2305" s="33" t="str">
        <f t="shared" si="678"/>
        <v>FY 20/21</v>
      </c>
      <c r="B2305" s="152">
        <v>2020</v>
      </c>
      <c r="C2305" s="152">
        <v>9</v>
      </c>
      <c r="D2305" s="33" t="str">
        <f t="shared" si="679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80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94"/>
        <v>1</v>
      </c>
      <c r="Z2305" s="18">
        <f t="shared" si="693"/>
        <v>11687500</v>
      </c>
      <c r="AA2305" s="13">
        <v>7.6100000000000001E-2</v>
      </c>
      <c r="AB2305" s="21">
        <f t="shared" si="682"/>
        <v>889418.75</v>
      </c>
      <c r="AC2305" s="130">
        <f t="shared" si="683"/>
        <v>92054.840624999997</v>
      </c>
      <c r="AD2305" s="169">
        <v>0.10349999999999999</v>
      </c>
      <c r="AE2305" s="154">
        <f t="shared" si="684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71"/>
        <v>44078731.611185849</v>
      </c>
      <c r="AJ2305" s="19">
        <f t="shared" si="672"/>
        <v>5508173.2163771465</v>
      </c>
      <c r="AK2305" s="20">
        <f t="shared" si="685"/>
        <v>0.12496215328889679</v>
      </c>
      <c r="AL2305" s="17"/>
      <c r="AM2305" s="17"/>
      <c r="AN2305" s="17"/>
      <c r="AO2305" s="17"/>
      <c r="AP2305" s="28" t="str">
        <f t="shared" si="686"/>
        <v>202011</v>
      </c>
      <c r="AQ2305" s="28" t="str">
        <f t="shared" si="687"/>
        <v>202011JPY</v>
      </c>
      <c r="AR2305" s="206" t="str">
        <f t="shared" si="688"/>
        <v>YAMAHA_Mounter</v>
      </c>
      <c r="AS2305" s="22">
        <f t="shared" si="689"/>
        <v>2</v>
      </c>
      <c r="AT2305" s="24" t="str">
        <f t="shared" si="690"/>
        <v>0-3 months</v>
      </c>
    </row>
    <row r="2306" spans="1:46" s="12" customFormat="1">
      <c r="A2306" s="33" t="str">
        <f t="shared" si="678"/>
        <v>FY 20/21</v>
      </c>
      <c r="B2306" s="152">
        <v>2020</v>
      </c>
      <c r="C2306" s="152">
        <v>9</v>
      </c>
      <c r="D2306" s="33" t="str">
        <f t="shared" si="679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80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94"/>
        <v>1</v>
      </c>
      <c r="Z2306" s="18">
        <f t="shared" si="693"/>
        <v>11687500</v>
      </c>
      <c r="AA2306" s="13">
        <v>7.6100000000000001E-2</v>
      </c>
      <c r="AB2306" s="21">
        <f t="shared" si="682"/>
        <v>889418.75</v>
      </c>
      <c r="AC2306" s="130">
        <f t="shared" si="683"/>
        <v>92054.840624999997</v>
      </c>
      <c r="AD2306" s="169">
        <v>0.10349999999999999</v>
      </c>
      <c r="AE2306" s="154">
        <f t="shared" si="684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95">IF(P2306="C66 SERVICE","",SUMIFS(AB:AB,F:F,F2306,G:G,G2306,E:E,E2306))</f>
        <v>44078731.611185849</v>
      </c>
      <c r="AJ2306" s="19">
        <f t="shared" ref="AJ2306:AJ2369" si="696">IF(P2306="C66 SERVICE","",SUMIFS(AC:AC,F:F,F2306,G:G,G2306,E:E,E2306))</f>
        <v>5508173.2163771465</v>
      </c>
      <c r="AK2306" s="20">
        <f t="shared" si="685"/>
        <v>0.12496215328889679</v>
      </c>
      <c r="AL2306" s="17"/>
      <c r="AM2306" s="17"/>
      <c r="AN2306" s="17"/>
      <c r="AO2306" s="17"/>
      <c r="AP2306" s="28" t="str">
        <f t="shared" si="686"/>
        <v>202011</v>
      </c>
      <c r="AQ2306" s="28" t="str">
        <f t="shared" si="687"/>
        <v>202011JPY</v>
      </c>
      <c r="AR2306" s="206" t="str">
        <f t="shared" si="688"/>
        <v>YAMAHA_Mounter</v>
      </c>
      <c r="AS2306" s="22">
        <f t="shared" si="689"/>
        <v>2</v>
      </c>
      <c r="AT2306" s="24" t="str">
        <f t="shared" si="690"/>
        <v>0-3 months</v>
      </c>
    </row>
    <row r="2307" spans="1:46" s="12" customFormat="1">
      <c r="A2307" s="33" t="str">
        <f t="shared" si="678"/>
        <v>FY 20/21</v>
      </c>
      <c r="B2307" s="152">
        <v>2020</v>
      </c>
      <c r="C2307" s="152">
        <v>9</v>
      </c>
      <c r="D2307" s="33" t="str">
        <f t="shared" si="679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80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94"/>
        <v>1</v>
      </c>
      <c r="Z2307" s="18">
        <f t="shared" si="693"/>
        <v>11687500</v>
      </c>
      <c r="AA2307" s="13">
        <v>7.6100000000000001E-2</v>
      </c>
      <c r="AB2307" s="21">
        <f t="shared" si="682"/>
        <v>889418.75</v>
      </c>
      <c r="AC2307" s="130">
        <f t="shared" si="683"/>
        <v>92054.840624999997</v>
      </c>
      <c r="AD2307" s="169">
        <v>0.10349999999999999</v>
      </c>
      <c r="AE2307" s="154">
        <f t="shared" si="684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95"/>
        <v>44078731.611185849</v>
      </c>
      <c r="AJ2307" s="19">
        <f t="shared" si="696"/>
        <v>5508173.2163771465</v>
      </c>
      <c r="AK2307" s="20">
        <f t="shared" si="685"/>
        <v>0.12496215328889679</v>
      </c>
      <c r="AL2307" s="17"/>
      <c r="AM2307" s="17"/>
      <c r="AN2307" s="17"/>
      <c r="AO2307" s="17"/>
      <c r="AP2307" s="28" t="str">
        <f t="shared" si="686"/>
        <v>202011</v>
      </c>
      <c r="AQ2307" s="28" t="str">
        <f t="shared" si="687"/>
        <v>202011JPY</v>
      </c>
      <c r="AR2307" s="206" t="str">
        <f t="shared" si="688"/>
        <v>YAMAHA_Mounter</v>
      </c>
      <c r="AS2307" s="22">
        <f t="shared" si="689"/>
        <v>2</v>
      </c>
      <c r="AT2307" s="24" t="str">
        <f t="shared" si="690"/>
        <v>0-3 months</v>
      </c>
    </row>
    <row r="2308" spans="1:46" s="12" customFormat="1">
      <c r="A2308" s="33" t="str">
        <f t="shared" si="678"/>
        <v>FY 20/21</v>
      </c>
      <c r="B2308" s="152">
        <v>2020</v>
      </c>
      <c r="C2308" s="152">
        <v>9</v>
      </c>
      <c r="D2308" s="33" t="str">
        <f t="shared" si="679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80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94"/>
        <v>1</v>
      </c>
      <c r="Z2308" s="18">
        <f t="shared" si="693"/>
        <v>11687500</v>
      </c>
      <c r="AA2308" s="13">
        <v>7.6100000000000001E-2</v>
      </c>
      <c r="AB2308" s="21">
        <f t="shared" si="682"/>
        <v>889418.75</v>
      </c>
      <c r="AC2308" s="130">
        <f t="shared" si="683"/>
        <v>92054.840624999997</v>
      </c>
      <c r="AD2308" s="169">
        <v>0.10349999999999999</v>
      </c>
      <c r="AE2308" s="154">
        <f t="shared" si="684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95"/>
        <v>48763143.537654862</v>
      </c>
      <c r="AJ2308" s="19">
        <f t="shared" si="696"/>
        <v>5924029.9702154724</v>
      </c>
      <c r="AK2308" s="20">
        <f t="shared" si="685"/>
        <v>0.1214858095774925</v>
      </c>
      <c r="AL2308" s="17"/>
      <c r="AM2308" s="17"/>
      <c r="AN2308" s="17"/>
      <c r="AO2308" s="17"/>
      <c r="AP2308" s="28" t="str">
        <f t="shared" si="686"/>
        <v>202012</v>
      </c>
      <c r="AQ2308" s="28" t="str">
        <f t="shared" si="687"/>
        <v>202012JPY</v>
      </c>
      <c r="AR2308" s="206" t="str">
        <f t="shared" si="688"/>
        <v>YAMAHA_Mounter</v>
      </c>
      <c r="AS2308" s="22">
        <f t="shared" si="689"/>
        <v>3</v>
      </c>
      <c r="AT2308" s="24" t="str">
        <f t="shared" si="690"/>
        <v>0-3 months</v>
      </c>
    </row>
    <row r="2309" spans="1:46" s="12" customFormat="1">
      <c r="A2309" s="33" t="str">
        <f t="shared" si="678"/>
        <v>FY 20/21</v>
      </c>
      <c r="B2309" s="152">
        <v>2020</v>
      </c>
      <c r="C2309" s="152">
        <v>9</v>
      </c>
      <c r="D2309" s="33" t="str">
        <f t="shared" si="679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80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94"/>
        <v>1</v>
      </c>
      <c r="Z2309" s="18">
        <f t="shared" si="693"/>
        <v>11687500</v>
      </c>
      <c r="AA2309" s="13">
        <v>7.6100000000000001E-2</v>
      </c>
      <c r="AB2309" s="21">
        <f t="shared" si="682"/>
        <v>889418.75</v>
      </c>
      <c r="AC2309" s="130">
        <f t="shared" si="683"/>
        <v>92054.840624999997</v>
      </c>
      <c r="AD2309" s="169">
        <v>0.10349999999999999</v>
      </c>
      <c r="AE2309" s="154">
        <f t="shared" si="684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95"/>
        <v>48763143.537654862</v>
      </c>
      <c r="AJ2309" s="19">
        <f t="shared" si="696"/>
        <v>5924029.9702154724</v>
      </c>
      <c r="AK2309" s="20">
        <f t="shared" si="685"/>
        <v>0.1214858095774925</v>
      </c>
      <c r="AL2309" s="17"/>
      <c r="AM2309" s="17"/>
      <c r="AN2309" s="17"/>
      <c r="AO2309" s="17"/>
      <c r="AP2309" s="28" t="str">
        <f t="shared" si="686"/>
        <v>202012</v>
      </c>
      <c r="AQ2309" s="28" t="str">
        <f t="shared" si="687"/>
        <v>202012JPY</v>
      </c>
      <c r="AR2309" s="206" t="str">
        <f t="shared" si="688"/>
        <v>YAMAHA_Mounter</v>
      </c>
      <c r="AS2309" s="22">
        <f t="shared" si="689"/>
        <v>3</v>
      </c>
      <c r="AT2309" s="24" t="str">
        <f t="shared" si="690"/>
        <v>0-3 months</v>
      </c>
    </row>
    <row r="2310" spans="1:46" s="12" customFormat="1">
      <c r="A2310" s="33" t="str">
        <f t="shared" si="678"/>
        <v>FY 20/21</v>
      </c>
      <c r="B2310" s="152">
        <v>2020</v>
      </c>
      <c r="C2310" s="152">
        <v>9</v>
      </c>
      <c r="D2310" s="33" t="str">
        <f t="shared" si="679"/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si="680"/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94"/>
        <v>1</v>
      </c>
      <c r="Z2310" s="18">
        <f t="shared" si="693"/>
        <v>11687500</v>
      </c>
      <c r="AA2310" s="13">
        <v>7.6100000000000001E-2</v>
      </c>
      <c r="AB2310" s="21">
        <f t="shared" si="682"/>
        <v>889418.75</v>
      </c>
      <c r="AC2310" s="130">
        <f t="shared" si="683"/>
        <v>92054.840624999997</v>
      </c>
      <c r="AD2310" s="169">
        <v>0.10349999999999999</v>
      </c>
      <c r="AE2310" s="154">
        <f t="shared" si="684"/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95"/>
        <v>48763143.537654862</v>
      </c>
      <c r="AJ2310" s="19">
        <f t="shared" si="696"/>
        <v>5924029.9702154724</v>
      </c>
      <c r="AK2310" s="20">
        <f t="shared" si="685"/>
        <v>0.1214858095774925</v>
      </c>
      <c r="AL2310" s="17"/>
      <c r="AM2310" s="17"/>
      <c r="AN2310" s="17"/>
      <c r="AO2310" s="17"/>
      <c r="AP2310" s="28" t="str">
        <f t="shared" si="686"/>
        <v>202012</v>
      </c>
      <c r="AQ2310" s="28" t="str">
        <f t="shared" si="687"/>
        <v>202012JPY</v>
      </c>
      <c r="AR2310" s="206" t="str">
        <f t="shared" si="688"/>
        <v>YAMAHA_Mounter</v>
      </c>
      <c r="AS2310" s="22">
        <f t="shared" si="689"/>
        <v>3</v>
      </c>
      <c r="AT2310" s="24" t="str">
        <f t="shared" si="690"/>
        <v>0-3 months</v>
      </c>
    </row>
    <row r="2311" spans="1:46" s="12" customFormat="1">
      <c r="A2311" s="33" t="str">
        <f t="shared" si="678"/>
        <v>FY 20/21</v>
      </c>
      <c r="B2311" s="152">
        <v>2020</v>
      </c>
      <c r="C2311" s="152">
        <v>9</v>
      </c>
      <c r="D2311" s="33" t="str">
        <f t="shared" si="679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0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94"/>
        <v>1</v>
      </c>
      <c r="Z2311" s="18">
        <f t="shared" si="693"/>
        <v>11687500</v>
      </c>
      <c r="AA2311" s="13">
        <v>7.6100000000000001E-2</v>
      </c>
      <c r="AB2311" s="21">
        <f t="shared" si="682"/>
        <v>889418.75</v>
      </c>
      <c r="AC2311" s="130">
        <f t="shared" si="683"/>
        <v>92054.840624999997</v>
      </c>
      <c r="AD2311" s="169">
        <v>0.10349999999999999</v>
      </c>
      <c r="AE2311" s="154">
        <f t="shared" si="684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5"/>
        <v>48763143.537654862</v>
      </c>
      <c r="AJ2311" s="19">
        <f t="shared" si="696"/>
        <v>5924029.9702154724</v>
      </c>
      <c r="AK2311" s="20">
        <f t="shared" si="685"/>
        <v>0.1214858095774925</v>
      </c>
      <c r="AL2311" s="17"/>
      <c r="AM2311" s="17"/>
      <c r="AN2311" s="17"/>
      <c r="AO2311" s="17"/>
      <c r="AP2311" s="28" t="str">
        <f t="shared" si="686"/>
        <v>202012</v>
      </c>
      <c r="AQ2311" s="28" t="str">
        <f t="shared" si="687"/>
        <v>202012JPY</v>
      </c>
      <c r="AR2311" s="206" t="str">
        <f t="shared" si="688"/>
        <v>YAMAHA_Mounter</v>
      </c>
      <c r="AS2311" s="22">
        <f t="shared" si="689"/>
        <v>3</v>
      </c>
      <c r="AT2311" s="24" t="str">
        <f t="shared" si="690"/>
        <v>0-3 months</v>
      </c>
    </row>
    <row r="2312" spans="1:46" s="12" customFormat="1">
      <c r="A2312" s="33" t="str">
        <f t="shared" si="678"/>
        <v>FY 20/21</v>
      </c>
      <c r="B2312" s="152">
        <v>2021</v>
      </c>
      <c r="C2312" s="152">
        <v>1</v>
      </c>
      <c r="D2312" s="33" t="str">
        <f t="shared" si="679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0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94"/>
        <v>1</v>
      </c>
      <c r="Z2312" s="18">
        <f t="shared" si="693"/>
        <v>12650000</v>
      </c>
      <c r="AA2312" s="13">
        <v>6.9199999999999998E-2</v>
      </c>
      <c r="AB2312" s="21">
        <f t="shared" si="682"/>
        <v>875380</v>
      </c>
      <c r="AC2312" s="130">
        <f t="shared" si="683"/>
        <v>74669.914000000004</v>
      </c>
      <c r="AD2312" s="169">
        <v>8.5300000000000001E-2</v>
      </c>
      <c r="AE2312" s="154">
        <f t="shared" si="684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5"/>
        <v>26407088.359292038</v>
      </c>
      <c r="AJ2312" s="19">
        <f t="shared" si="696"/>
        <v>3424510.6998470789</v>
      </c>
      <c r="AK2312" s="20">
        <f t="shared" si="685"/>
        <v>0.12968149510667554</v>
      </c>
      <c r="AL2312" s="17"/>
      <c r="AM2312" s="17"/>
      <c r="AN2312" s="17"/>
      <c r="AO2312" s="17"/>
      <c r="AP2312" s="28" t="str">
        <f t="shared" si="686"/>
        <v>20221</v>
      </c>
      <c r="AQ2312" s="28" t="str">
        <f t="shared" si="687"/>
        <v>20221JPY</v>
      </c>
      <c r="AR2312" s="206" t="str">
        <f t="shared" si="688"/>
        <v>YAMAHA_Mounter</v>
      </c>
      <c r="AS2312" s="22">
        <f t="shared" si="689"/>
        <v>12</v>
      </c>
      <c r="AT2312" s="24" t="str">
        <f t="shared" si="690"/>
        <v>&gt; 6 months</v>
      </c>
    </row>
    <row r="2313" spans="1:46" s="12" customFormat="1">
      <c r="A2313" s="33" t="str">
        <f t="shared" si="678"/>
        <v>FY 20/21</v>
      </c>
      <c r="B2313" s="152">
        <v>2021</v>
      </c>
      <c r="C2313" s="152">
        <v>1</v>
      </c>
      <c r="D2313" s="33" t="str">
        <f t="shared" si="679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0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94"/>
        <v>1</v>
      </c>
      <c r="Z2313" s="18">
        <f t="shared" si="693"/>
        <v>12650000</v>
      </c>
      <c r="AA2313" s="13">
        <v>6.9199999999999998E-2</v>
      </c>
      <c r="AB2313" s="21">
        <f t="shared" si="682"/>
        <v>875380</v>
      </c>
      <c r="AC2313" s="130">
        <f t="shared" si="683"/>
        <v>74669.914000000004</v>
      </c>
      <c r="AD2313" s="169">
        <v>8.5300000000000001E-2</v>
      </c>
      <c r="AE2313" s="154">
        <f t="shared" si="684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5"/>
        <v>26407088.359292038</v>
      </c>
      <c r="AJ2313" s="19">
        <f t="shared" si="696"/>
        <v>3424510.6998470789</v>
      </c>
      <c r="AK2313" s="20">
        <f t="shared" si="685"/>
        <v>0.12968149510667554</v>
      </c>
      <c r="AL2313" s="17"/>
      <c r="AM2313" s="17"/>
      <c r="AN2313" s="17"/>
      <c r="AO2313" s="17"/>
      <c r="AP2313" s="28" t="str">
        <f t="shared" si="686"/>
        <v>20221</v>
      </c>
      <c r="AQ2313" s="28" t="str">
        <f t="shared" si="687"/>
        <v>20221JPY</v>
      </c>
      <c r="AR2313" s="206" t="str">
        <f t="shared" si="688"/>
        <v>YAMAHA_Mounter</v>
      </c>
      <c r="AS2313" s="22">
        <f t="shared" si="689"/>
        <v>12</v>
      </c>
      <c r="AT2313" s="24" t="str">
        <f t="shared" si="690"/>
        <v>&gt; 6 months</v>
      </c>
    </row>
    <row r="2314" spans="1:46" s="12" customFormat="1">
      <c r="A2314" s="33" t="str">
        <f t="shared" si="678"/>
        <v>FY 20/21</v>
      </c>
      <c r="B2314" s="152">
        <v>2021</v>
      </c>
      <c r="C2314" s="152">
        <v>1</v>
      </c>
      <c r="D2314" s="33" t="str">
        <f t="shared" si="679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0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94"/>
        <v>1</v>
      </c>
      <c r="Z2314" s="18">
        <f t="shared" si="693"/>
        <v>12650000</v>
      </c>
      <c r="AA2314" s="13">
        <v>6.54E-2</v>
      </c>
      <c r="AB2314" s="21">
        <f t="shared" si="682"/>
        <v>827310</v>
      </c>
      <c r="AC2314" s="130">
        <f t="shared" si="683"/>
        <v>70569.543000000005</v>
      </c>
      <c r="AD2314" s="169">
        <v>8.5300000000000001E-2</v>
      </c>
      <c r="AE2314" s="154">
        <f t="shared" si="684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5"/>
        <v>46600814.041769907</v>
      </c>
      <c r="AJ2314" s="19">
        <f t="shared" si="696"/>
        <v>5956366.3435927071</v>
      </c>
      <c r="AK2314" s="20">
        <f t="shared" si="685"/>
        <v>0.1278167874546958</v>
      </c>
      <c r="AL2314" s="17"/>
      <c r="AM2314" s="17"/>
      <c r="AN2314" s="17"/>
      <c r="AO2314" s="17"/>
      <c r="AP2314" s="28" t="str">
        <f t="shared" si="686"/>
        <v>20224</v>
      </c>
      <c r="AQ2314" s="28" t="str">
        <f t="shared" si="687"/>
        <v>20224JPY</v>
      </c>
      <c r="AR2314" s="206" t="str">
        <f t="shared" si="688"/>
        <v>YAMAHA_Mounter</v>
      </c>
      <c r="AS2314" s="22">
        <f t="shared" si="689"/>
        <v>15</v>
      </c>
      <c r="AT2314" s="24" t="str">
        <f t="shared" si="690"/>
        <v>&gt; 6 months</v>
      </c>
    </row>
    <row r="2315" spans="1:46" s="12" customFormat="1">
      <c r="A2315" s="33" t="str">
        <f t="shared" si="678"/>
        <v>FY 20/21</v>
      </c>
      <c r="B2315" s="152">
        <v>2021</v>
      </c>
      <c r="C2315" s="152">
        <v>1</v>
      </c>
      <c r="D2315" s="33" t="str">
        <f t="shared" si="679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0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94"/>
        <v>1</v>
      </c>
      <c r="Z2315" s="18">
        <f t="shared" si="693"/>
        <v>7419600</v>
      </c>
      <c r="AA2315" s="13">
        <v>6.54E-2</v>
      </c>
      <c r="AB2315" s="21">
        <f t="shared" si="682"/>
        <v>485241.84</v>
      </c>
      <c r="AC2315" s="130">
        <f t="shared" si="683"/>
        <v>41391.128951999999</v>
      </c>
      <c r="AD2315" s="169">
        <v>8.5300000000000001E-2</v>
      </c>
      <c r="AE2315" s="154">
        <f t="shared" si="684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5"/>
        <v>46600814.041769907</v>
      </c>
      <c r="AJ2315" s="19">
        <f t="shared" si="696"/>
        <v>5956366.3435927071</v>
      </c>
      <c r="AK2315" s="20">
        <f t="shared" si="685"/>
        <v>0.1278167874546958</v>
      </c>
      <c r="AL2315" s="17"/>
      <c r="AM2315" s="17"/>
      <c r="AN2315" s="17"/>
      <c r="AO2315" s="17"/>
      <c r="AP2315" s="28" t="str">
        <f t="shared" si="686"/>
        <v>20224</v>
      </c>
      <c r="AQ2315" s="28" t="str">
        <f t="shared" si="687"/>
        <v>20224JPY</v>
      </c>
      <c r="AR2315" s="206" t="str">
        <f t="shared" si="688"/>
        <v>YAMAHA_Mounter</v>
      </c>
      <c r="AS2315" s="22">
        <f t="shared" si="689"/>
        <v>15</v>
      </c>
      <c r="AT2315" s="24" t="str">
        <f t="shared" si="690"/>
        <v>&gt; 6 months</v>
      </c>
    </row>
    <row r="2316" spans="1:46" s="12" customFormat="1">
      <c r="A2316" s="33" t="str">
        <f t="shared" si="678"/>
        <v>FY 22/23</v>
      </c>
      <c r="B2316" s="152">
        <v>2022</v>
      </c>
      <c r="C2316" s="152">
        <v>12</v>
      </c>
      <c r="D2316" s="33" t="str">
        <f t="shared" si="679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0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94"/>
        <v>1.13</v>
      </c>
      <c r="Z2316" s="18">
        <f t="shared" si="693"/>
        <v>450000</v>
      </c>
      <c r="AA2316" s="13">
        <v>1.1599999999999999</v>
      </c>
      <c r="AB2316" s="21">
        <f t="shared" si="682"/>
        <v>461946.90265486727</v>
      </c>
      <c r="AC2316" s="130">
        <f t="shared" si="683"/>
        <v>37325.309734513277</v>
      </c>
      <c r="AD2316" s="169">
        <v>8.0799999999999997E-2</v>
      </c>
      <c r="AE2316" s="154">
        <f t="shared" si="684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5"/>
        <v>21045012.884955753</v>
      </c>
      <c r="AJ2316" s="19">
        <f t="shared" si="696"/>
        <v>2650260.9603327443</v>
      </c>
      <c r="AK2316" s="20">
        <f t="shared" si="685"/>
        <v>0.12593296924172048</v>
      </c>
      <c r="AL2316" s="17"/>
      <c r="AM2316" s="17"/>
      <c r="AN2316" s="17"/>
      <c r="AO2316" s="17"/>
      <c r="AP2316" s="28" t="str">
        <f t="shared" si="686"/>
        <v>20232</v>
      </c>
      <c r="AQ2316" s="28" t="str">
        <f t="shared" si="687"/>
        <v>20232RMB</v>
      </c>
      <c r="AR2316" s="206" t="str">
        <f t="shared" si="688"/>
        <v>YAMAHA_Mounter</v>
      </c>
      <c r="AS2316" s="22">
        <f t="shared" si="689"/>
        <v>2</v>
      </c>
      <c r="AT2316" s="24" t="str">
        <f t="shared" si="690"/>
        <v>0-3 months</v>
      </c>
    </row>
    <row r="2317" spans="1:46" s="12" customFormat="1">
      <c r="A2317" s="33" t="str">
        <f t="shared" si="678"/>
        <v>FY 22/23</v>
      </c>
      <c r="B2317" s="152">
        <v>2022</v>
      </c>
      <c r="C2317" s="152">
        <v>12</v>
      </c>
      <c r="D2317" s="33" t="str">
        <f t="shared" si="679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0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94"/>
        <v>1.13</v>
      </c>
      <c r="Z2317" s="18">
        <f t="shared" si="693"/>
        <v>450000</v>
      </c>
      <c r="AA2317" s="13">
        <v>1.1599999999999999</v>
      </c>
      <c r="AB2317" s="21">
        <f t="shared" si="682"/>
        <v>461946.90265486727</v>
      </c>
      <c r="AC2317" s="130">
        <f t="shared" si="683"/>
        <v>37325.309734513277</v>
      </c>
      <c r="AD2317" s="169">
        <v>8.0799999999999997E-2</v>
      </c>
      <c r="AE2317" s="154">
        <f t="shared" si="684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5"/>
        <v>21045012.884955753</v>
      </c>
      <c r="AJ2317" s="19">
        <f t="shared" si="696"/>
        <v>2650260.9603327443</v>
      </c>
      <c r="AK2317" s="20">
        <f t="shared" si="685"/>
        <v>0.12593296924172048</v>
      </c>
      <c r="AL2317" s="17"/>
      <c r="AM2317" s="17"/>
      <c r="AN2317" s="17"/>
      <c r="AO2317" s="17"/>
      <c r="AP2317" s="28" t="str">
        <f t="shared" si="686"/>
        <v>20232</v>
      </c>
      <c r="AQ2317" s="28" t="str">
        <f t="shared" si="687"/>
        <v>20232RMB</v>
      </c>
      <c r="AR2317" s="206" t="str">
        <f t="shared" si="688"/>
        <v>YAMAHA_Mounter</v>
      </c>
      <c r="AS2317" s="22">
        <f t="shared" si="689"/>
        <v>2</v>
      </c>
      <c r="AT2317" s="24" t="str">
        <f t="shared" si="690"/>
        <v>0-3 months</v>
      </c>
    </row>
    <row r="2318" spans="1:46" s="12" customFormat="1">
      <c r="A2318" s="33" t="str">
        <f t="shared" si="678"/>
        <v>FY 22/23</v>
      </c>
      <c r="B2318" s="152">
        <v>2022</v>
      </c>
      <c r="C2318" s="152">
        <v>12</v>
      </c>
      <c r="D2318" s="33" t="str">
        <f t="shared" si="679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0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94"/>
        <v>1.13</v>
      </c>
      <c r="Z2318" s="18">
        <f t="shared" si="693"/>
        <v>450000</v>
      </c>
      <c r="AA2318" s="13">
        <v>1.1599999999999999</v>
      </c>
      <c r="AB2318" s="21">
        <f t="shared" si="682"/>
        <v>461946.90265486727</v>
      </c>
      <c r="AC2318" s="130">
        <f t="shared" si="683"/>
        <v>37325.309734513277</v>
      </c>
      <c r="AD2318" s="169">
        <v>8.0799999999999997E-2</v>
      </c>
      <c r="AE2318" s="154">
        <f t="shared" si="684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5"/>
        <v>21045012.884955753</v>
      </c>
      <c r="AJ2318" s="19">
        <f t="shared" si="696"/>
        <v>2650260.9603327443</v>
      </c>
      <c r="AK2318" s="20">
        <f t="shared" si="685"/>
        <v>0.12593296924172048</v>
      </c>
      <c r="AL2318" s="17"/>
      <c r="AM2318" s="17"/>
      <c r="AN2318" s="17"/>
      <c r="AO2318" s="17"/>
      <c r="AP2318" s="28" t="str">
        <f t="shared" si="686"/>
        <v>20232</v>
      </c>
      <c r="AQ2318" s="28" t="str">
        <f t="shared" si="687"/>
        <v>20232RMB</v>
      </c>
      <c r="AR2318" s="206" t="str">
        <f t="shared" si="688"/>
        <v>YAMAHA_Mounter</v>
      </c>
      <c r="AS2318" s="22">
        <f t="shared" si="689"/>
        <v>2</v>
      </c>
      <c r="AT2318" s="24" t="str">
        <f t="shared" si="690"/>
        <v>0-3 months</v>
      </c>
    </row>
    <row r="2319" spans="1:46" s="12" customFormat="1">
      <c r="A2319" s="33" t="str">
        <f t="shared" si="678"/>
        <v>FY 22/23</v>
      </c>
      <c r="B2319" s="152">
        <v>2022</v>
      </c>
      <c r="C2319" s="152">
        <v>12</v>
      </c>
      <c r="D2319" s="33" t="str">
        <f t="shared" si="679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0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94"/>
        <v>1.13</v>
      </c>
      <c r="Z2319" s="18">
        <f t="shared" si="693"/>
        <v>450000</v>
      </c>
      <c r="AA2319" s="13">
        <v>1.1599999999999999</v>
      </c>
      <c r="AB2319" s="21">
        <f t="shared" si="682"/>
        <v>461946.90265486727</v>
      </c>
      <c r="AC2319" s="130">
        <f t="shared" si="683"/>
        <v>37325.309734513277</v>
      </c>
      <c r="AD2319" s="169">
        <v>8.0799999999999997E-2</v>
      </c>
      <c r="AE2319" s="154">
        <f t="shared" si="684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5"/>
        <v>21045012.884955753</v>
      </c>
      <c r="AJ2319" s="19">
        <f t="shared" si="696"/>
        <v>2650260.9603327443</v>
      </c>
      <c r="AK2319" s="20">
        <f t="shared" si="685"/>
        <v>0.12593296924172048</v>
      </c>
      <c r="AL2319" s="17"/>
      <c r="AM2319" s="17"/>
      <c r="AN2319" s="17"/>
      <c r="AO2319" s="17"/>
      <c r="AP2319" s="28" t="str">
        <f t="shared" si="686"/>
        <v>20232</v>
      </c>
      <c r="AQ2319" s="28" t="str">
        <f t="shared" si="687"/>
        <v>20232RMB</v>
      </c>
      <c r="AR2319" s="206" t="str">
        <f t="shared" si="688"/>
        <v>YAMAHA_Mounter</v>
      </c>
      <c r="AS2319" s="22">
        <f t="shared" si="689"/>
        <v>2</v>
      </c>
      <c r="AT2319" s="24" t="str">
        <f t="shared" si="690"/>
        <v>0-3 months</v>
      </c>
    </row>
    <row r="2320" spans="1:46" s="12" customFormat="1">
      <c r="A2320" s="33" t="str">
        <f t="shared" si="678"/>
        <v>FY 22/23</v>
      </c>
      <c r="B2320" s="152">
        <v>2022</v>
      </c>
      <c r="C2320" s="152">
        <v>12</v>
      </c>
      <c r="D2320" s="33" t="str">
        <f t="shared" si="679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0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94"/>
        <v>1.13</v>
      </c>
      <c r="Z2320" s="18">
        <f t="shared" si="693"/>
        <v>450000</v>
      </c>
      <c r="AA2320" s="13">
        <v>1.1599999999999999</v>
      </c>
      <c r="AB2320" s="21">
        <f t="shared" si="682"/>
        <v>461946.90265486727</v>
      </c>
      <c r="AC2320" s="130">
        <f t="shared" si="683"/>
        <v>37325.309734513277</v>
      </c>
      <c r="AD2320" s="169">
        <v>8.0799999999999997E-2</v>
      </c>
      <c r="AE2320" s="154">
        <f t="shared" si="684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5"/>
        <v>21045012.884955753</v>
      </c>
      <c r="AJ2320" s="19">
        <f t="shared" si="696"/>
        <v>2650260.9603327443</v>
      </c>
      <c r="AK2320" s="20">
        <f t="shared" si="685"/>
        <v>0.12593296924172048</v>
      </c>
      <c r="AL2320" s="17"/>
      <c r="AM2320" s="17"/>
      <c r="AN2320" s="17"/>
      <c r="AO2320" s="17"/>
      <c r="AP2320" s="28" t="str">
        <f t="shared" si="686"/>
        <v>20232</v>
      </c>
      <c r="AQ2320" s="28" t="str">
        <f t="shared" si="687"/>
        <v>20232RMB</v>
      </c>
      <c r="AR2320" s="206" t="str">
        <f t="shared" si="688"/>
        <v>YAMAHA_Mounter</v>
      </c>
      <c r="AS2320" s="22">
        <f t="shared" si="689"/>
        <v>2</v>
      </c>
      <c r="AT2320" s="24" t="str">
        <f t="shared" si="690"/>
        <v>0-3 months</v>
      </c>
    </row>
    <row r="2321" spans="1:46" s="12" customFormat="1">
      <c r="A2321" s="33" t="str">
        <f t="shared" si="678"/>
        <v>FY 22/23</v>
      </c>
      <c r="B2321" s="152">
        <v>2022</v>
      </c>
      <c r="C2321" s="152">
        <v>12</v>
      </c>
      <c r="D2321" s="33" t="str">
        <f t="shared" si="679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0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94"/>
        <v>1.13</v>
      </c>
      <c r="Z2321" s="18">
        <f t="shared" si="693"/>
        <v>726000</v>
      </c>
      <c r="AA2321" s="13">
        <v>1.1599999999999999</v>
      </c>
      <c r="AB2321" s="21">
        <f t="shared" si="682"/>
        <v>745274.33628318587</v>
      </c>
      <c r="AC2321" s="130">
        <f t="shared" si="683"/>
        <v>60218.166371681415</v>
      </c>
      <c r="AD2321" s="169">
        <v>8.0799999999999997E-2</v>
      </c>
      <c r="AE2321" s="154">
        <f t="shared" si="684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5"/>
        <v>21045012.884955753</v>
      </c>
      <c r="AJ2321" s="19">
        <f t="shared" si="696"/>
        <v>2650260.9603327443</v>
      </c>
      <c r="AK2321" s="20">
        <f t="shared" si="685"/>
        <v>0.12593296924172048</v>
      </c>
      <c r="AL2321" s="17"/>
      <c r="AM2321" s="17"/>
      <c r="AN2321" s="17"/>
      <c r="AO2321" s="17"/>
      <c r="AP2321" s="28" t="str">
        <f t="shared" si="686"/>
        <v>20232</v>
      </c>
      <c r="AQ2321" s="28" t="str">
        <f t="shared" si="687"/>
        <v>20232RMB</v>
      </c>
      <c r="AR2321" s="206" t="str">
        <f t="shared" si="688"/>
        <v>YAMAHA_Mounter</v>
      </c>
      <c r="AS2321" s="22">
        <f t="shared" si="689"/>
        <v>2</v>
      </c>
      <c r="AT2321" s="24" t="str">
        <f t="shared" si="690"/>
        <v>0-3 months</v>
      </c>
    </row>
    <row r="2322" spans="1:46" s="12" customFormat="1">
      <c r="A2322" s="33" t="str">
        <f t="shared" si="678"/>
        <v>FY 22/23</v>
      </c>
      <c r="B2322" s="152">
        <v>2023</v>
      </c>
      <c r="C2322" s="152">
        <v>2</v>
      </c>
      <c r="D2322" s="33" t="str">
        <f t="shared" si="679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0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94"/>
        <v>1.13</v>
      </c>
      <c r="Z2322" s="18">
        <f t="shared" si="693"/>
        <v>500000</v>
      </c>
      <c r="AA2322" s="13">
        <v>1.1599999999999999</v>
      </c>
      <c r="AB2322" s="21">
        <f t="shared" si="682"/>
        <v>513274.33628318587</v>
      </c>
      <c r="AC2322" s="130">
        <f t="shared" si="683"/>
        <v>73962.83185840708</v>
      </c>
      <c r="AD2322" s="169">
        <v>0.14410000000000001</v>
      </c>
      <c r="AE2322" s="154">
        <f t="shared" si="684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5"/>
        <v>21045012.884955753</v>
      </c>
      <c r="AJ2322" s="19">
        <f t="shared" si="696"/>
        <v>2650260.9603327443</v>
      </c>
      <c r="AK2322" s="20">
        <f t="shared" si="685"/>
        <v>0.12593296924172048</v>
      </c>
      <c r="AL2322" s="17"/>
      <c r="AM2322" s="17"/>
      <c r="AN2322" s="17"/>
      <c r="AO2322" s="17"/>
      <c r="AP2322" s="28" t="str">
        <f t="shared" si="686"/>
        <v>20232</v>
      </c>
      <c r="AQ2322" s="28" t="str">
        <f t="shared" si="687"/>
        <v>20232RMB</v>
      </c>
      <c r="AR2322" s="206" t="str">
        <f t="shared" si="688"/>
        <v>YAMAHA_Mounter</v>
      </c>
      <c r="AS2322" s="22">
        <f t="shared" si="689"/>
        <v>0</v>
      </c>
      <c r="AT2322" s="24" t="str">
        <f t="shared" si="690"/>
        <v>0-3 months</v>
      </c>
    </row>
    <row r="2323" spans="1:46" s="12" customFormat="1">
      <c r="A2323" s="33" t="str">
        <f t="shared" si="678"/>
        <v>FY 22/23</v>
      </c>
      <c r="B2323" s="152">
        <v>2023</v>
      </c>
      <c r="C2323" s="152">
        <v>2</v>
      </c>
      <c r="D2323" s="33" t="str">
        <f t="shared" si="679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0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94"/>
        <v>1.13</v>
      </c>
      <c r="Z2323" s="18">
        <f t="shared" si="693"/>
        <v>500000</v>
      </c>
      <c r="AA2323" s="13">
        <v>1.1599999999999999</v>
      </c>
      <c r="AB2323" s="21">
        <f t="shared" si="682"/>
        <v>513274.33628318587</v>
      </c>
      <c r="AC2323" s="130">
        <f t="shared" si="683"/>
        <v>73962.83185840708</v>
      </c>
      <c r="AD2323" s="169">
        <v>0.14410000000000001</v>
      </c>
      <c r="AE2323" s="154">
        <f t="shared" si="684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5"/>
        <v>21045012.884955753</v>
      </c>
      <c r="AJ2323" s="19">
        <f t="shared" si="696"/>
        <v>2650260.9603327443</v>
      </c>
      <c r="AK2323" s="20">
        <f t="shared" si="685"/>
        <v>0.12593296924172048</v>
      </c>
      <c r="AL2323" s="17"/>
      <c r="AM2323" s="17"/>
      <c r="AN2323" s="17"/>
      <c r="AO2323" s="17"/>
      <c r="AP2323" s="28" t="str">
        <f t="shared" si="686"/>
        <v>20232</v>
      </c>
      <c r="AQ2323" s="28" t="str">
        <f t="shared" si="687"/>
        <v>20232RMB</v>
      </c>
      <c r="AR2323" s="206" t="str">
        <f t="shared" si="688"/>
        <v>YAMAHA_Mounter</v>
      </c>
      <c r="AS2323" s="22">
        <f t="shared" si="689"/>
        <v>0</v>
      </c>
      <c r="AT2323" s="24" t="str">
        <f t="shared" si="690"/>
        <v>0-3 months</v>
      </c>
    </row>
    <row r="2324" spans="1:46" s="12" customFormat="1">
      <c r="A2324" s="33" t="str">
        <f t="shared" si="678"/>
        <v>FY 22/23</v>
      </c>
      <c r="B2324" s="152">
        <v>2023</v>
      </c>
      <c r="C2324" s="152">
        <v>2</v>
      </c>
      <c r="D2324" s="33" t="str">
        <f t="shared" si="679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0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94"/>
        <v>1.13</v>
      </c>
      <c r="Z2324" s="18">
        <f t="shared" si="693"/>
        <v>746812.5</v>
      </c>
      <c r="AA2324" s="13">
        <v>1.1599999999999999</v>
      </c>
      <c r="AB2324" s="21">
        <f t="shared" si="682"/>
        <v>766639.38053097343</v>
      </c>
      <c r="AC2324" s="130">
        <f t="shared" si="683"/>
        <v>110472.73473451327</v>
      </c>
      <c r="AD2324" s="169">
        <v>0.14410000000000001</v>
      </c>
      <c r="AE2324" s="154">
        <f t="shared" si="684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5"/>
        <v>21045012.884955753</v>
      </c>
      <c r="AJ2324" s="19">
        <f t="shared" si="696"/>
        <v>2650260.9603327443</v>
      </c>
      <c r="AK2324" s="20">
        <f t="shared" si="685"/>
        <v>0.12593296924172048</v>
      </c>
      <c r="AL2324" s="17"/>
      <c r="AM2324" s="17"/>
      <c r="AN2324" s="17"/>
      <c r="AO2324" s="17"/>
      <c r="AP2324" s="28" t="str">
        <f t="shared" si="686"/>
        <v>20232</v>
      </c>
      <c r="AQ2324" s="28" t="str">
        <f t="shared" si="687"/>
        <v>20232RMB</v>
      </c>
      <c r="AR2324" s="206" t="str">
        <f t="shared" si="688"/>
        <v>YAMAHA_Mounter</v>
      </c>
      <c r="AS2324" s="22">
        <f t="shared" si="689"/>
        <v>0</v>
      </c>
      <c r="AT2324" s="24" t="str">
        <f t="shared" si="690"/>
        <v>0-3 months</v>
      </c>
    </row>
    <row r="2325" spans="1:46" s="12" customFormat="1">
      <c r="A2325" s="33" t="str">
        <f t="shared" si="678"/>
        <v>FY 22/23</v>
      </c>
      <c r="B2325" s="152">
        <v>2023</v>
      </c>
      <c r="C2325" s="152">
        <v>2</v>
      </c>
      <c r="D2325" s="33" t="str">
        <f t="shared" si="679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0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94"/>
        <v>1.13</v>
      </c>
      <c r="Z2325" s="18">
        <f t="shared" si="693"/>
        <v>746812.5</v>
      </c>
      <c r="AA2325" s="13">
        <v>1.1599999999999999</v>
      </c>
      <c r="AB2325" s="21">
        <f t="shared" si="682"/>
        <v>766639.38053097343</v>
      </c>
      <c r="AC2325" s="130">
        <f t="shared" si="683"/>
        <v>110472.73473451327</v>
      </c>
      <c r="AD2325" s="169">
        <v>0.14410000000000001</v>
      </c>
      <c r="AE2325" s="154">
        <f t="shared" si="684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5"/>
        <v>21045012.884955753</v>
      </c>
      <c r="AJ2325" s="19">
        <f t="shared" si="696"/>
        <v>2650260.9603327443</v>
      </c>
      <c r="AK2325" s="20">
        <f t="shared" si="685"/>
        <v>0.12593296924172048</v>
      </c>
      <c r="AL2325" s="17"/>
      <c r="AM2325" s="17"/>
      <c r="AN2325" s="17"/>
      <c r="AO2325" s="17"/>
      <c r="AP2325" s="28" t="str">
        <f t="shared" si="686"/>
        <v>20232</v>
      </c>
      <c r="AQ2325" s="28" t="str">
        <f t="shared" si="687"/>
        <v>20232RMB</v>
      </c>
      <c r="AR2325" s="206" t="str">
        <f t="shared" si="688"/>
        <v>YAMAHA_Mounter</v>
      </c>
      <c r="AS2325" s="22">
        <f t="shared" si="689"/>
        <v>0</v>
      </c>
      <c r="AT2325" s="24" t="str">
        <f t="shared" si="690"/>
        <v>0-3 months</v>
      </c>
    </row>
    <row r="2326" spans="1:46" s="12" customFormat="1">
      <c r="A2326" s="33" t="str">
        <f t="shared" si="678"/>
        <v>FY 22/23</v>
      </c>
      <c r="B2326" s="152">
        <v>2023</v>
      </c>
      <c r="C2326" s="152">
        <v>2</v>
      </c>
      <c r="D2326" s="33" t="str">
        <f t="shared" si="679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0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si="681"/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94"/>
        <v>1.13</v>
      </c>
      <c r="Z2326" s="18">
        <f t="shared" si="693"/>
        <v>746812.5</v>
      </c>
      <c r="AA2326" s="13">
        <v>1.1599999999999999</v>
      </c>
      <c r="AB2326" s="21">
        <f t="shared" si="682"/>
        <v>766639.38053097343</v>
      </c>
      <c r="AC2326" s="130">
        <f t="shared" si="683"/>
        <v>110472.73473451327</v>
      </c>
      <c r="AD2326" s="169">
        <v>0.14410000000000001</v>
      </c>
      <c r="AE2326" s="154">
        <f t="shared" si="684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5"/>
        <v>21045012.884955753</v>
      </c>
      <c r="AJ2326" s="19">
        <f t="shared" si="696"/>
        <v>2650260.9603327443</v>
      </c>
      <c r="AK2326" s="20">
        <f t="shared" si="685"/>
        <v>0.12593296924172048</v>
      </c>
      <c r="AL2326" s="17"/>
      <c r="AM2326" s="17"/>
      <c r="AN2326" s="17"/>
      <c r="AO2326" s="17"/>
      <c r="AP2326" s="28" t="str">
        <f t="shared" si="686"/>
        <v>20232</v>
      </c>
      <c r="AQ2326" s="28" t="str">
        <f t="shared" si="687"/>
        <v>20232RMB</v>
      </c>
      <c r="AR2326" s="206" t="str">
        <f t="shared" si="688"/>
        <v>YAMAHA_Mounter</v>
      </c>
      <c r="AS2326" s="22">
        <f t="shared" si="689"/>
        <v>0</v>
      </c>
      <c r="AT2326" s="24" t="str">
        <f t="shared" si="690"/>
        <v>0-3 months</v>
      </c>
    </row>
    <row r="2327" spans="1:46" s="12" customFormat="1">
      <c r="A2327" s="33" t="str">
        <f t="shared" si="678"/>
        <v>FY 22/23</v>
      </c>
      <c r="B2327" s="152">
        <v>2023</v>
      </c>
      <c r="C2327" s="152">
        <v>2</v>
      </c>
      <c r="D2327" s="33" t="str">
        <f t="shared" si="679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0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68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94"/>
        <v>1.13</v>
      </c>
      <c r="Z2327" s="18">
        <f t="shared" si="693"/>
        <v>746812.5</v>
      </c>
      <c r="AA2327" s="13">
        <v>1.1599999999999999</v>
      </c>
      <c r="AB2327" s="21">
        <f t="shared" si="682"/>
        <v>766639.38053097343</v>
      </c>
      <c r="AC2327" s="130">
        <f t="shared" si="683"/>
        <v>110472.73473451327</v>
      </c>
      <c r="AD2327" s="169">
        <v>0.14410000000000001</v>
      </c>
      <c r="AE2327" s="154">
        <f t="shared" si="684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5"/>
        <v>21045012.884955753</v>
      </c>
      <c r="AJ2327" s="19">
        <f t="shared" si="696"/>
        <v>2650260.9603327443</v>
      </c>
      <c r="AK2327" s="20">
        <f t="shared" si="685"/>
        <v>0.12593296924172048</v>
      </c>
      <c r="AL2327" s="17"/>
      <c r="AM2327" s="17"/>
      <c r="AN2327" s="17"/>
      <c r="AO2327" s="17"/>
      <c r="AP2327" s="28" t="str">
        <f t="shared" si="686"/>
        <v>20232</v>
      </c>
      <c r="AQ2327" s="28" t="str">
        <f t="shared" si="687"/>
        <v>20232RMB</v>
      </c>
      <c r="AR2327" s="206" t="str">
        <f t="shared" si="688"/>
        <v>YAMAHA_Mounter</v>
      </c>
      <c r="AS2327" s="22">
        <f t="shared" si="689"/>
        <v>0</v>
      </c>
      <c r="AT2327" s="24" t="str">
        <f t="shared" si="690"/>
        <v>0-3 months</v>
      </c>
    </row>
    <row r="2328" spans="1:46" s="12" customFormat="1">
      <c r="A2328" s="33" t="str">
        <f t="shared" si="678"/>
        <v>FY 22/23</v>
      </c>
      <c r="B2328" s="152">
        <v>2023</v>
      </c>
      <c r="C2328" s="152">
        <v>2</v>
      </c>
      <c r="D2328" s="33" t="str">
        <f t="shared" si="679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0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68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94"/>
        <v>1.13</v>
      </c>
      <c r="Z2328" s="18">
        <f t="shared" si="693"/>
        <v>746812.5</v>
      </c>
      <c r="AA2328" s="13">
        <v>1.1599999999999999</v>
      </c>
      <c r="AB2328" s="21">
        <f t="shared" si="682"/>
        <v>766639.38053097343</v>
      </c>
      <c r="AC2328" s="130">
        <f t="shared" si="683"/>
        <v>110472.73473451327</v>
      </c>
      <c r="AD2328" s="169">
        <v>0.14410000000000001</v>
      </c>
      <c r="AE2328" s="154">
        <f t="shared" si="684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5"/>
        <v>21045012.884955753</v>
      </c>
      <c r="AJ2328" s="19">
        <f t="shared" si="696"/>
        <v>2650260.9603327443</v>
      </c>
      <c r="AK2328" s="20">
        <f t="shared" si="685"/>
        <v>0.12593296924172048</v>
      </c>
      <c r="AL2328" s="17"/>
      <c r="AM2328" s="17"/>
      <c r="AN2328" s="17"/>
      <c r="AO2328" s="17"/>
      <c r="AP2328" s="28" t="str">
        <f t="shared" si="686"/>
        <v>20232</v>
      </c>
      <c r="AQ2328" s="28" t="str">
        <f t="shared" si="687"/>
        <v>20232RMB</v>
      </c>
      <c r="AR2328" s="206" t="str">
        <f t="shared" si="688"/>
        <v>YAMAHA_Mounter</v>
      </c>
      <c r="AS2328" s="22">
        <f t="shared" si="689"/>
        <v>0</v>
      </c>
      <c r="AT2328" s="24" t="str">
        <f t="shared" si="690"/>
        <v>0-3 months</v>
      </c>
    </row>
    <row r="2329" spans="1:46" s="12" customFormat="1">
      <c r="A2329" s="33" t="str">
        <f t="shared" si="678"/>
        <v>FY 22/23</v>
      </c>
      <c r="B2329" s="152">
        <v>2023</v>
      </c>
      <c r="C2329" s="152">
        <v>2</v>
      </c>
      <c r="D2329" s="33" t="str">
        <f t="shared" si="679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0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68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94"/>
        <v>1.13</v>
      </c>
      <c r="Z2329" s="18">
        <f t="shared" si="693"/>
        <v>746812.5</v>
      </c>
      <c r="AA2329" s="13">
        <v>1.1599999999999999</v>
      </c>
      <c r="AB2329" s="21">
        <f t="shared" si="682"/>
        <v>766639.38053097343</v>
      </c>
      <c r="AC2329" s="130">
        <f t="shared" si="683"/>
        <v>110472.73473451327</v>
      </c>
      <c r="AD2329" s="169">
        <v>0.14410000000000001</v>
      </c>
      <c r="AE2329" s="154">
        <f t="shared" si="684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5"/>
        <v>21045012.884955753</v>
      </c>
      <c r="AJ2329" s="19">
        <f t="shared" si="696"/>
        <v>2650260.9603327443</v>
      </c>
      <c r="AK2329" s="20">
        <f t="shared" si="685"/>
        <v>0.12593296924172048</v>
      </c>
      <c r="AL2329" s="17"/>
      <c r="AM2329" s="17"/>
      <c r="AN2329" s="17"/>
      <c r="AO2329" s="17"/>
      <c r="AP2329" s="28" t="str">
        <f t="shared" si="686"/>
        <v>20232</v>
      </c>
      <c r="AQ2329" s="28" t="str">
        <f t="shared" si="687"/>
        <v>20232RMB</v>
      </c>
      <c r="AR2329" s="206" t="str">
        <f t="shared" si="688"/>
        <v>YAMAHA_Mounter</v>
      </c>
      <c r="AS2329" s="22">
        <f t="shared" si="689"/>
        <v>0</v>
      </c>
      <c r="AT2329" s="24" t="str">
        <f t="shared" si="690"/>
        <v>0-3 months</v>
      </c>
    </row>
    <row r="2330" spans="1:46" s="12" customFormat="1">
      <c r="A2330" s="33" t="str">
        <f t="shared" si="678"/>
        <v>FY 22/23</v>
      </c>
      <c r="B2330" s="152">
        <v>2023</v>
      </c>
      <c r="C2330" s="152">
        <v>2</v>
      </c>
      <c r="D2330" s="33" t="str">
        <f t="shared" si="679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0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68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94"/>
        <v>1.13</v>
      </c>
      <c r="Z2330" s="18">
        <f t="shared" si="693"/>
        <v>746812.5</v>
      </c>
      <c r="AA2330" s="13">
        <v>1.1599999999999999</v>
      </c>
      <c r="AB2330" s="21">
        <f t="shared" si="682"/>
        <v>766639.38053097343</v>
      </c>
      <c r="AC2330" s="130">
        <f t="shared" si="683"/>
        <v>110472.73473451327</v>
      </c>
      <c r="AD2330" s="169">
        <v>0.14410000000000001</v>
      </c>
      <c r="AE2330" s="154">
        <f t="shared" si="684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5"/>
        <v>21045012.884955753</v>
      </c>
      <c r="AJ2330" s="19">
        <f t="shared" si="696"/>
        <v>2650260.9603327443</v>
      </c>
      <c r="AK2330" s="20">
        <f t="shared" si="685"/>
        <v>0.12593296924172048</v>
      </c>
      <c r="AL2330" s="17"/>
      <c r="AM2330" s="17"/>
      <c r="AN2330" s="17"/>
      <c r="AO2330" s="17"/>
      <c r="AP2330" s="28" t="str">
        <f t="shared" si="686"/>
        <v>20232</v>
      </c>
      <c r="AQ2330" s="28" t="str">
        <f t="shared" si="687"/>
        <v>20232RMB</v>
      </c>
      <c r="AR2330" s="206" t="str">
        <f t="shared" si="688"/>
        <v>YAMAHA_Mounter</v>
      </c>
      <c r="AS2330" s="22">
        <f t="shared" si="689"/>
        <v>0</v>
      </c>
      <c r="AT2330" s="24" t="str">
        <f t="shared" si="690"/>
        <v>0-3 months</v>
      </c>
    </row>
    <row r="2331" spans="1:46" s="12" customFormat="1">
      <c r="A2331" s="33" t="str">
        <f t="shared" si="678"/>
        <v>FY 22/23</v>
      </c>
      <c r="B2331" s="152">
        <v>2023</v>
      </c>
      <c r="C2331" s="152">
        <v>2</v>
      </c>
      <c r="D2331" s="33" t="str">
        <f t="shared" si="679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0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68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94"/>
        <v>1.13</v>
      </c>
      <c r="Z2331" s="18">
        <f t="shared" si="693"/>
        <v>746812.5</v>
      </c>
      <c r="AA2331" s="13">
        <v>1.1599999999999999</v>
      </c>
      <c r="AB2331" s="21">
        <f t="shared" si="682"/>
        <v>766639.38053097343</v>
      </c>
      <c r="AC2331" s="130">
        <f t="shared" si="683"/>
        <v>110472.73473451327</v>
      </c>
      <c r="AD2331" s="169">
        <v>0.14410000000000001</v>
      </c>
      <c r="AE2331" s="154">
        <f t="shared" si="684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5"/>
        <v>21045012.884955753</v>
      </c>
      <c r="AJ2331" s="19">
        <f t="shared" si="696"/>
        <v>2650260.9603327443</v>
      </c>
      <c r="AK2331" s="20">
        <f t="shared" si="685"/>
        <v>0.12593296924172048</v>
      </c>
      <c r="AL2331" s="17"/>
      <c r="AM2331" s="17"/>
      <c r="AN2331" s="17"/>
      <c r="AO2331" s="17"/>
      <c r="AP2331" s="28" t="str">
        <f t="shared" si="686"/>
        <v>20232</v>
      </c>
      <c r="AQ2331" s="28" t="str">
        <f t="shared" si="687"/>
        <v>20232RMB</v>
      </c>
      <c r="AR2331" s="206" t="str">
        <f t="shared" si="688"/>
        <v>YAMAHA_Mounter</v>
      </c>
      <c r="AS2331" s="22">
        <f t="shared" si="689"/>
        <v>0</v>
      </c>
      <c r="AT2331" s="24" t="str">
        <f t="shared" si="690"/>
        <v>0-3 months</v>
      </c>
    </row>
    <row r="2332" spans="1:46" s="12" customFormat="1">
      <c r="A2332" s="33" t="str">
        <f t="shared" si="678"/>
        <v>FY 23/24</v>
      </c>
      <c r="B2332" s="152">
        <v>2023</v>
      </c>
      <c r="C2332" s="152">
        <v>7</v>
      </c>
      <c r="D2332" s="33" t="str">
        <f t="shared" si="679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0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68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94"/>
        <v>1.13</v>
      </c>
      <c r="Z2332" s="18">
        <f t="shared" si="693"/>
        <v>460000</v>
      </c>
      <c r="AA2332" s="13">
        <v>1.077</v>
      </c>
      <c r="AB2332" s="21">
        <f t="shared" si="682"/>
        <v>438424.77876106196</v>
      </c>
      <c r="AC2332" s="130">
        <f t="shared" si="683"/>
        <v>39940.497345132746</v>
      </c>
      <c r="AD2332" s="169">
        <v>9.11E-2</v>
      </c>
      <c r="AE2332" s="154">
        <f t="shared" si="684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5"/>
        <v>26078226.463097349</v>
      </c>
      <c r="AJ2332" s="19">
        <f t="shared" si="696"/>
        <v>3137870.4427774516</v>
      </c>
      <c r="AK2332" s="20">
        <f t="shared" si="685"/>
        <v>0.12032530077218917</v>
      </c>
      <c r="AL2332" s="17"/>
      <c r="AM2332" s="17"/>
      <c r="AN2332" s="17"/>
      <c r="AO2332" s="17"/>
      <c r="AP2332" s="28" t="str">
        <f t="shared" si="686"/>
        <v>20239</v>
      </c>
      <c r="AQ2332" s="28" t="str">
        <f t="shared" si="687"/>
        <v>20239RMB</v>
      </c>
      <c r="AR2332" s="206" t="str">
        <f t="shared" si="688"/>
        <v>YAMAHA_Mounter</v>
      </c>
      <c r="AS2332" s="22">
        <f t="shared" si="689"/>
        <v>2</v>
      </c>
      <c r="AT2332" s="24" t="str">
        <f t="shared" si="690"/>
        <v>0-3 months</v>
      </c>
    </row>
    <row r="2333" spans="1:46" s="12" customFormat="1">
      <c r="A2333" s="33" t="str">
        <f t="shared" si="678"/>
        <v>FY 23/24</v>
      </c>
      <c r="B2333" s="152">
        <v>2023</v>
      </c>
      <c r="C2333" s="152">
        <v>7</v>
      </c>
      <c r="D2333" s="33" t="str">
        <f t="shared" si="679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0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68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94"/>
        <v>1.13</v>
      </c>
      <c r="Z2333" s="18">
        <f t="shared" si="693"/>
        <v>460000</v>
      </c>
      <c r="AA2333" s="13">
        <v>1.077</v>
      </c>
      <c r="AB2333" s="21">
        <f t="shared" si="682"/>
        <v>438424.77876106196</v>
      </c>
      <c r="AC2333" s="130">
        <f t="shared" si="683"/>
        <v>39940.497345132746</v>
      </c>
      <c r="AD2333" s="169">
        <v>9.11E-2</v>
      </c>
      <c r="AE2333" s="154">
        <f t="shared" si="684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5"/>
        <v>26078226.463097349</v>
      </c>
      <c r="AJ2333" s="19">
        <f t="shared" si="696"/>
        <v>3137870.4427774516</v>
      </c>
      <c r="AK2333" s="20">
        <f t="shared" si="685"/>
        <v>0.12032530077218917</v>
      </c>
      <c r="AL2333" s="17"/>
      <c r="AM2333" s="17"/>
      <c r="AN2333" s="17"/>
      <c r="AO2333" s="17"/>
      <c r="AP2333" s="28" t="str">
        <f t="shared" si="686"/>
        <v>20239</v>
      </c>
      <c r="AQ2333" s="28" t="str">
        <f t="shared" si="687"/>
        <v>20239RMB</v>
      </c>
      <c r="AR2333" s="206" t="str">
        <f t="shared" si="688"/>
        <v>YAMAHA_Mounter</v>
      </c>
      <c r="AS2333" s="22">
        <f t="shared" si="689"/>
        <v>2</v>
      </c>
      <c r="AT2333" s="24" t="str">
        <f t="shared" si="690"/>
        <v>0-3 months</v>
      </c>
    </row>
    <row r="2334" spans="1:46" s="12" customFormat="1">
      <c r="A2334" s="33" t="str">
        <f t="shared" si="678"/>
        <v>FY 23/24</v>
      </c>
      <c r="B2334" s="152">
        <v>2023</v>
      </c>
      <c r="C2334" s="152">
        <v>7</v>
      </c>
      <c r="D2334" s="33" t="str">
        <f t="shared" si="679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0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68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94"/>
        <v>1.13</v>
      </c>
      <c r="Z2334" s="18">
        <f t="shared" si="693"/>
        <v>771800</v>
      </c>
      <c r="AA2334" s="13">
        <v>1.077</v>
      </c>
      <c r="AB2334" s="21">
        <f t="shared" si="682"/>
        <v>735600.53097345144</v>
      </c>
      <c r="AC2334" s="130">
        <f t="shared" si="683"/>
        <v>67013.208371681423</v>
      </c>
      <c r="AD2334" s="169">
        <v>9.11E-2</v>
      </c>
      <c r="AE2334" s="154">
        <f t="shared" si="684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5"/>
        <v>26078226.463097349</v>
      </c>
      <c r="AJ2334" s="19">
        <f t="shared" si="696"/>
        <v>3137870.4427774516</v>
      </c>
      <c r="AK2334" s="20">
        <f t="shared" si="685"/>
        <v>0.12032530077218917</v>
      </c>
      <c r="AL2334" s="17"/>
      <c r="AM2334" s="17"/>
      <c r="AN2334" s="17"/>
      <c r="AO2334" s="17"/>
      <c r="AP2334" s="28" t="str">
        <f t="shared" si="686"/>
        <v>20239</v>
      </c>
      <c r="AQ2334" s="28" t="str">
        <f t="shared" si="687"/>
        <v>20239RMB</v>
      </c>
      <c r="AR2334" s="206" t="str">
        <f t="shared" si="688"/>
        <v>YAMAHA_Mounter</v>
      </c>
      <c r="AS2334" s="22">
        <f t="shared" si="689"/>
        <v>2</v>
      </c>
      <c r="AT2334" s="24" t="str">
        <f t="shared" si="690"/>
        <v>0-3 months</v>
      </c>
    </row>
    <row r="2335" spans="1:46" s="12" customFormat="1">
      <c r="A2335" s="33" t="str">
        <f t="shared" si="678"/>
        <v>FY 23/24</v>
      </c>
      <c r="B2335" s="152">
        <v>2023</v>
      </c>
      <c r="C2335" s="152">
        <v>7</v>
      </c>
      <c r="D2335" s="33" t="str">
        <f t="shared" si="679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0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68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94"/>
        <v>1.13</v>
      </c>
      <c r="Z2335" s="18">
        <f t="shared" si="693"/>
        <v>771800</v>
      </c>
      <c r="AA2335" s="13">
        <v>1.077</v>
      </c>
      <c r="AB2335" s="21">
        <f t="shared" si="682"/>
        <v>735600.53097345144</v>
      </c>
      <c r="AC2335" s="130">
        <f t="shared" si="683"/>
        <v>67013.208371681423</v>
      </c>
      <c r="AD2335" s="169">
        <v>9.11E-2</v>
      </c>
      <c r="AE2335" s="154">
        <f t="shared" si="684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5"/>
        <v>26078226.463097349</v>
      </c>
      <c r="AJ2335" s="19">
        <f t="shared" si="696"/>
        <v>3137870.4427774516</v>
      </c>
      <c r="AK2335" s="20">
        <f t="shared" si="685"/>
        <v>0.12032530077218917</v>
      </c>
      <c r="AL2335" s="17"/>
      <c r="AM2335" s="17"/>
      <c r="AN2335" s="17"/>
      <c r="AO2335" s="17"/>
      <c r="AP2335" s="28" t="str">
        <f t="shared" si="686"/>
        <v>20239</v>
      </c>
      <c r="AQ2335" s="28" t="str">
        <f t="shared" si="687"/>
        <v>20239RMB</v>
      </c>
      <c r="AR2335" s="206" t="str">
        <f t="shared" si="688"/>
        <v>YAMAHA_Mounter</v>
      </c>
      <c r="AS2335" s="22">
        <f t="shared" si="689"/>
        <v>2</v>
      </c>
      <c r="AT2335" s="24" t="str">
        <f t="shared" si="690"/>
        <v>0-3 months</v>
      </c>
    </row>
    <row r="2336" spans="1:46" s="12" customFormat="1">
      <c r="A2336" s="33" t="str">
        <f t="shared" ref="A2336:A2399" si="697">IF(C2336="cancel","cancel",IFERROR(IF(D2336="Q4","FY "&amp;RIGHT(B2336,2)-1&amp;"/"&amp;RIGHT(B2336,2),"FY "&amp;RIGHT(B2336,2)&amp;"/"&amp;RIGHT(B2336,2)+1),""))</f>
        <v>FY 23/24</v>
      </c>
      <c r="B2336" s="152">
        <v>2023</v>
      </c>
      <c r="C2336" s="152">
        <v>7</v>
      </c>
      <c r="D2336" s="33" t="str">
        <f t="shared" ref="D2336:D2399" si="698">IF(B2336="","",IF(AND(C2336&gt;=10,C2336&lt;=12),"Q3",IF(AND(C2336&gt;=1,C2336&lt;=3),"Q4",IF(AND(C2336&gt;=7,C2336&lt;=9),"Q2",IF(AND(C2336&gt;=4,C2336&lt;=6),"Q1")))))</f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ref="I2336:I2399" si="699">IFERROR(IF(F2336="","",IF(F2336="TBA","TBA",IF(F2336="Cancel","Cancel",IF(AND(G2336&gt;=10,G2336&lt;=12),"Q3",IF(AND(G2336&gt;=1,G2336&lt;=3),"Q4",IF(AND(G2336&gt;=7,G2336&lt;=9),"Q2",IF(AND(G2336&gt;=4,G2336&lt;=6),"Q1"))))))),"")</f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ref="P2336:P2399" si="700">IF(M2336="","",IF(AND(N2336&gt;0,L2336&lt;&gt;""),"MAIN UNIT",IF(AND(O2336&gt;0,L2336&lt;&gt;""),"SERVICE/ PARTS","C66 SERVICE/OTHERS")))</f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94"/>
        <v>1.13</v>
      </c>
      <c r="Z2336" s="18">
        <f t="shared" si="693"/>
        <v>771800</v>
      </c>
      <c r="AA2336" s="13">
        <v>1.077</v>
      </c>
      <c r="AB2336" s="21">
        <f t="shared" ref="AB2336:AB2399" si="701">IF(AND(R2336&lt;&gt;"C66",R2336&lt;&gt;""),Z2336/Y2336*AA2336,"")</f>
        <v>735600.53097345144</v>
      </c>
      <c r="AC2336" s="130">
        <f t="shared" ref="AC2336:AC2399" si="702">IF(R2336&lt;&gt;"",AB2336*AD2336,"")</f>
        <v>67013.208371681423</v>
      </c>
      <c r="AD2336" s="169">
        <v>9.11E-2</v>
      </c>
      <c r="AE2336" s="154">
        <f t="shared" ref="AE2336:AE2399" si="703">IF(Q2336="","",IF(Q2336="Yes",1,0))</f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5"/>
        <v>26078226.463097349</v>
      </c>
      <c r="AJ2336" s="19">
        <f t="shared" si="696"/>
        <v>3137870.4427774516</v>
      </c>
      <c r="AK2336" s="20">
        <f t="shared" ref="AK2336:AK2399" si="704">IF(AJ2336&gt;0,AJ2336/AI2336,"")</f>
        <v>0.12032530077218917</v>
      </c>
      <c r="AL2336" s="17"/>
      <c r="AM2336" s="17"/>
      <c r="AN2336" s="17"/>
      <c r="AO2336" s="17"/>
      <c r="AP2336" s="28" t="str">
        <f t="shared" ref="AP2336:AP2399" si="705">IF(F2336="","",F2336&amp;G2336)</f>
        <v>20239</v>
      </c>
      <c r="AQ2336" s="28" t="str">
        <f t="shared" ref="AQ2336:AQ2399" si="706">IF(W2336="","",F2336&amp;G2336&amp;W2336)</f>
        <v>20239RMB</v>
      </c>
      <c r="AR2336" s="206" t="str">
        <f t="shared" ref="AR2336:AR2399" si="707">IFERROR(IF(AND(M2336="YAMAHA", R2336="C28"), "YAMAHA_Non_Mounter", IF(AND(M2336="YAMAHA", R2336="C49"), "YAMAHA_Mounter", M2336)),"")</f>
        <v>YAMAHA_Mounter</v>
      </c>
      <c r="AS2336" s="22">
        <f t="shared" ref="AS2336:AS2399" si="708">IFERROR(IF(OR(G2336="TBA", G2336=""), "", DATEDIF(DATE(B2336, C2336, 1), DATE(F2336, G2336, 1), "M")),"")</f>
        <v>2</v>
      </c>
      <c r="AT2336" s="24" t="str">
        <f t="shared" ref="AT2336:AT2399" si="709">IF(ISNUMBER(AS2336), IF(AS2336&gt;=0, IF(AS2336&lt;=3, "0-3 months", IF(AS2336&lt;=6, "4-6 months", "&gt; 6 months"))), "")</f>
        <v>0-3 months</v>
      </c>
    </row>
    <row r="2337" spans="1:46" s="12" customFormat="1">
      <c r="A2337" s="33" t="str">
        <f t="shared" si="697"/>
        <v>FY 23/24</v>
      </c>
      <c r="B2337" s="152">
        <v>2023</v>
      </c>
      <c r="C2337" s="152">
        <v>7</v>
      </c>
      <c r="D2337" s="33" t="str">
        <f t="shared" si="69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9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0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94"/>
        <v>1.13</v>
      </c>
      <c r="Z2337" s="18">
        <f t="shared" si="693"/>
        <v>771800</v>
      </c>
      <c r="AA2337" s="13">
        <v>1.077</v>
      </c>
      <c r="AB2337" s="21">
        <f t="shared" si="701"/>
        <v>735600.53097345144</v>
      </c>
      <c r="AC2337" s="130">
        <f t="shared" si="702"/>
        <v>67013.208371681423</v>
      </c>
      <c r="AD2337" s="169">
        <v>9.11E-2</v>
      </c>
      <c r="AE2337" s="154">
        <f t="shared" si="703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5"/>
        <v>26078226.463097349</v>
      </c>
      <c r="AJ2337" s="19">
        <f t="shared" si="696"/>
        <v>3137870.4427774516</v>
      </c>
      <c r="AK2337" s="20">
        <f t="shared" si="704"/>
        <v>0.12032530077218917</v>
      </c>
      <c r="AL2337" s="17"/>
      <c r="AM2337" s="17"/>
      <c r="AN2337" s="17"/>
      <c r="AO2337" s="17"/>
      <c r="AP2337" s="28" t="str">
        <f t="shared" si="705"/>
        <v>20239</v>
      </c>
      <c r="AQ2337" s="28" t="str">
        <f t="shared" si="706"/>
        <v>20239RMB</v>
      </c>
      <c r="AR2337" s="206" t="str">
        <f t="shared" si="707"/>
        <v>YAMAHA_Mounter</v>
      </c>
      <c r="AS2337" s="22">
        <f t="shared" si="708"/>
        <v>2</v>
      </c>
      <c r="AT2337" s="24" t="str">
        <f t="shared" si="709"/>
        <v>0-3 months</v>
      </c>
    </row>
    <row r="2338" spans="1:46" s="12" customFormat="1">
      <c r="A2338" s="33" t="str">
        <f t="shared" si="697"/>
        <v>FY 23/24</v>
      </c>
      <c r="B2338" s="152">
        <v>2023</v>
      </c>
      <c r="C2338" s="152">
        <v>7</v>
      </c>
      <c r="D2338" s="33" t="str">
        <f t="shared" si="69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9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0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94"/>
        <v>1.13</v>
      </c>
      <c r="Z2338" s="18">
        <f t="shared" si="693"/>
        <v>771800</v>
      </c>
      <c r="AA2338" s="13">
        <v>1.077</v>
      </c>
      <c r="AB2338" s="21">
        <f t="shared" si="701"/>
        <v>735600.53097345144</v>
      </c>
      <c r="AC2338" s="130">
        <f t="shared" si="702"/>
        <v>67013.208371681423</v>
      </c>
      <c r="AD2338" s="169">
        <v>9.11E-2</v>
      </c>
      <c r="AE2338" s="154">
        <f t="shared" si="703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5"/>
        <v>26078226.463097349</v>
      </c>
      <c r="AJ2338" s="19">
        <f t="shared" si="696"/>
        <v>3137870.4427774516</v>
      </c>
      <c r="AK2338" s="20">
        <f t="shared" si="704"/>
        <v>0.12032530077218917</v>
      </c>
      <c r="AL2338" s="17"/>
      <c r="AM2338" s="17"/>
      <c r="AN2338" s="17"/>
      <c r="AO2338" s="17"/>
      <c r="AP2338" s="28" t="str">
        <f t="shared" si="705"/>
        <v>20239</v>
      </c>
      <c r="AQ2338" s="28" t="str">
        <f t="shared" si="706"/>
        <v>20239RMB</v>
      </c>
      <c r="AR2338" s="206" t="str">
        <f t="shared" si="707"/>
        <v>YAMAHA_Mounter</v>
      </c>
      <c r="AS2338" s="22">
        <f t="shared" si="708"/>
        <v>2</v>
      </c>
      <c r="AT2338" s="24" t="str">
        <f t="shared" si="709"/>
        <v>0-3 months</v>
      </c>
    </row>
    <row r="2339" spans="1:46" s="12" customFormat="1">
      <c r="A2339" s="33" t="str">
        <f t="shared" si="697"/>
        <v>FY 23/24</v>
      </c>
      <c r="B2339" s="152">
        <v>2023</v>
      </c>
      <c r="C2339" s="152">
        <v>7</v>
      </c>
      <c r="D2339" s="33" t="str">
        <f t="shared" si="69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9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0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94"/>
        <v>1.13</v>
      </c>
      <c r="Z2339" s="18">
        <f t="shared" si="693"/>
        <v>771800</v>
      </c>
      <c r="AA2339" s="13">
        <v>1.077</v>
      </c>
      <c r="AB2339" s="21">
        <f t="shared" si="701"/>
        <v>735600.53097345144</v>
      </c>
      <c r="AC2339" s="130">
        <f t="shared" si="702"/>
        <v>67013.208371681423</v>
      </c>
      <c r="AD2339" s="169">
        <v>9.11E-2</v>
      </c>
      <c r="AE2339" s="154">
        <f t="shared" si="703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5"/>
        <v>26078226.463097349</v>
      </c>
      <c r="AJ2339" s="19">
        <f t="shared" si="696"/>
        <v>3137870.4427774516</v>
      </c>
      <c r="AK2339" s="20">
        <f t="shared" si="704"/>
        <v>0.12032530077218917</v>
      </c>
      <c r="AL2339" s="17"/>
      <c r="AM2339" s="17"/>
      <c r="AN2339" s="17"/>
      <c r="AO2339" s="17"/>
      <c r="AP2339" s="28" t="str">
        <f t="shared" si="705"/>
        <v>20239</v>
      </c>
      <c r="AQ2339" s="28" t="str">
        <f t="shared" si="706"/>
        <v>20239RMB</v>
      </c>
      <c r="AR2339" s="206" t="str">
        <f t="shared" si="707"/>
        <v>YAMAHA_Mounter</v>
      </c>
      <c r="AS2339" s="22">
        <f t="shared" si="708"/>
        <v>2</v>
      </c>
      <c r="AT2339" s="24" t="str">
        <f t="shared" si="709"/>
        <v>0-3 months</v>
      </c>
    </row>
    <row r="2340" spans="1:46" s="12" customFormat="1">
      <c r="A2340" s="33" t="str">
        <f t="shared" si="697"/>
        <v>FY 19/20</v>
      </c>
      <c r="B2340" s="152">
        <v>2019</v>
      </c>
      <c r="C2340" s="152">
        <v>7</v>
      </c>
      <c r="D2340" s="33" t="str">
        <f t="shared" si="69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9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0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693"/>
        <v>265000</v>
      </c>
      <c r="AA2340" s="13">
        <v>1.095</v>
      </c>
      <c r="AB2340" s="21">
        <f t="shared" si="701"/>
        <v>256792.0353982301</v>
      </c>
      <c r="AC2340" s="130">
        <f t="shared" si="702"/>
        <v>66355.061946902657</v>
      </c>
      <c r="AD2340" s="169">
        <v>0.25840000000000002</v>
      </c>
      <c r="AE2340" s="154">
        <f t="shared" si="703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5"/>
        <v>28647263.974455759</v>
      </c>
      <c r="AJ2340" s="19">
        <f t="shared" si="696"/>
        <v>3219855.6912513468</v>
      </c>
      <c r="AK2340" s="20">
        <f t="shared" si="704"/>
        <v>0.11239662168514358</v>
      </c>
      <c r="AL2340" s="17"/>
      <c r="AM2340" s="17"/>
      <c r="AN2340" s="17"/>
      <c r="AO2340" s="17"/>
      <c r="AP2340" s="28" t="str">
        <f t="shared" si="705"/>
        <v>201910</v>
      </c>
      <c r="AQ2340" s="28" t="str">
        <f t="shared" si="706"/>
        <v>201910RMB</v>
      </c>
      <c r="AR2340" s="206" t="str">
        <f t="shared" si="707"/>
        <v>SAKI</v>
      </c>
      <c r="AS2340" s="22">
        <f t="shared" si="708"/>
        <v>3</v>
      </c>
      <c r="AT2340" s="24" t="str">
        <f t="shared" si="709"/>
        <v>0-3 months</v>
      </c>
    </row>
    <row r="2341" spans="1:46" s="12" customFormat="1">
      <c r="A2341" s="33" t="str">
        <f t="shared" si="697"/>
        <v>FY 20/21</v>
      </c>
      <c r="B2341" s="152">
        <v>2021</v>
      </c>
      <c r="C2341" s="152">
        <v>1</v>
      </c>
      <c r="D2341" s="33" t="str">
        <f t="shared" si="69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9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0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693"/>
        <v>480000</v>
      </c>
      <c r="AA2341" s="13">
        <v>1.2</v>
      </c>
      <c r="AB2341" s="21">
        <f t="shared" si="701"/>
        <v>509734.51327433629</v>
      </c>
      <c r="AC2341" s="130">
        <f t="shared" si="702"/>
        <v>47405.309734513277</v>
      </c>
      <c r="AD2341" s="169">
        <v>9.2999999999999999E-2</v>
      </c>
      <c r="AE2341" s="154">
        <f t="shared" si="703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5"/>
        <v>57778307.282035396</v>
      </c>
      <c r="AJ2341" s="19">
        <f t="shared" si="696"/>
        <v>7259860.7225420559</v>
      </c>
      <c r="AK2341" s="20">
        <f t="shared" si="704"/>
        <v>0.12565028406083667</v>
      </c>
      <c r="AL2341" s="17"/>
      <c r="AM2341" s="17"/>
      <c r="AN2341" s="17"/>
      <c r="AO2341" s="17"/>
      <c r="AP2341" s="28" t="str">
        <f t="shared" si="705"/>
        <v>20213</v>
      </c>
      <c r="AQ2341" s="28" t="str">
        <f t="shared" si="706"/>
        <v>20213RMB</v>
      </c>
      <c r="AR2341" s="206" t="str">
        <f t="shared" si="707"/>
        <v>YAMAHA_Mounter</v>
      </c>
      <c r="AS2341" s="22">
        <f t="shared" si="708"/>
        <v>2</v>
      </c>
      <c r="AT2341" s="24" t="str">
        <f t="shared" si="709"/>
        <v>0-3 months</v>
      </c>
    </row>
    <row r="2342" spans="1:46" s="12" customFormat="1">
      <c r="A2342" s="33" t="str">
        <f t="shared" si="697"/>
        <v>FY 20/21</v>
      </c>
      <c r="B2342" s="152">
        <v>2021</v>
      </c>
      <c r="C2342" s="152">
        <v>1</v>
      </c>
      <c r="D2342" s="33" t="str">
        <f t="shared" si="69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9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0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693"/>
        <v>480000</v>
      </c>
      <c r="AA2342" s="13">
        <v>1.2</v>
      </c>
      <c r="AB2342" s="21">
        <f t="shared" si="701"/>
        <v>509734.51327433629</v>
      </c>
      <c r="AC2342" s="130">
        <f t="shared" si="702"/>
        <v>47405.309734513277</v>
      </c>
      <c r="AD2342" s="169">
        <v>9.2999999999999999E-2</v>
      </c>
      <c r="AE2342" s="154">
        <f t="shared" si="703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5"/>
        <v>57778307.282035396</v>
      </c>
      <c r="AJ2342" s="19">
        <f t="shared" si="696"/>
        <v>7259860.7225420559</v>
      </c>
      <c r="AK2342" s="20">
        <f t="shared" si="704"/>
        <v>0.12565028406083667</v>
      </c>
      <c r="AL2342" s="17"/>
      <c r="AM2342" s="17"/>
      <c r="AN2342" s="17"/>
      <c r="AO2342" s="17"/>
      <c r="AP2342" s="28" t="str">
        <f t="shared" si="705"/>
        <v>20213</v>
      </c>
      <c r="AQ2342" s="28" t="str">
        <f t="shared" si="706"/>
        <v>20213RMB</v>
      </c>
      <c r="AR2342" s="206" t="str">
        <f t="shared" si="707"/>
        <v>YAMAHA_Mounter</v>
      </c>
      <c r="AS2342" s="22">
        <f t="shared" si="708"/>
        <v>2</v>
      </c>
      <c r="AT2342" s="24" t="str">
        <f t="shared" si="709"/>
        <v>0-3 months</v>
      </c>
    </row>
    <row r="2343" spans="1:46" s="12" customFormat="1">
      <c r="A2343" s="33" t="str">
        <f t="shared" si="697"/>
        <v>FY 20/21</v>
      </c>
      <c r="B2343" s="152">
        <v>2021</v>
      </c>
      <c r="C2343" s="152">
        <v>1</v>
      </c>
      <c r="D2343" s="33" t="str">
        <f t="shared" si="69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9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0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693"/>
        <v>480000</v>
      </c>
      <c r="AA2343" s="13">
        <v>1.2</v>
      </c>
      <c r="AB2343" s="21">
        <f t="shared" si="701"/>
        <v>509734.51327433629</v>
      </c>
      <c r="AC2343" s="130">
        <f t="shared" si="702"/>
        <v>63023.575221238942</v>
      </c>
      <c r="AD2343" s="169">
        <v>0.12364</v>
      </c>
      <c r="AE2343" s="154">
        <f t="shared" si="703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5"/>
        <v>57778307.282035396</v>
      </c>
      <c r="AJ2343" s="19">
        <f t="shared" si="696"/>
        <v>7259860.7225420559</v>
      </c>
      <c r="AK2343" s="20">
        <f t="shared" si="704"/>
        <v>0.12565028406083667</v>
      </c>
      <c r="AL2343" s="17"/>
      <c r="AM2343" s="17"/>
      <c r="AN2343" s="17"/>
      <c r="AO2343" s="17"/>
      <c r="AP2343" s="28" t="str">
        <f t="shared" si="705"/>
        <v>20213</v>
      </c>
      <c r="AQ2343" s="28" t="str">
        <f t="shared" si="706"/>
        <v>20213RMB</v>
      </c>
      <c r="AR2343" s="206" t="str">
        <f t="shared" si="707"/>
        <v>YAMAHA_Mounter</v>
      </c>
      <c r="AS2343" s="22">
        <f t="shared" si="708"/>
        <v>2</v>
      </c>
      <c r="AT2343" s="24" t="str">
        <f t="shared" si="709"/>
        <v>0-3 months</v>
      </c>
    </row>
    <row r="2344" spans="1:46" s="12" customFormat="1">
      <c r="A2344" s="33" t="str">
        <f t="shared" si="697"/>
        <v>FY 20/21</v>
      </c>
      <c r="B2344" s="152">
        <v>2021</v>
      </c>
      <c r="C2344" s="152">
        <v>3</v>
      </c>
      <c r="D2344" s="33" t="str">
        <f t="shared" si="69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9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0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693"/>
        <v>480000</v>
      </c>
      <c r="AA2344" s="13">
        <v>1.2</v>
      </c>
      <c r="AB2344" s="21">
        <f t="shared" si="701"/>
        <v>509734.51327433629</v>
      </c>
      <c r="AC2344" s="130">
        <f t="shared" si="702"/>
        <v>61168.14159292035</v>
      </c>
      <c r="AD2344" s="169">
        <v>0.12</v>
      </c>
      <c r="AE2344" s="154">
        <f t="shared" si="703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5"/>
        <v>477651199.57437885</v>
      </c>
      <c r="AJ2344" s="19">
        <f t="shared" si="696"/>
        <v>56918800.518691957</v>
      </c>
      <c r="AK2344" s="20">
        <f t="shared" si="704"/>
        <v>0.11916394341605475</v>
      </c>
      <c r="AL2344" s="17"/>
      <c r="AM2344" s="17"/>
      <c r="AN2344" s="17"/>
      <c r="AO2344" s="17"/>
      <c r="AP2344" s="28" t="str">
        <f t="shared" si="705"/>
        <v>CancelCANCEL</v>
      </c>
      <c r="AQ2344" s="28" t="str">
        <f t="shared" si="706"/>
        <v>CancelCANCELRMB</v>
      </c>
      <c r="AR2344" s="206" t="str">
        <f t="shared" si="707"/>
        <v>YAMAHA_Mounter</v>
      </c>
      <c r="AS2344" s="22" t="str">
        <f t="shared" si="708"/>
        <v/>
      </c>
      <c r="AT2344" s="24" t="str">
        <f t="shared" si="709"/>
        <v/>
      </c>
    </row>
    <row r="2345" spans="1:46" s="12" customFormat="1" ht="18">
      <c r="A2345" s="33" t="str">
        <f t="shared" si="697"/>
        <v>FY 23/24</v>
      </c>
      <c r="B2345" s="23">
        <v>2024</v>
      </c>
      <c r="C2345" s="152">
        <v>3</v>
      </c>
      <c r="D2345" s="33" t="str">
        <f t="shared" si="69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9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0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693"/>
        <v>363000</v>
      </c>
      <c r="AA2345" s="22">
        <v>1.0900000000000001</v>
      </c>
      <c r="AB2345" s="21">
        <f t="shared" si="701"/>
        <v>350150.4424778762</v>
      </c>
      <c r="AC2345" s="25">
        <f t="shared" si="702"/>
        <v>-12185.235398230092</v>
      </c>
      <c r="AD2345" s="211">
        <v>-3.4799999999999998E-2</v>
      </c>
      <c r="AE2345" s="26">
        <f t="shared" si="703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5"/>
        <v>21194662.454867262</v>
      </c>
      <c r="AJ2345" s="27">
        <f t="shared" si="696"/>
        <v>2981431.5970757701</v>
      </c>
      <c r="AK2345" s="28">
        <f t="shared" si="704"/>
        <v>0.14066898226968919</v>
      </c>
      <c r="AL2345" s="24"/>
      <c r="AM2345" s="24"/>
      <c r="AN2345" s="24"/>
      <c r="AO2345" s="24"/>
      <c r="AP2345" s="28" t="str">
        <f t="shared" si="705"/>
        <v>20243</v>
      </c>
      <c r="AQ2345" s="28" t="str">
        <f t="shared" si="706"/>
        <v>20243RMB</v>
      </c>
      <c r="AR2345" s="206" t="str">
        <f t="shared" si="707"/>
        <v>YAMAHA_Mounter</v>
      </c>
      <c r="AS2345" s="22">
        <f t="shared" si="708"/>
        <v>0</v>
      </c>
      <c r="AT2345" s="24" t="str">
        <f t="shared" si="709"/>
        <v>0-3 months</v>
      </c>
    </row>
    <row r="2346" spans="1:46" s="12" customFormat="1" ht="18">
      <c r="A2346" s="33" t="str">
        <f t="shared" si="697"/>
        <v>FY 23/24</v>
      </c>
      <c r="B2346" s="23">
        <v>2024</v>
      </c>
      <c r="C2346" s="152">
        <v>3</v>
      </c>
      <c r="D2346" s="33" t="str">
        <f t="shared" si="69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9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0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693"/>
        <v>363000</v>
      </c>
      <c r="AA2346" s="22">
        <v>1.0900000000000001</v>
      </c>
      <c r="AB2346" s="21">
        <f t="shared" si="701"/>
        <v>350150.4424778762</v>
      </c>
      <c r="AC2346" s="25">
        <f t="shared" si="702"/>
        <v>-12185.235398230092</v>
      </c>
      <c r="AD2346" s="174">
        <v>-3.4799999999999998E-2</v>
      </c>
      <c r="AE2346" s="26">
        <f t="shared" si="703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5"/>
        <v>21194662.454867262</v>
      </c>
      <c r="AJ2346" s="27">
        <f t="shared" si="696"/>
        <v>2981431.5970757701</v>
      </c>
      <c r="AK2346" s="28">
        <f t="shared" si="704"/>
        <v>0.14066898226968919</v>
      </c>
      <c r="AL2346" s="24"/>
      <c r="AM2346" s="24"/>
      <c r="AN2346" s="24"/>
      <c r="AO2346" s="24"/>
      <c r="AP2346" s="28" t="str">
        <f t="shared" si="705"/>
        <v>20243</v>
      </c>
      <c r="AQ2346" s="28" t="str">
        <f t="shared" si="706"/>
        <v>20243RMB</v>
      </c>
      <c r="AR2346" s="206" t="str">
        <f t="shared" si="707"/>
        <v>YAMAHA_Mounter</v>
      </c>
      <c r="AS2346" s="22">
        <f t="shared" si="708"/>
        <v>0</v>
      </c>
      <c r="AT2346" s="24" t="str">
        <f t="shared" si="709"/>
        <v>0-3 months</v>
      </c>
    </row>
    <row r="2347" spans="1:46" s="12" customFormat="1">
      <c r="A2347" s="33" t="str">
        <f t="shared" si="697"/>
        <v>FY 21/22</v>
      </c>
      <c r="B2347" s="152">
        <v>2021</v>
      </c>
      <c r="C2347" s="152">
        <v>4</v>
      </c>
      <c r="D2347" s="33" t="str">
        <f t="shared" si="69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9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0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693"/>
        <v>780000</v>
      </c>
      <c r="AA2347" s="13">
        <v>1.175</v>
      </c>
      <c r="AB2347" s="21">
        <f t="shared" si="701"/>
        <v>811061.94690265495</v>
      </c>
      <c r="AC2347" s="130">
        <f t="shared" si="702"/>
        <v>97327.433628318584</v>
      </c>
      <c r="AD2347" s="169">
        <v>0.12</v>
      </c>
      <c r="AE2347" s="154">
        <f t="shared" si="703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5"/>
        <v>477651199.57437885</v>
      </c>
      <c r="AJ2347" s="19">
        <f t="shared" si="696"/>
        <v>56918800.518691957</v>
      </c>
      <c r="AK2347" s="20">
        <f t="shared" si="704"/>
        <v>0.11916394341605475</v>
      </c>
      <c r="AL2347" s="17"/>
      <c r="AM2347" s="17"/>
      <c r="AN2347" s="17"/>
      <c r="AO2347" s="17"/>
      <c r="AP2347" s="28" t="str">
        <f t="shared" si="705"/>
        <v>CancelCANCEL</v>
      </c>
      <c r="AQ2347" s="28" t="str">
        <f t="shared" si="706"/>
        <v>CancelCANCELRMB</v>
      </c>
      <c r="AR2347" s="206" t="str">
        <f t="shared" si="707"/>
        <v>YAMAHA_Mounter</v>
      </c>
      <c r="AS2347" s="22" t="str">
        <f t="shared" si="708"/>
        <v/>
      </c>
      <c r="AT2347" s="24" t="str">
        <f t="shared" si="709"/>
        <v/>
      </c>
    </row>
    <row r="2348" spans="1:46" s="12" customFormat="1">
      <c r="A2348" s="33" t="str">
        <f t="shared" si="697"/>
        <v>FY 21/22</v>
      </c>
      <c r="B2348" s="152">
        <v>2021</v>
      </c>
      <c r="C2348" s="152">
        <v>4</v>
      </c>
      <c r="D2348" s="33" t="str">
        <f t="shared" si="69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9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0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693"/>
        <v>780000</v>
      </c>
      <c r="AA2348" s="13">
        <v>1.175</v>
      </c>
      <c r="AB2348" s="21">
        <f t="shared" si="701"/>
        <v>811061.94690265495</v>
      </c>
      <c r="AC2348" s="130">
        <f t="shared" si="702"/>
        <v>97327.433628318584</v>
      </c>
      <c r="AD2348" s="169">
        <v>0.12</v>
      </c>
      <c r="AE2348" s="154">
        <f t="shared" si="703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5"/>
        <v>477651199.57437885</v>
      </c>
      <c r="AJ2348" s="19">
        <f t="shared" si="696"/>
        <v>56918800.518691957</v>
      </c>
      <c r="AK2348" s="20">
        <f t="shared" si="704"/>
        <v>0.11916394341605475</v>
      </c>
      <c r="AL2348" s="17"/>
      <c r="AM2348" s="17"/>
      <c r="AN2348" s="17"/>
      <c r="AO2348" s="17"/>
      <c r="AP2348" s="28" t="str">
        <f t="shared" si="705"/>
        <v>CancelCANCEL</v>
      </c>
      <c r="AQ2348" s="28" t="str">
        <f t="shared" si="706"/>
        <v>CancelCANCELRMB</v>
      </c>
      <c r="AR2348" s="206" t="str">
        <f t="shared" si="707"/>
        <v>YAMAHA_Mounter</v>
      </c>
      <c r="AS2348" s="22" t="str">
        <f t="shared" si="708"/>
        <v/>
      </c>
      <c r="AT2348" s="24" t="str">
        <f t="shared" si="709"/>
        <v/>
      </c>
    </row>
    <row r="2349" spans="1:46" s="12" customFormat="1">
      <c r="A2349" s="33" t="str">
        <f t="shared" si="697"/>
        <v>FY 19/20</v>
      </c>
      <c r="B2349" s="152">
        <v>2019</v>
      </c>
      <c r="C2349" s="152">
        <v>12</v>
      </c>
      <c r="D2349" s="33" t="str">
        <f t="shared" si="69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9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0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693"/>
        <v>1550000</v>
      </c>
      <c r="AA2349" s="13">
        <v>1.1100000000000001</v>
      </c>
      <c r="AB2349" s="21">
        <f t="shared" si="701"/>
        <v>1522566.3716814162</v>
      </c>
      <c r="AC2349" s="130">
        <f t="shared" si="702"/>
        <v>255029.86725663723</v>
      </c>
      <c r="AD2349" s="169">
        <v>0.16750000000000001</v>
      </c>
      <c r="AE2349" s="154">
        <f t="shared" si="703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5"/>
        <v>23168285.927433632</v>
      </c>
      <c r="AJ2349" s="19">
        <f t="shared" si="696"/>
        <v>2764878.916878053</v>
      </c>
      <c r="AK2349" s="20">
        <f t="shared" si="704"/>
        <v>0.11933895004309111</v>
      </c>
      <c r="AL2349" s="17"/>
      <c r="AM2349" s="17"/>
      <c r="AN2349" s="17"/>
      <c r="AO2349" s="17"/>
      <c r="AP2349" s="28" t="str">
        <f t="shared" si="705"/>
        <v>20203</v>
      </c>
      <c r="AQ2349" s="28" t="str">
        <f t="shared" si="706"/>
        <v>20203RMB</v>
      </c>
      <c r="AR2349" s="206" t="str">
        <f t="shared" si="707"/>
        <v>YAMAHA_Mounter</v>
      </c>
      <c r="AS2349" s="22">
        <f t="shared" si="708"/>
        <v>3</v>
      </c>
      <c r="AT2349" s="24" t="str">
        <f t="shared" si="709"/>
        <v>0-3 months</v>
      </c>
    </row>
    <row r="2350" spans="1:46" s="12" customFormat="1">
      <c r="A2350" s="33" t="str">
        <f t="shared" si="697"/>
        <v>FY 19/20</v>
      </c>
      <c r="B2350" s="152">
        <v>2019</v>
      </c>
      <c r="C2350" s="152">
        <v>12</v>
      </c>
      <c r="D2350" s="33" t="str">
        <f t="shared" si="69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9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0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693"/>
        <v>1550000</v>
      </c>
      <c r="AA2350" s="13">
        <v>1.1100000000000001</v>
      </c>
      <c r="AB2350" s="21">
        <f t="shared" si="701"/>
        <v>1522566.3716814162</v>
      </c>
      <c r="AC2350" s="130">
        <f t="shared" si="702"/>
        <v>255029.86725663723</v>
      </c>
      <c r="AD2350" s="169">
        <v>0.16750000000000001</v>
      </c>
      <c r="AE2350" s="154">
        <f t="shared" si="703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5"/>
        <v>23168285.927433632</v>
      </c>
      <c r="AJ2350" s="19">
        <f t="shared" si="696"/>
        <v>2764878.916878053</v>
      </c>
      <c r="AK2350" s="20">
        <f t="shared" si="704"/>
        <v>0.11933895004309111</v>
      </c>
      <c r="AL2350" s="17"/>
      <c r="AM2350" s="17"/>
      <c r="AN2350" s="17"/>
      <c r="AO2350" s="17"/>
      <c r="AP2350" s="28" t="str">
        <f t="shared" si="705"/>
        <v>20203</v>
      </c>
      <c r="AQ2350" s="28" t="str">
        <f t="shared" si="706"/>
        <v>20203RMB</v>
      </c>
      <c r="AR2350" s="206" t="str">
        <f t="shared" si="707"/>
        <v>YAMAHA_Mounter</v>
      </c>
      <c r="AS2350" s="22">
        <f t="shared" si="708"/>
        <v>3</v>
      </c>
      <c r="AT2350" s="24" t="str">
        <f t="shared" si="709"/>
        <v>0-3 months</v>
      </c>
    </row>
    <row r="2351" spans="1:46" s="12" customFormat="1">
      <c r="A2351" s="33" t="str">
        <f t="shared" si="697"/>
        <v>FY 20/21</v>
      </c>
      <c r="B2351" s="152">
        <v>2021</v>
      </c>
      <c r="C2351" s="152">
        <v>1</v>
      </c>
      <c r="D2351" s="33" t="str">
        <f t="shared" si="69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9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0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693"/>
        <v>13700000</v>
      </c>
      <c r="AA2351" s="13">
        <v>7.4499999999999997E-2</v>
      </c>
      <c r="AB2351" s="21">
        <f t="shared" si="701"/>
        <v>1020650</v>
      </c>
      <c r="AC2351" s="130">
        <f t="shared" si="702"/>
        <v>138093.94500000001</v>
      </c>
      <c r="AD2351" s="169">
        <v>0.1353</v>
      </c>
      <c r="AE2351" s="154">
        <f t="shared" si="703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5"/>
        <v>57778307.282035396</v>
      </c>
      <c r="AJ2351" s="19">
        <f t="shared" si="696"/>
        <v>7259860.7225420559</v>
      </c>
      <c r="AK2351" s="20">
        <f t="shared" si="704"/>
        <v>0.12565028406083667</v>
      </c>
      <c r="AL2351" s="17"/>
      <c r="AM2351" s="17"/>
      <c r="AN2351" s="17"/>
      <c r="AO2351" s="17" t="s">
        <v>1658</v>
      </c>
      <c r="AP2351" s="28" t="str">
        <f t="shared" si="705"/>
        <v>20213</v>
      </c>
      <c r="AQ2351" s="28" t="str">
        <f t="shared" si="706"/>
        <v>20213JPY</v>
      </c>
      <c r="AR2351" s="206" t="str">
        <f t="shared" si="707"/>
        <v>YAMAHA_Mounter</v>
      </c>
      <c r="AS2351" s="22">
        <f t="shared" si="708"/>
        <v>2</v>
      </c>
      <c r="AT2351" s="24" t="str">
        <f t="shared" si="709"/>
        <v>0-3 months</v>
      </c>
    </row>
    <row r="2352" spans="1:46" s="12" customFormat="1">
      <c r="A2352" s="33" t="str">
        <f t="shared" si="697"/>
        <v>FY 20/21</v>
      </c>
      <c r="B2352" s="152">
        <v>2021</v>
      </c>
      <c r="C2352" s="152">
        <v>1</v>
      </c>
      <c r="D2352" s="33" t="str">
        <f t="shared" si="69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9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0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693"/>
        <v>13700000</v>
      </c>
      <c r="AA2352" s="13">
        <v>7.4499999999999997E-2</v>
      </c>
      <c r="AB2352" s="21">
        <f t="shared" si="701"/>
        <v>1020650</v>
      </c>
      <c r="AC2352" s="130">
        <f t="shared" si="702"/>
        <v>138093.94500000001</v>
      </c>
      <c r="AD2352" s="169">
        <v>0.1353</v>
      </c>
      <c r="AE2352" s="154">
        <f t="shared" si="703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5"/>
        <v>57778307.282035396</v>
      </c>
      <c r="AJ2352" s="19">
        <f t="shared" si="696"/>
        <v>7259860.7225420559</v>
      </c>
      <c r="AK2352" s="20">
        <f t="shared" si="704"/>
        <v>0.12565028406083667</v>
      </c>
      <c r="AL2352" s="17"/>
      <c r="AM2352" s="17"/>
      <c r="AN2352" s="17"/>
      <c r="AO2352" s="17" t="s">
        <v>1658</v>
      </c>
      <c r="AP2352" s="28" t="str">
        <f t="shared" si="705"/>
        <v>20213</v>
      </c>
      <c r="AQ2352" s="28" t="str">
        <f t="shared" si="706"/>
        <v>20213JPY</v>
      </c>
      <c r="AR2352" s="206" t="str">
        <f t="shared" si="707"/>
        <v>YAMAHA_Mounter</v>
      </c>
      <c r="AS2352" s="22">
        <f t="shared" si="708"/>
        <v>2</v>
      </c>
      <c r="AT2352" s="24" t="str">
        <f t="shared" si="709"/>
        <v>0-3 months</v>
      </c>
    </row>
    <row r="2353" spans="1:46" s="12" customFormat="1">
      <c r="A2353" s="33" t="str">
        <f t="shared" si="697"/>
        <v>FY 20/21</v>
      </c>
      <c r="B2353" s="152">
        <v>2020</v>
      </c>
      <c r="C2353" s="152">
        <v>4</v>
      </c>
      <c r="D2353" s="33" t="str">
        <f t="shared" si="69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9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0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693"/>
        <v>507500</v>
      </c>
      <c r="AA2353" s="13">
        <v>1.095</v>
      </c>
      <c r="AB2353" s="21">
        <f t="shared" si="701"/>
        <v>491780.97345132747</v>
      </c>
      <c r="AC2353" s="130">
        <f t="shared" si="702"/>
        <v>35113.161504424781</v>
      </c>
      <c r="AD2353" s="169">
        <v>7.1400000000000005E-2</v>
      </c>
      <c r="AE2353" s="154">
        <f t="shared" si="703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5"/>
        <v>33477255.428389374</v>
      </c>
      <c r="AJ2353" s="19">
        <f t="shared" si="696"/>
        <v>4578663.362915583</v>
      </c>
      <c r="AK2353" s="20">
        <f t="shared" si="704"/>
        <v>0.13676937682988152</v>
      </c>
      <c r="AL2353" s="17"/>
      <c r="AM2353" s="17"/>
      <c r="AN2353" s="17"/>
      <c r="AO2353" s="17"/>
      <c r="AP2353" s="28" t="str">
        <f t="shared" si="705"/>
        <v>20204</v>
      </c>
      <c r="AQ2353" s="28" t="str">
        <f t="shared" si="706"/>
        <v>20204RMB</v>
      </c>
      <c r="AR2353" s="206" t="str">
        <f t="shared" si="707"/>
        <v>YAMAHA_Mounter</v>
      </c>
      <c r="AS2353" s="22">
        <f t="shared" si="708"/>
        <v>0</v>
      </c>
      <c r="AT2353" s="24" t="str">
        <f t="shared" si="709"/>
        <v>0-3 months</v>
      </c>
    </row>
    <row r="2354" spans="1:46" s="12" customFormat="1">
      <c r="A2354" s="33" t="str">
        <f t="shared" si="697"/>
        <v>FY 21/22</v>
      </c>
      <c r="B2354" s="152">
        <v>2021</v>
      </c>
      <c r="C2354" s="152">
        <v>5</v>
      </c>
      <c r="D2354" s="33" t="str">
        <f t="shared" si="69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9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0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10">IF(W2354="RMB","1.13", "1")</f>
        <v>1.13</v>
      </c>
      <c r="Z2354" s="18">
        <f t="shared" si="693"/>
        <v>1911428.6</v>
      </c>
      <c r="AA2354" s="13">
        <v>1.2</v>
      </c>
      <c r="AB2354" s="21">
        <f t="shared" si="701"/>
        <v>2029835.6814159295</v>
      </c>
      <c r="AC2354" s="130">
        <f t="shared" si="702"/>
        <v>291890.37098761066</v>
      </c>
      <c r="AD2354" s="169">
        <v>0.14380000000000001</v>
      </c>
      <c r="AE2354" s="154">
        <f t="shared" si="703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5"/>
        <v>47458373.787610628</v>
      </c>
      <c r="AJ2354" s="19">
        <f t="shared" si="696"/>
        <v>7436880.1411522133</v>
      </c>
      <c r="AK2354" s="20">
        <f t="shared" si="704"/>
        <v>0.15670322321692506</v>
      </c>
      <c r="AL2354" s="17"/>
      <c r="AM2354" s="17"/>
      <c r="AN2354" s="17"/>
      <c r="AO2354" s="17"/>
      <c r="AP2354" s="28" t="str">
        <f t="shared" si="705"/>
        <v>20218</v>
      </c>
      <c r="AQ2354" s="28" t="str">
        <f t="shared" si="706"/>
        <v>20218RMB</v>
      </c>
      <c r="AR2354" s="206" t="str">
        <f t="shared" si="707"/>
        <v>YAMAHA_Mounter</v>
      </c>
      <c r="AS2354" s="22">
        <f t="shared" si="708"/>
        <v>3</v>
      </c>
      <c r="AT2354" s="24" t="str">
        <f t="shared" si="709"/>
        <v>0-3 months</v>
      </c>
    </row>
    <row r="2355" spans="1:46" s="12" customFormat="1">
      <c r="A2355" s="33" t="str">
        <f t="shared" si="697"/>
        <v>FY 21/22</v>
      </c>
      <c r="B2355" s="152">
        <v>2021</v>
      </c>
      <c r="C2355" s="152">
        <v>5</v>
      </c>
      <c r="D2355" s="33" t="str">
        <f t="shared" si="69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9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0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10"/>
        <v>1.13</v>
      </c>
      <c r="Z2355" s="18">
        <f t="shared" si="693"/>
        <v>1911428.6</v>
      </c>
      <c r="AA2355" s="13">
        <v>1.2</v>
      </c>
      <c r="AB2355" s="21">
        <f t="shared" si="701"/>
        <v>2029835.6814159295</v>
      </c>
      <c r="AC2355" s="130">
        <f t="shared" si="702"/>
        <v>291890.37098761066</v>
      </c>
      <c r="AD2355" s="169">
        <v>0.14380000000000001</v>
      </c>
      <c r="AE2355" s="154">
        <f t="shared" si="703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5"/>
        <v>47458373.787610628</v>
      </c>
      <c r="AJ2355" s="19">
        <f t="shared" si="696"/>
        <v>7436880.1411522133</v>
      </c>
      <c r="AK2355" s="20">
        <f t="shared" si="704"/>
        <v>0.15670322321692506</v>
      </c>
      <c r="AL2355" s="17"/>
      <c r="AM2355" s="17"/>
      <c r="AN2355" s="17"/>
      <c r="AO2355" s="17"/>
      <c r="AP2355" s="28" t="str">
        <f t="shared" si="705"/>
        <v>20218</v>
      </c>
      <c r="AQ2355" s="28" t="str">
        <f t="shared" si="706"/>
        <v>20218RMB</v>
      </c>
      <c r="AR2355" s="206" t="str">
        <f t="shared" si="707"/>
        <v>YAMAHA_Mounter</v>
      </c>
      <c r="AS2355" s="22">
        <f t="shared" si="708"/>
        <v>3</v>
      </c>
      <c r="AT2355" s="24" t="str">
        <f t="shared" si="709"/>
        <v>0-3 months</v>
      </c>
    </row>
    <row r="2356" spans="1:46" s="12" customFormat="1">
      <c r="A2356" s="33" t="str">
        <f t="shared" si="697"/>
        <v>FY 21/22</v>
      </c>
      <c r="B2356" s="152">
        <v>2021</v>
      </c>
      <c r="C2356" s="152">
        <v>5</v>
      </c>
      <c r="D2356" s="33" t="str">
        <f t="shared" si="69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9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0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10"/>
        <v>1.13</v>
      </c>
      <c r="Z2356" s="18">
        <f t="shared" si="693"/>
        <v>1911428.6</v>
      </c>
      <c r="AA2356" s="13">
        <v>1.2</v>
      </c>
      <c r="AB2356" s="21">
        <f t="shared" si="701"/>
        <v>2029835.6814159295</v>
      </c>
      <c r="AC2356" s="130">
        <f t="shared" si="702"/>
        <v>291890.37098761066</v>
      </c>
      <c r="AD2356" s="169">
        <v>0.14380000000000001</v>
      </c>
      <c r="AE2356" s="154">
        <f t="shared" si="703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5"/>
        <v>47458373.787610628</v>
      </c>
      <c r="AJ2356" s="19">
        <f t="shared" si="696"/>
        <v>7436880.1411522133</v>
      </c>
      <c r="AK2356" s="20">
        <f t="shared" si="704"/>
        <v>0.15670322321692506</v>
      </c>
      <c r="AL2356" s="17"/>
      <c r="AM2356" s="17"/>
      <c r="AN2356" s="17"/>
      <c r="AO2356" s="17"/>
      <c r="AP2356" s="28" t="str">
        <f t="shared" si="705"/>
        <v>20218</v>
      </c>
      <c r="AQ2356" s="28" t="str">
        <f t="shared" si="706"/>
        <v>20218RMB</v>
      </c>
      <c r="AR2356" s="206" t="str">
        <f t="shared" si="707"/>
        <v>YAMAHA_Mounter</v>
      </c>
      <c r="AS2356" s="22">
        <f t="shared" si="708"/>
        <v>3</v>
      </c>
      <c r="AT2356" s="24" t="str">
        <f t="shared" si="709"/>
        <v>0-3 months</v>
      </c>
    </row>
    <row r="2357" spans="1:46" s="12" customFormat="1">
      <c r="A2357" s="33" t="str">
        <f t="shared" si="697"/>
        <v>FY 21/22</v>
      </c>
      <c r="B2357" s="152">
        <v>2021</v>
      </c>
      <c r="C2357" s="152">
        <v>5</v>
      </c>
      <c r="D2357" s="33" t="str">
        <f t="shared" si="69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9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0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10"/>
        <v>1.13</v>
      </c>
      <c r="Z2357" s="18">
        <f t="shared" si="693"/>
        <v>1911428.6</v>
      </c>
      <c r="AA2357" s="13">
        <v>1.2</v>
      </c>
      <c r="AB2357" s="21">
        <f t="shared" si="701"/>
        <v>2029835.6814159295</v>
      </c>
      <c r="AC2357" s="130">
        <f t="shared" si="702"/>
        <v>291890.37098761066</v>
      </c>
      <c r="AD2357" s="169">
        <v>0.14380000000000001</v>
      </c>
      <c r="AE2357" s="154">
        <f t="shared" si="703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5"/>
        <v>47458373.787610628</v>
      </c>
      <c r="AJ2357" s="19">
        <f t="shared" si="696"/>
        <v>7436880.1411522133</v>
      </c>
      <c r="AK2357" s="20">
        <f t="shared" si="704"/>
        <v>0.15670322321692506</v>
      </c>
      <c r="AL2357" s="17"/>
      <c r="AM2357" s="17"/>
      <c r="AN2357" s="17"/>
      <c r="AO2357" s="17"/>
      <c r="AP2357" s="28" t="str">
        <f t="shared" si="705"/>
        <v>20218</v>
      </c>
      <c r="AQ2357" s="28" t="str">
        <f t="shared" si="706"/>
        <v>20218RMB</v>
      </c>
      <c r="AR2357" s="206" t="str">
        <f t="shared" si="707"/>
        <v>YAMAHA_Mounter</v>
      </c>
      <c r="AS2357" s="22">
        <f t="shared" si="708"/>
        <v>3</v>
      </c>
      <c r="AT2357" s="24" t="str">
        <f t="shared" si="709"/>
        <v>0-3 months</v>
      </c>
    </row>
    <row r="2358" spans="1:46" s="12" customFormat="1">
      <c r="A2358" s="33" t="str">
        <f t="shared" si="697"/>
        <v>FY 21/22</v>
      </c>
      <c r="B2358" s="152">
        <v>2021</v>
      </c>
      <c r="C2358" s="152">
        <v>5</v>
      </c>
      <c r="D2358" s="33" t="str">
        <f t="shared" si="69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9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0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10"/>
        <v>1.13</v>
      </c>
      <c r="Z2358" s="18">
        <f t="shared" si="693"/>
        <v>1911428.6</v>
      </c>
      <c r="AA2358" s="13">
        <v>1.2</v>
      </c>
      <c r="AB2358" s="21">
        <f t="shared" si="701"/>
        <v>2029835.6814159295</v>
      </c>
      <c r="AC2358" s="130">
        <f t="shared" si="702"/>
        <v>291890.37098761066</v>
      </c>
      <c r="AD2358" s="169">
        <v>0.14380000000000001</v>
      </c>
      <c r="AE2358" s="154">
        <f t="shared" si="703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5"/>
        <v>47458373.787610628</v>
      </c>
      <c r="AJ2358" s="19">
        <f t="shared" si="696"/>
        <v>7436880.1411522133</v>
      </c>
      <c r="AK2358" s="20">
        <f t="shared" si="704"/>
        <v>0.15670322321692506</v>
      </c>
      <c r="AL2358" s="17"/>
      <c r="AM2358" s="17"/>
      <c r="AN2358" s="17"/>
      <c r="AO2358" s="17"/>
      <c r="AP2358" s="28" t="str">
        <f t="shared" si="705"/>
        <v>20218</v>
      </c>
      <c r="AQ2358" s="28" t="str">
        <f t="shared" si="706"/>
        <v>20218RMB</v>
      </c>
      <c r="AR2358" s="206" t="str">
        <f t="shared" si="707"/>
        <v>YAMAHA_Mounter</v>
      </c>
      <c r="AS2358" s="22">
        <f t="shared" si="708"/>
        <v>3</v>
      </c>
      <c r="AT2358" s="24" t="str">
        <f t="shared" si="709"/>
        <v>0-3 months</v>
      </c>
    </row>
    <row r="2359" spans="1:46" s="12" customFormat="1">
      <c r="A2359" s="33" t="str">
        <f t="shared" si="697"/>
        <v>FY 21/22</v>
      </c>
      <c r="B2359" s="152">
        <v>2021</v>
      </c>
      <c r="C2359" s="152">
        <v>5</v>
      </c>
      <c r="D2359" s="33" t="str">
        <f t="shared" si="69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9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0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10"/>
        <v>1.13</v>
      </c>
      <c r="Z2359" s="18">
        <f t="shared" si="693"/>
        <v>1911428.6</v>
      </c>
      <c r="AA2359" s="13">
        <v>1.2</v>
      </c>
      <c r="AB2359" s="21">
        <f t="shared" si="701"/>
        <v>2029835.6814159295</v>
      </c>
      <c r="AC2359" s="130">
        <f t="shared" si="702"/>
        <v>291890.37098761066</v>
      </c>
      <c r="AD2359" s="169">
        <v>0.14380000000000001</v>
      </c>
      <c r="AE2359" s="154">
        <f t="shared" si="703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5"/>
        <v>47458373.787610628</v>
      </c>
      <c r="AJ2359" s="19">
        <f t="shared" si="696"/>
        <v>7436880.1411522133</v>
      </c>
      <c r="AK2359" s="20">
        <f t="shared" si="704"/>
        <v>0.15670322321692506</v>
      </c>
      <c r="AL2359" s="17"/>
      <c r="AM2359" s="17"/>
      <c r="AN2359" s="17"/>
      <c r="AO2359" s="17"/>
      <c r="AP2359" s="28" t="str">
        <f t="shared" si="705"/>
        <v>20218</v>
      </c>
      <c r="AQ2359" s="28" t="str">
        <f t="shared" si="706"/>
        <v>20218RMB</v>
      </c>
      <c r="AR2359" s="206" t="str">
        <f t="shared" si="707"/>
        <v>YAMAHA_Mounter</v>
      </c>
      <c r="AS2359" s="22">
        <f t="shared" si="708"/>
        <v>3</v>
      </c>
      <c r="AT2359" s="24" t="str">
        <f t="shared" si="709"/>
        <v>0-3 months</v>
      </c>
    </row>
    <row r="2360" spans="1:46" s="12" customFormat="1">
      <c r="A2360" s="33" t="str">
        <f t="shared" si="697"/>
        <v>FY 21/22</v>
      </c>
      <c r="B2360" s="152">
        <v>2021</v>
      </c>
      <c r="C2360" s="152">
        <v>5</v>
      </c>
      <c r="D2360" s="33" t="str">
        <f t="shared" si="69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9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0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10"/>
        <v>1.13</v>
      </c>
      <c r="Z2360" s="18">
        <f t="shared" si="693"/>
        <v>1911428.6</v>
      </c>
      <c r="AA2360" s="13">
        <v>1.2</v>
      </c>
      <c r="AB2360" s="21">
        <f t="shared" si="701"/>
        <v>2029835.6814159295</v>
      </c>
      <c r="AC2360" s="130">
        <f t="shared" si="702"/>
        <v>293311.25596460176</v>
      </c>
      <c r="AD2360" s="169">
        <v>0.14449999999999999</v>
      </c>
      <c r="AE2360" s="154">
        <f t="shared" si="703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5"/>
        <v>15533177.71460177</v>
      </c>
      <c r="AJ2360" s="19">
        <f t="shared" si="696"/>
        <v>1819298.5437526547</v>
      </c>
      <c r="AK2360" s="20">
        <f t="shared" si="704"/>
        <v>0.11712339723265033</v>
      </c>
      <c r="AL2360" s="17"/>
      <c r="AM2360" s="17"/>
      <c r="AN2360" s="17"/>
      <c r="AO2360" s="17"/>
      <c r="AP2360" s="28" t="str">
        <f t="shared" si="705"/>
        <v>202110</v>
      </c>
      <c r="AQ2360" s="28" t="str">
        <f t="shared" si="706"/>
        <v>202110RMB</v>
      </c>
      <c r="AR2360" s="206" t="str">
        <f t="shared" si="707"/>
        <v>YAMAHA_Mounter</v>
      </c>
      <c r="AS2360" s="22">
        <f t="shared" si="708"/>
        <v>5</v>
      </c>
      <c r="AT2360" s="24" t="str">
        <f t="shared" si="709"/>
        <v>4-6 months</v>
      </c>
    </row>
    <row r="2361" spans="1:46" s="12" customFormat="1">
      <c r="A2361" s="33" t="str">
        <f t="shared" si="697"/>
        <v>FY 23/24</v>
      </c>
      <c r="B2361" s="152">
        <v>2023</v>
      </c>
      <c r="C2361" s="152">
        <v>6</v>
      </c>
      <c r="D2361" s="33" t="str">
        <f t="shared" si="69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9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0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10"/>
        <v>1.13</v>
      </c>
      <c r="Z2361" s="18">
        <f t="shared" si="693"/>
        <v>1716155.3</v>
      </c>
      <c r="AA2361" s="13">
        <v>1.077</v>
      </c>
      <c r="AB2361" s="21">
        <f t="shared" si="701"/>
        <v>1635663.0602654868</v>
      </c>
      <c r="AC2361" s="130">
        <f t="shared" si="702"/>
        <v>229647.09366127435</v>
      </c>
      <c r="AD2361" s="169">
        <v>0.1404</v>
      </c>
      <c r="AE2361" s="154">
        <f t="shared" si="703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5"/>
        <v>26078226.463097349</v>
      </c>
      <c r="AJ2361" s="19">
        <f t="shared" si="696"/>
        <v>3137870.4427774516</v>
      </c>
      <c r="AK2361" s="20">
        <f t="shared" si="704"/>
        <v>0.12032530077218917</v>
      </c>
      <c r="AL2361" s="17"/>
      <c r="AM2361" s="17"/>
      <c r="AN2361" s="17"/>
      <c r="AO2361" s="17"/>
      <c r="AP2361" s="28" t="str">
        <f t="shared" si="705"/>
        <v>20239</v>
      </c>
      <c r="AQ2361" s="28" t="str">
        <f t="shared" si="706"/>
        <v>20239RMB</v>
      </c>
      <c r="AR2361" s="206" t="str">
        <f t="shared" si="707"/>
        <v>YAMAHA_Mounter</v>
      </c>
      <c r="AS2361" s="22">
        <f t="shared" si="708"/>
        <v>3</v>
      </c>
      <c r="AT2361" s="24" t="str">
        <f t="shared" si="709"/>
        <v>0-3 months</v>
      </c>
    </row>
    <row r="2362" spans="1:46" s="12" customFormat="1">
      <c r="A2362" s="33" t="str">
        <f t="shared" si="697"/>
        <v>FY 23/24</v>
      </c>
      <c r="B2362" s="152">
        <v>2023</v>
      </c>
      <c r="C2362" s="152">
        <v>6</v>
      </c>
      <c r="D2362" s="33" t="str">
        <f t="shared" si="69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9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0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10"/>
        <v>1.13</v>
      </c>
      <c r="Z2362" s="18">
        <f t="shared" si="693"/>
        <v>1716155.3</v>
      </c>
      <c r="AA2362" s="13">
        <v>1.077</v>
      </c>
      <c r="AB2362" s="21">
        <f t="shared" si="701"/>
        <v>1635663.0602654868</v>
      </c>
      <c r="AC2362" s="130">
        <f t="shared" si="702"/>
        <v>229647.09366127435</v>
      </c>
      <c r="AD2362" s="169">
        <v>0.1404</v>
      </c>
      <c r="AE2362" s="154">
        <f t="shared" si="703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5"/>
        <v>26078226.463097349</v>
      </c>
      <c r="AJ2362" s="19">
        <f t="shared" si="696"/>
        <v>3137870.4427774516</v>
      </c>
      <c r="AK2362" s="20">
        <f t="shared" si="704"/>
        <v>0.12032530077218917</v>
      </c>
      <c r="AL2362" s="17"/>
      <c r="AM2362" s="17"/>
      <c r="AN2362" s="17"/>
      <c r="AO2362" s="17"/>
      <c r="AP2362" s="28" t="str">
        <f t="shared" si="705"/>
        <v>20239</v>
      </c>
      <c r="AQ2362" s="28" t="str">
        <f t="shared" si="706"/>
        <v>20239RMB</v>
      </c>
      <c r="AR2362" s="206" t="str">
        <f t="shared" si="707"/>
        <v>YAMAHA_Mounter</v>
      </c>
      <c r="AS2362" s="22">
        <f t="shared" si="708"/>
        <v>3</v>
      </c>
      <c r="AT2362" s="24" t="str">
        <f t="shared" si="709"/>
        <v>0-3 months</v>
      </c>
    </row>
    <row r="2363" spans="1:46" s="12" customFormat="1">
      <c r="A2363" s="33" t="str">
        <f t="shared" si="697"/>
        <v>FY 23/24</v>
      </c>
      <c r="B2363" s="152">
        <v>2023</v>
      </c>
      <c r="C2363" s="152">
        <v>6</v>
      </c>
      <c r="D2363" s="33" t="str">
        <f t="shared" si="69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9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0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10"/>
        <v>1.13</v>
      </c>
      <c r="Z2363" s="18">
        <f t="shared" si="693"/>
        <v>1716155.3</v>
      </c>
      <c r="AA2363" s="13">
        <v>1.077</v>
      </c>
      <c r="AB2363" s="21">
        <f t="shared" si="701"/>
        <v>1635663.0602654868</v>
      </c>
      <c r="AC2363" s="130">
        <f t="shared" si="702"/>
        <v>229647.09366127435</v>
      </c>
      <c r="AD2363" s="169">
        <v>0.1404</v>
      </c>
      <c r="AE2363" s="154">
        <f t="shared" si="703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5"/>
        <v>26078226.463097349</v>
      </c>
      <c r="AJ2363" s="19">
        <f t="shared" si="696"/>
        <v>3137870.4427774516</v>
      </c>
      <c r="AK2363" s="20">
        <f t="shared" si="704"/>
        <v>0.12032530077218917</v>
      </c>
      <c r="AL2363" s="17"/>
      <c r="AM2363" s="17"/>
      <c r="AN2363" s="17"/>
      <c r="AO2363" s="17"/>
      <c r="AP2363" s="28" t="str">
        <f t="shared" si="705"/>
        <v>20239</v>
      </c>
      <c r="AQ2363" s="28" t="str">
        <f t="shared" si="706"/>
        <v>20239RMB</v>
      </c>
      <c r="AR2363" s="206" t="str">
        <f t="shared" si="707"/>
        <v>YAMAHA_Mounter</v>
      </c>
      <c r="AS2363" s="22">
        <f t="shared" si="708"/>
        <v>3</v>
      </c>
      <c r="AT2363" s="24" t="str">
        <f t="shared" si="709"/>
        <v>0-3 months</v>
      </c>
    </row>
    <row r="2364" spans="1:46" s="12" customFormat="1">
      <c r="A2364" s="33" t="str">
        <f t="shared" si="697"/>
        <v>FY 18/19</v>
      </c>
      <c r="B2364" s="152">
        <v>2018</v>
      </c>
      <c r="C2364" s="152">
        <v>9</v>
      </c>
      <c r="D2364" s="33" t="str">
        <f t="shared" si="69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9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0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ref="Z2364:Z2427" si="711">IF(X2364="","",X2364*MAX(O2364,N2364))</f>
        <v>202770000</v>
      </c>
      <c r="AA2364" s="13">
        <v>7.2300000000000003E-2</v>
      </c>
      <c r="AB2364" s="21">
        <f t="shared" si="701"/>
        <v>14660271</v>
      </c>
      <c r="AC2364" s="130">
        <f t="shared" si="702"/>
        <v>1514405.9943000001</v>
      </c>
      <c r="AD2364" s="169">
        <v>0.1033</v>
      </c>
      <c r="AE2364" s="154">
        <f t="shared" si="703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5"/>
        <v>23237072.69172414</v>
      </c>
      <c r="AJ2364" s="19">
        <f t="shared" si="696"/>
        <v>2402195.7372206897</v>
      </c>
      <c r="AK2364" s="20">
        <f t="shared" si="704"/>
        <v>0.10337772614862238</v>
      </c>
      <c r="AL2364" s="17"/>
      <c r="AM2364" s="17"/>
      <c r="AN2364" s="17"/>
      <c r="AO2364" s="17"/>
      <c r="AP2364" s="28" t="str">
        <f t="shared" si="705"/>
        <v>20191</v>
      </c>
      <c r="AQ2364" s="28" t="str">
        <f t="shared" si="706"/>
        <v>20191JPY</v>
      </c>
      <c r="AR2364" s="206" t="str">
        <f t="shared" si="707"/>
        <v>YAMAHA_Mounter</v>
      </c>
      <c r="AS2364" s="22">
        <f t="shared" si="708"/>
        <v>4</v>
      </c>
      <c r="AT2364" s="24" t="str">
        <f t="shared" si="709"/>
        <v>4-6 months</v>
      </c>
    </row>
    <row r="2365" spans="1:46" s="12" customFormat="1">
      <c r="A2365" s="33" t="str">
        <f t="shared" si="697"/>
        <v>cancel</v>
      </c>
      <c r="B2365" s="152"/>
      <c r="C2365" s="152" t="s">
        <v>186</v>
      </c>
      <c r="D2365" s="33" t="str">
        <f t="shared" si="69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9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0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11"/>
        <v>660000</v>
      </c>
      <c r="AA2365" s="13">
        <v>1.123</v>
      </c>
      <c r="AB2365" s="21">
        <f t="shared" si="701"/>
        <v>633487.1794871795</v>
      </c>
      <c r="AC2365" s="130">
        <f t="shared" si="702"/>
        <v>76018.461538461532</v>
      </c>
      <c r="AD2365" s="169">
        <v>0.12</v>
      </c>
      <c r="AE2365" s="154">
        <f t="shared" si="703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5"/>
        <v>477651199.57437885</v>
      </c>
      <c r="AJ2365" s="19">
        <f t="shared" si="696"/>
        <v>56918800.518691957</v>
      </c>
      <c r="AK2365" s="20">
        <f t="shared" si="704"/>
        <v>0.11916394341605475</v>
      </c>
      <c r="AL2365" s="17"/>
      <c r="AM2365" s="17"/>
      <c r="AN2365" s="17"/>
      <c r="AO2365" s="17"/>
      <c r="AP2365" s="28" t="str">
        <f t="shared" si="705"/>
        <v>CancelCancel</v>
      </c>
      <c r="AQ2365" s="28" t="str">
        <f t="shared" si="706"/>
        <v>CancelCancelRMB</v>
      </c>
      <c r="AR2365" s="206" t="str">
        <f t="shared" si="707"/>
        <v>YAMAHA_Mounter</v>
      </c>
      <c r="AS2365" s="22" t="str">
        <f t="shared" si="708"/>
        <v/>
      </c>
      <c r="AT2365" s="24" t="str">
        <f t="shared" si="709"/>
        <v/>
      </c>
    </row>
    <row r="2366" spans="1:46" s="12" customFormat="1">
      <c r="A2366" s="33" t="str">
        <f t="shared" si="697"/>
        <v>FY 20/21</v>
      </c>
      <c r="B2366" s="152">
        <v>2021</v>
      </c>
      <c r="C2366" s="152">
        <v>2</v>
      </c>
      <c r="D2366" s="33" t="str">
        <f t="shared" si="69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9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0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12">IF(W2366="RMB","1.13", "1")</f>
        <v>1.13</v>
      </c>
      <c r="Z2366" s="18">
        <f t="shared" si="711"/>
        <v>977164</v>
      </c>
      <c r="AA2366" s="13">
        <v>1.2</v>
      </c>
      <c r="AB2366" s="21">
        <f t="shared" si="701"/>
        <v>1037696.2831858408</v>
      </c>
      <c r="AC2366" s="130">
        <f t="shared" si="702"/>
        <v>133862.82053097346</v>
      </c>
      <c r="AD2366" s="169">
        <v>0.129</v>
      </c>
      <c r="AE2366" s="154">
        <f t="shared" si="703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5"/>
        <v>57778307.282035396</v>
      </c>
      <c r="AJ2366" s="19">
        <f t="shared" si="696"/>
        <v>7259860.7225420559</v>
      </c>
      <c r="AK2366" s="20">
        <f t="shared" si="704"/>
        <v>0.12565028406083667</v>
      </c>
      <c r="AL2366" s="17"/>
      <c r="AM2366" s="17"/>
      <c r="AN2366" s="17"/>
      <c r="AO2366" s="17"/>
      <c r="AP2366" s="28" t="str">
        <f t="shared" si="705"/>
        <v>20213</v>
      </c>
      <c r="AQ2366" s="28" t="str">
        <f t="shared" si="706"/>
        <v>20213RMB</v>
      </c>
      <c r="AR2366" s="206" t="str">
        <f t="shared" si="707"/>
        <v>YAMAHA_Mounter</v>
      </c>
      <c r="AS2366" s="22">
        <f t="shared" si="708"/>
        <v>1</v>
      </c>
      <c r="AT2366" s="24" t="str">
        <f t="shared" si="709"/>
        <v>0-3 months</v>
      </c>
    </row>
    <row r="2367" spans="1:46" s="12" customFormat="1">
      <c r="A2367" s="33" t="str">
        <f t="shared" si="697"/>
        <v>FY 20/21</v>
      </c>
      <c r="B2367" s="152">
        <v>2021</v>
      </c>
      <c r="C2367" s="152">
        <v>2</v>
      </c>
      <c r="D2367" s="33" t="str">
        <f t="shared" si="69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9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0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12"/>
        <v>1.13</v>
      </c>
      <c r="Z2367" s="18">
        <f t="shared" si="711"/>
        <v>483600</v>
      </c>
      <c r="AA2367" s="13">
        <v>1.18</v>
      </c>
      <c r="AB2367" s="21">
        <f t="shared" si="701"/>
        <v>504998.23008849559</v>
      </c>
      <c r="AC2367" s="130">
        <f t="shared" si="702"/>
        <v>65144.771681415936</v>
      </c>
      <c r="AD2367" s="169">
        <v>0.129</v>
      </c>
      <c r="AE2367" s="154">
        <f t="shared" si="703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5"/>
        <v>43684091.636631854</v>
      </c>
      <c r="AJ2367" s="19">
        <f t="shared" si="696"/>
        <v>6483951.8242071122</v>
      </c>
      <c r="AK2367" s="20">
        <f t="shared" si="704"/>
        <v>0.14842821680123736</v>
      </c>
      <c r="AL2367" s="17"/>
      <c r="AM2367" s="17"/>
      <c r="AN2367" s="17"/>
      <c r="AO2367" s="17"/>
      <c r="AP2367" s="28" t="str">
        <f t="shared" si="705"/>
        <v>20214</v>
      </c>
      <c r="AQ2367" s="28" t="str">
        <f t="shared" si="706"/>
        <v>20214RMB</v>
      </c>
      <c r="AR2367" s="206" t="str">
        <f t="shared" si="707"/>
        <v>YAMAHA_Mounter</v>
      </c>
      <c r="AS2367" s="22">
        <f t="shared" si="708"/>
        <v>2</v>
      </c>
      <c r="AT2367" s="24" t="str">
        <f t="shared" si="709"/>
        <v>0-3 months</v>
      </c>
    </row>
    <row r="2368" spans="1:46" s="12" customFormat="1">
      <c r="A2368" s="33" t="str">
        <f t="shared" si="697"/>
        <v>FY 20/21</v>
      </c>
      <c r="B2368" s="152">
        <v>2021</v>
      </c>
      <c r="C2368" s="152">
        <v>2</v>
      </c>
      <c r="D2368" s="33" t="str">
        <f t="shared" si="69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9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0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12"/>
        <v>1.13</v>
      </c>
      <c r="Z2368" s="18">
        <f t="shared" si="711"/>
        <v>483600</v>
      </c>
      <c r="AA2368" s="13">
        <v>1.18</v>
      </c>
      <c r="AB2368" s="21">
        <f t="shared" si="701"/>
        <v>504998.23008849559</v>
      </c>
      <c r="AC2368" s="130">
        <f t="shared" si="702"/>
        <v>65144.771681415936</v>
      </c>
      <c r="AD2368" s="169">
        <v>0.129</v>
      </c>
      <c r="AE2368" s="154">
        <f t="shared" si="703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5"/>
        <v>43684091.636631854</v>
      </c>
      <c r="AJ2368" s="19">
        <f t="shared" si="696"/>
        <v>6483951.8242071122</v>
      </c>
      <c r="AK2368" s="20">
        <f t="shared" si="704"/>
        <v>0.14842821680123736</v>
      </c>
      <c r="AL2368" s="17"/>
      <c r="AM2368" s="17"/>
      <c r="AN2368" s="17"/>
      <c r="AO2368" s="17"/>
      <c r="AP2368" s="28" t="str">
        <f t="shared" si="705"/>
        <v>20214</v>
      </c>
      <c r="AQ2368" s="28" t="str">
        <f t="shared" si="706"/>
        <v>20214RMB</v>
      </c>
      <c r="AR2368" s="206" t="str">
        <f t="shared" si="707"/>
        <v>YAMAHA_Mounter</v>
      </c>
      <c r="AS2368" s="22">
        <f t="shared" si="708"/>
        <v>2</v>
      </c>
      <c r="AT2368" s="24" t="str">
        <f t="shared" si="709"/>
        <v>0-3 months</v>
      </c>
    </row>
    <row r="2369" spans="1:46" s="12" customFormat="1">
      <c r="A2369" s="33" t="str">
        <f t="shared" si="697"/>
        <v>FY 20/21</v>
      </c>
      <c r="B2369" s="152">
        <v>2021</v>
      </c>
      <c r="C2369" s="152">
        <v>2</v>
      </c>
      <c r="D2369" s="33" t="str">
        <f t="shared" si="69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9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0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12"/>
        <v>1.13</v>
      </c>
      <c r="Z2369" s="18">
        <f t="shared" si="711"/>
        <v>483600</v>
      </c>
      <c r="AA2369" s="13">
        <v>1.18</v>
      </c>
      <c r="AB2369" s="21">
        <f t="shared" si="701"/>
        <v>504998.23008849559</v>
      </c>
      <c r="AC2369" s="130">
        <f t="shared" si="702"/>
        <v>65144.771681415936</v>
      </c>
      <c r="AD2369" s="169">
        <v>0.129</v>
      </c>
      <c r="AE2369" s="154">
        <f t="shared" si="703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5"/>
        <v>43684091.636631854</v>
      </c>
      <c r="AJ2369" s="19">
        <f t="shared" si="696"/>
        <v>6483951.8242071122</v>
      </c>
      <c r="AK2369" s="20">
        <f t="shared" si="704"/>
        <v>0.14842821680123736</v>
      </c>
      <c r="AL2369" s="17"/>
      <c r="AM2369" s="17"/>
      <c r="AN2369" s="17"/>
      <c r="AO2369" s="17"/>
      <c r="AP2369" s="28" t="str">
        <f t="shared" si="705"/>
        <v>20214</v>
      </c>
      <c r="AQ2369" s="28" t="str">
        <f t="shared" si="706"/>
        <v>20214RMB</v>
      </c>
      <c r="AR2369" s="206" t="str">
        <f t="shared" si="707"/>
        <v>YAMAHA_Mounter</v>
      </c>
      <c r="AS2369" s="22">
        <f t="shared" si="708"/>
        <v>2</v>
      </c>
      <c r="AT2369" s="24" t="str">
        <f t="shared" si="709"/>
        <v>0-3 months</v>
      </c>
    </row>
    <row r="2370" spans="1:46" s="12" customFormat="1">
      <c r="A2370" s="33" t="str">
        <f t="shared" si="697"/>
        <v>FY 22/23</v>
      </c>
      <c r="B2370" s="152">
        <v>2022</v>
      </c>
      <c r="C2370" s="152">
        <v>6</v>
      </c>
      <c r="D2370" s="33" t="str">
        <f t="shared" si="69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9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0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12"/>
        <v>1.13</v>
      </c>
      <c r="Z2370" s="18">
        <f t="shared" si="711"/>
        <v>460000</v>
      </c>
      <c r="AA2370" s="13">
        <v>1.163</v>
      </c>
      <c r="AB2370" s="21">
        <f t="shared" si="701"/>
        <v>473433.62831858412</v>
      </c>
      <c r="AC2370" s="130">
        <f t="shared" si="702"/>
        <v>64860.407079646029</v>
      </c>
      <c r="AD2370" s="169">
        <v>0.13700000000000001</v>
      </c>
      <c r="AE2370" s="154">
        <f t="shared" si="703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13">IF(P2370="C66 SERVICE","",SUMIFS(AB:AB,F:F,F2370,G:G,G2370,E:E,E2370))</f>
        <v>35073581.838938057</v>
      </c>
      <c r="AJ2370" s="19">
        <f t="shared" ref="AJ2370:AJ2433" si="714">IF(P2370="C66 SERVICE","",SUMIFS(AC:AC,F:F,F2370,G:G,G2370,E:E,E2370))</f>
        <v>5034113.9728989396</v>
      </c>
      <c r="AK2370" s="20">
        <f t="shared" si="704"/>
        <v>0.14353007902118958</v>
      </c>
      <c r="AL2370" s="17"/>
      <c r="AM2370" s="17"/>
      <c r="AN2370" s="17"/>
      <c r="AO2370" s="17"/>
      <c r="AP2370" s="28" t="str">
        <f t="shared" si="705"/>
        <v>20228</v>
      </c>
      <c r="AQ2370" s="28" t="str">
        <f t="shared" si="706"/>
        <v>20228RMB</v>
      </c>
      <c r="AR2370" s="206" t="str">
        <f t="shared" si="707"/>
        <v>YAMAHA_Mounter</v>
      </c>
      <c r="AS2370" s="22">
        <f t="shared" si="708"/>
        <v>2</v>
      </c>
      <c r="AT2370" s="24" t="str">
        <f t="shared" si="709"/>
        <v>0-3 months</v>
      </c>
    </row>
    <row r="2371" spans="1:46" s="12" customFormat="1">
      <c r="A2371" s="33" t="str">
        <f t="shared" si="697"/>
        <v>FY 22/23</v>
      </c>
      <c r="B2371" s="152">
        <v>2023</v>
      </c>
      <c r="C2371" s="152">
        <v>2</v>
      </c>
      <c r="D2371" s="33" t="str">
        <f t="shared" si="69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9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0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12"/>
        <v>1.13</v>
      </c>
      <c r="Z2371" s="18">
        <f t="shared" si="711"/>
        <v>550000</v>
      </c>
      <c r="AA2371" s="13">
        <v>1.1299999999999999</v>
      </c>
      <c r="AB2371" s="21">
        <f t="shared" si="701"/>
        <v>550000</v>
      </c>
      <c r="AC2371" s="130">
        <f t="shared" si="702"/>
        <v>68145</v>
      </c>
      <c r="AD2371" s="169">
        <v>0.1239</v>
      </c>
      <c r="AE2371" s="154">
        <f t="shared" si="703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13"/>
        <v>33543315.897345133</v>
      </c>
      <c r="AJ2371" s="19">
        <f t="shared" si="714"/>
        <v>4706169.3252984071</v>
      </c>
      <c r="AK2371" s="20">
        <f t="shared" si="704"/>
        <v>0.14030125523967318</v>
      </c>
      <c r="AL2371" s="17"/>
      <c r="AM2371" s="17"/>
      <c r="AN2371" s="17"/>
      <c r="AO2371" s="17"/>
      <c r="AP2371" s="28" t="str">
        <f t="shared" si="705"/>
        <v>20233</v>
      </c>
      <c r="AQ2371" s="28" t="str">
        <f t="shared" si="706"/>
        <v>20233RMB</v>
      </c>
      <c r="AR2371" s="206" t="str">
        <f t="shared" si="707"/>
        <v>YAMAHA_Mounter</v>
      </c>
      <c r="AS2371" s="22">
        <f t="shared" si="708"/>
        <v>1</v>
      </c>
      <c r="AT2371" s="24" t="str">
        <f t="shared" si="709"/>
        <v>0-3 months</v>
      </c>
    </row>
    <row r="2372" spans="1:46" s="12" customFormat="1">
      <c r="A2372" s="33" t="str">
        <f t="shared" si="697"/>
        <v>FY 22/23</v>
      </c>
      <c r="B2372" s="152">
        <v>2023</v>
      </c>
      <c r="C2372" s="152">
        <v>2</v>
      </c>
      <c r="D2372" s="33" t="str">
        <f t="shared" si="69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9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0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12"/>
        <v>1.13</v>
      </c>
      <c r="Z2372" s="18">
        <f t="shared" si="711"/>
        <v>800000</v>
      </c>
      <c r="AA2372" s="13">
        <v>1.1299999999999999</v>
      </c>
      <c r="AB2372" s="21">
        <f t="shared" si="701"/>
        <v>800000</v>
      </c>
      <c r="AC2372" s="130">
        <f t="shared" si="702"/>
        <v>99120</v>
      </c>
      <c r="AD2372" s="169">
        <v>0.1239</v>
      </c>
      <c r="AE2372" s="154">
        <f t="shared" si="703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13"/>
        <v>33543315.897345133</v>
      </c>
      <c r="AJ2372" s="19">
        <f t="shared" si="714"/>
        <v>4706169.3252984071</v>
      </c>
      <c r="AK2372" s="20">
        <f t="shared" si="704"/>
        <v>0.14030125523967318</v>
      </c>
      <c r="AL2372" s="17"/>
      <c r="AM2372" s="17"/>
      <c r="AN2372" s="17"/>
      <c r="AO2372" s="17"/>
      <c r="AP2372" s="28" t="str">
        <f t="shared" si="705"/>
        <v>20233</v>
      </c>
      <c r="AQ2372" s="28" t="str">
        <f t="shared" si="706"/>
        <v>20233RMB</v>
      </c>
      <c r="AR2372" s="206" t="str">
        <f t="shared" si="707"/>
        <v>YAMAHA_Mounter</v>
      </c>
      <c r="AS2372" s="22">
        <f t="shared" si="708"/>
        <v>1</v>
      </c>
      <c r="AT2372" s="24" t="str">
        <f t="shared" si="709"/>
        <v>0-3 months</v>
      </c>
    </row>
    <row r="2373" spans="1:46" s="12" customFormat="1">
      <c r="A2373" s="33" t="str">
        <f t="shared" si="697"/>
        <v>FY 23/24</v>
      </c>
      <c r="B2373" s="152">
        <v>2023</v>
      </c>
      <c r="C2373" s="152">
        <v>10</v>
      </c>
      <c r="D2373" s="33" t="str">
        <f t="shared" si="69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9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0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11"/>
        <v>430000</v>
      </c>
      <c r="AA2373" s="22">
        <v>1.083</v>
      </c>
      <c r="AB2373" s="21">
        <f t="shared" si="701"/>
        <v>412115.04424778762</v>
      </c>
      <c r="AC2373" s="130">
        <f t="shared" si="702"/>
        <v>49453.805309734511</v>
      </c>
      <c r="AD2373" s="169">
        <v>0.12</v>
      </c>
      <c r="AE2373" s="154">
        <f t="shared" si="703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13"/>
        <v>477651199.57437885</v>
      </c>
      <c r="AJ2373" s="19">
        <f t="shared" si="714"/>
        <v>56918800.518691957</v>
      </c>
      <c r="AK2373" s="20">
        <f t="shared" si="704"/>
        <v>0.11916394341605475</v>
      </c>
      <c r="AL2373" s="17"/>
      <c r="AM2373" s="17"/>
      <c r="AN2373" s="17"/>
      <c r="AO2373" s="17"/>
      <c r="AP2373" s="28" t="str">
        <f t="shared" si="705"/>
        <v>CancelCancel</v>
      </c>
      <c r="AQ2373" s="28" t="str">
        <f t="shared" si="706"/>
        <v>CancelCancelRMB</v>
      </c>
      <c r="AR2373" s="206" t="str">
        <f t="shared" si="707"/>
        <v>YAMAHA_Mounter</v>
      </c>
      <c r="AS2373" s="22" t="str">
        <f t="shared" si="708"/>
        <v/>
      </c>
      <c r="AT2373" s="24" t="str">
        <f t="shared" si="709"/>
        <v/>
      </c>
    </row>
    <row r="2374" spans="1:46" s="12" customFormat="1">
      <c r="A2374" s="33" t="str">
        <f t="shared" si="697"/>
        <v>FY 21/22</v>
      </c>
      <c r="B2374" s="152">
        <v>2021</v>
      </c>
      <c r="C2374" s="152">
        <v>4</v>
      </c>
      <c r="D2374" s="33" t="str">
        <f t="shared" si="698"/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si="699"/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0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15">IF(W2374="RMB","1.13", "1")</f>
        <v>1.13</v>
      </c>
      <c r="Z2374" s="18">
        <f t="shared" si="711"/>
        <v>500000</v>
      </c>
      <c r="AA2374" s="13">
        <v>1.18</v>
      </c>
      <c r="AB2374" s="21">
        <f t="shared" si="701"/>
        <v>522123.89380530978</v>
      </c>
      <c r="AC2374" s="130">
        <f t="shared" si="702"/>
        <v>70225.663716814175</v>
      </c>
      <c r="AD2374" s="169">
        <v>0.13450000000000001</v>
      </c>
      <c r="AE2374" s="154">
        <f t="shared" si="703"/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13"/>
        <v>43684091.636631854</v>
      </c>
      <c r="AJ2374" s="19">
        <f t="shared" si="714"/>
        <v>6483951.8242071122</v>
      </c>
      <c r="AK2374" s="20">
        <f t="shared" si="704"/>
        <v>0.14842821680123736</v>
      </c>
      <c r="AL2374" s="17"/>
      <c r="AM2374" s="17"/>
      <c r="AN2374" s="17"/>
      <c r="AO2374" s="17"/>
      <c r="AP2374" s="28" t="str">
        <f t="shared" si="705"/>
        <v>20214</v>
      </c>
      <c r="AQ2374" s="28" t="str">
        <f t="shared" si="706"/>
        <v>20214RMB</v>
      </c>
      <c r="AR2374" s="206" t="str">
        <f t="shared" si="707"/>
        <v>YAMAHA_Mounter</v>
      </c>
      <c r="AS2374" s="22">
        <f t="shared" si="708"/>
        <v>0</v>
      </c>
      <c r="AT2374" s="24" t="str">
        <f t="shared" si="709"/>
        <v>0-3 months</v>
      </c>
    </row>
    <row r="2375" spans="1:46" s="12" customFormat="1">
      <c r="A2375" s="33" t="str">
        <f t="shared" si="697"/>
        <v>FY 21/22</v>
      </c>
      <c r="B2375" s="152">
        <v>2021</v>
      </c>
      <c r="C2375" s="152">
        <v>4</v>
      </c>
      <c r="D2375" s="33" t="str">
        <f t="shared" si="698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699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0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15"/>
        <v>1.13</v>
      </c>
      <c r="Z2375" s="18">
        <f t="shared" si="711"/>
        <v>500000</v>
      </c>
      <c r="AA2375" s="13">
        <v>1.175</v>
      </c>
      <c r="AB2375" s="21">
        <f t="shared" si="701"/>
        <v>519911.50442477886</v>
      </c>
      <c r="AC2375" s="130">
        <f t="shared" si="702"/>
        <v>62389.38053097346</v>
      </c>
      <c r="AD2375" s="169">
        <v>0.12</v>
      </c>
      <c r="AE2375" s="154">
        <f t="shared" si="703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3"/>
        <v>477651199.57437885</v>
      </c>
      <c r="AJ2375" s="19">
        <f t="shared" si="714"/>
        <v>56918800.518691957</v>
      </c>
      <c r="AK2375" s="20">
        <f t="shared" si="704"/>
        <v>0.11916394341605475</v>
      </c>
      <c r="AL2375" s="17"/>
      <c r="AM2375" s="17"/>
      <c r="AN2375" s="17"/>
      <c r="AO2375" s="17"/>
      <c r="AP2375" s="28" t="str">
        <f t="shared" si="705"/>
        <v>CancelCancel</v>
      </c>
      <c r="AQ2375" s="28" t="str">
        <f t="shared" si="706"/>
        <v>CancelCancelRMB</v>
      </c>
      <c r="AR2375" s="206" t="str">
        <f t="shared" si="707"/>
        <v>YAMAHA_Mounter</v>
      </c>
      <c r="AS2375" s="22" t="str">
        <f t="shared" si="708"/>
        <v/>
      </c>
      <c r="AT2375" s="24" t="str">
        <f t="shared" si="709"/>
        <v/>
      </c>
    </row>
    <row r="2376" spans="1:46" s="12" customFormat="1">
      <c r="A2376" s="33" t="str">
        <f t="shared" si="697"/>
        <v>FY 21/22</v>
      </c>
      <c r="B2376" s="152">
        <v>2021</v>
      </c>
      <c r="C2376" s="152">
        <v>4</v>
      </c>
      <c r="D2376" s="33" t="str">
        <f t="shared" si="698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699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0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15"/>
        <v>1.13</v>
      </c>
      <c r="Z2376" s="18">
        <f t="shared" si="711"/>
        <v>500000</v>
      </c>
      <c r="AA2376" s="13">
        <v>1.175</v>
      </c>
      <c r="AB2376" s="21">
        <f t="shared" si="701"/>
        <v>519911.50442477886</v>
      </c>
      <c r="AC2376" s="130">
        <f t="shared" si="702"/>
        <v>62389.38053097346</v>
      </c>
      <c r="AD2376" s="169">
        <v>0.12</v>
      </c>
      <c r="AE2376" s="154">
        <f t="shared" si="703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3"/>
        <v>477651199.57437885</v>
      </c>
      <c r="AJ2376" s="19">
        <f t="shared" si="714"/>
        <v>56918800.518691957</v>
      </c>
      <c r="AK2376" s="20">
        <f t="shared" si="704"/>
        <v>0.11916394341605475</v>
      </c>
      <c r="AL2376" s="17"/>
      <c r="AM2376" s="17"/>
      <c r="AN2376" s="17"/>
      <c r="AO2376" s="17"/>
      <c r="AP2376" s="28" t="str">
        <f t="shared" si="705"/>
        <v>CancelCancel</v>
      </c>
      <c r="AQ2376" s="28" t="str">
        <f t="shared" si="706"/>
        <v>CancelCancelRMB</v>
      </c>
      <c r="AR2376" s="206" t="str">
        <f t="shared" si="707"/>
        <v>YAMAHA_Mounter</v>
      </c>
      <c r="AS2376" s="22" t="str">
        <f t="shared" si="708"/>
        <v/>
      </c>
      <c r="AT2376" s="24" t="str">
        <f t="shared" si="709"/>
        <v/>
      </c>
    </row>
    <row r="2377" spans="1:46" s="12" customFormat="1">
      <c r="A2377" s="33" t="str">
        <f t="shared" si="697"/>
        <v>FY 20/21</v>
      </c>
      <c r="B2377" s="152">
        <v>2021</v>
      </c>
      <c r="C2377" s="152">
        <v>1</v>
      </c>
      <c r="D2377" s="33" t="str">
        <f t="shared" si="698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699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0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15"/>
        <v>1.13</v>
      </c>
      <c r="Z2377" s="18">
        <f t="shared" si="711"/>
        <v>900000</v>
      </c>
      <c r="AA2377" s="13">
        <v>1.2</v>
      </c>
      <c r="AB2377" s="21">
        <f t="shared" si="701"/>
        <v>955752.21238938055</v>
      </c>
      <c r="AC2377" s="130">
        <f t="shared" si="702"/>
        <v>127497.34513274336</v>
      </c>
      <c r="AD2377" s="169">
        <v>0.13339999999999999</v>
      </c>
      <c r="AE2377" s="154">
        <f t="shared" si="703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3"/>
        <v>57778307.282035396</v>
      </c>
      <c r="AJ2377" s="19">
        <f t="shared" si="714"/>
        <v>7259860.7225420559</v>
      </c>
      <c r="AK2377" s="20">
        <f t="shared" si="704"/>
        <v>0.12565028406083667</v>
      </c>
      <c r="AL2377" s="17"/>
      <c r="AM2377" s="17"/>
      <c r="AN2377" s="17"/>
      <c r="AO2377" s="17"/>
      <c r="AP2377" s="28" t="str">
        <f t="shared" si="705"/>
        <v>20213</v>
      </c>
      <c r="AQ2377" s="28" t="str">
        <f t="shared" si="706"/>
        <v>20213RMB</v>
      </c>
      <c r="AR2377" s="206" t="str">
        <f t="shared" si="707"/>
        <v>YAMAHA_Mounter</v>
      </c>
      <c r="AS2377" s="22">
        <f t="shared" si="708"/>
        <v>2</v>
      </c>
      <c r="AT2377" s="24" t="str">
        <f t="shared" si="709"/>
        <v>0-3 months</v>
      </c>
    </row>
    <row r="2378" spans="1:46" s="12" customFormat="1">
      <c r="A2378" s="33" t="str">
        <f t="shared" si="697"/>
        <v>FY 20/21</v>
      </c>
      <c r="B2378" s="152">
        <v>2021</v>
      </c>
      <c r="C2378" s="152">
        <v>1</v>
      </c>
      <c r="D2378" s="33" t="str">
        <f t="shared" si="698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699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0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15"/>
        <v>1.13</v>
      </c>
      <c r="Z2378" s="18">
        <f t="shared" si="711"/>
        <v>900000</v>
      </c>
      <c r="AA2378" s="13">
        <v>1.2</v>
      </c>
      <c r="AB2378" s="21">
        <f t="shared" si="701"/>
        <v>955752.21238938055</v>
      </c>
      <c r="AC2378" s="130">
        <f t="shared" si="702"/>
        <v>127497.34513274336</v>
      </c>
      <c r="AD2378" s="169">
        <v>0.13339999999999999</v>
      </c>
      <c r="AE2378" s="154">
        <f t="shared" si="703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3"/>
        <v>57778307.282035396</v>
      </c>
      <c r="AJ2378" s="19">
        <f t="shared" si="714"/>
        <v>7259860.7225420559</v>
      </c>
      <c r="AK2378" s="20">
        <f t="shared" si="704"/>
        <v>0.12565028406083667</v>
      </c>
      <c r="AL2378" s="17"/>
      <c r="AM2378" s="17"/>
      <c r="AN2378" s="17"/>
      <c r="AO2378" s="17"/>
      <c r="AP2378" s="28" t="str">
        <f t="shared" si="705"/>
        <v>20213</v>
      </c>
      <c r="AQ2378" s="28" t="str">
        <f t="shared" si="706"/>
        <v>20213RMB</v>
      </c>
      <c r="AR2378" s="206" t="str">
        <f t="shared" si="707"/>
        <v>YAMAHA_Mounter</v>
      </c>
      <c r="AS2378" s="22">
        <f t="shared" si="708"/>
        <v>2</v>
      </c>
      <c r="AT2378" s="24" t="str">
        <f t="shared" si="709"/>
        <v>0-3 months</v>
      </c>
    </row>
    <row r="2379" spans="1:46" s="12" customFormat="1">
      <c r="A2379" s="33" t="str">
        <f t="shared" si="697"/>
        <v>FY 20/21</v>
      </c>
      <c r="B2379" s="152">
        <v>2021</v>
      </c>
      <c r="C2379" s="152">
        <v>1</v>
      </c>
      <c r="D2379" s="33" t="str">
        <f t="shared" si="698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699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0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15"/>
        <v>1.13</v>
      </c>
      <c r="Z2379" s="18">
        <f t="shared" si="711"/>
        <v>705000</v>
      </c>
      <c r="AA2379" s="13">
        <v>1.2</v>
      </c>
      <c r="AB2379" s="21">
        <f t="shared" si="701"/>
        <v>748672.5663716814</v>
      </c>
      <c r="AC2379" s="130">
        <f t="shared" si="702"/>
        <v>99872.920353982292</v>
      </c>
      <c r="AD2379" s="169">
        <v>0.13339999999999999</v>
      </c>
      <c r="AE2379" s="154">
        <f t="shared" si="703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3"/>
        <v>57778307.282035396</v>
      </c>
      <c r="AJ2379" s="19">
        <f t="shared" si="714"/>
        <v>7259860.7225420559</v>
      </c>
      <c r="AK2379" s="20">
        <f t="shared" si="704"/>
        <v>0.12565028406083667</v>
      </c>
      <c r="AL2379" s="17"/>
      <c r="AM2379" s="17"/>
      <c r="AN2379" s="17"/>
      <c r="AO2379" s="17"/>
      <c r="AP2379" s="28" t="str">
        <f t="shared" si="705"/>
        <v>20213</v>
      </c>
      <c r="AQ2379" s="28" t="str">
        <f t="shared" si="706"/>
        <v>20213RMB</v>
      </c>
      <c r="AR2379" s="206" t="str">
        <f t="shared" si="707"/>
        <v>YAMAHA_Mounter</v>
      </c>
      <c r="AS2379" s="22">
        <f t="shared" si="708"/>
        <v>2</v>
      </c>
      <c r="AT2379" s="24" t="str">
        <f t="shared" si="709"/>
        <v>0-3 months</v>
      </c>
    </row>
    <row r="2380" spans="1:46" s="12" customFormat="1">
      <c r="A2380" s="33" t="str">
        <f t="shared" si="697"/>
        <v>FY 20/21</v>
      </c>
      <c r="B2380" s="152">
        <v>2021</v>
      </c>
      <c r="C2380" s="152">
        <v>1</v>
      </c>
      <c r="D2380" s="33" t="str">
        <f t="shared" si="698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699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0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15"/>
        <v>1.13</v>
      </c>
      <c r="Z2380" s="18">
        <f t="shared" si="711"/>
        <v>705000</v>
      </c>
      <c r="AA2380" s="13">
        <v>1.2</v>
      </c>
      <c r="AB2380" s="21">
        <f t="shared" si="701"/>
        <v>748672.5663716814</v>
      </c>
      <c r="AC2380" s="130">
        <f t="shared" si="702"/>
        <v>99872.920353982292</v>
      </c>
      <c r="AD2380" s="169">
        <v>0.13339999999999999</v>
      </c>
      <c r="AE2380" s="154">
        <f t="shared" si="703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3"/>
        <v>57778307.282035396</v>
      </c>
      <c r="AJ2380" s="19">
        <f t="shared" si="714"/>
        <v>7259860.7225420559</v>
      </c>
      <c r="AK2380" s="20">
        <f t="shared" si="704"/>
        <v>0.12565028406083667</v>
      </c>
      <c r="AL2380" s="17"/>
      <c r="AM2380" s="17"/>
      <c r="AN2380" s="17"/>
      <c r="AO2380" s="17"/>
      <c r="AP2380" s="28" t="str">
        <f t="shared" si="705"/>
        <v>20213</v>
      </c>
      <c r="AQ2380" s="28" t="str">
        <f t="shared" si="706"/>
        <v>20213RMB</v>
      </c>
      <c r="AR2380" s="206" t="str">
        <f t="shared" si="707"/>
        <v>YAMAHA_Mounter</v>
      </c>
      <c r="AS2380" s="22">
        <f t="shared" si="708"/>
        <v>2</v>
      </c>
      <c r="AT2380" s="24" t="str">
        <f t="shared" si="709"/>
        <v>0-3 months</v>
      </c>
    </row>
    <row r="2381" spans="1:46" s="12" customFormat="1">
      <c r="A2381" s="33" t="str">
        <f t="shared" si="697"/>
        <v>FY 19/20</v>
      </c>
      <c r="B2381" s="152">
        <v>2019</v>
      </c>
      <c r="C2381" s="152">
        <v>5</v>
      </c>
      <c r="D2381" s="33" t="str">
        <f t="shared" si="698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699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0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1"/>
        <v>825000</v>
      </c>
      <c r="AA2381" s="13">
        <v>1.135</v>
      </c>
      <c r="AB2381" s="21">
        <f t="shared" si="701"/>
        <v>828650.44247787609</v>
      </c>
      <c r="AC2381" s="130">
        <f t="shared" si="702"/>
        <v>97863.617256637168</v>
      </c>
      <c r="AD2381" s="169">
        <v>0.1181</v>
      </c>
      <c r="AE2381" s="154">
        <f t="shared" si="703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3"/>
        <v>31296887.037898075</v>
      </c>
      <c r="AJ2381" s="19">
        <f t="shared" si="714"/>
        <v>3588873.9502021763</v>
      </c>
      <c r="AK2381" s="20">
        <f t="shared" si="704"/>
        <v>0.11467191436184473</v>
      </c>
      <c r="AL2381" s="17"/>
      <c r="AM2381" s="17"/>
      <c r="AN2381" s="17"/>
      <c r="AO2381" s="17"/>
      <c r="AP2381" s="28" t="str">
        <f t="shared" si="705"/>
        <v>20196</v>
      </c>
      <c r="AQ2381" s="28" t="str">
        <f t="shared" si="706"/>
        <v>20196RMB</v>
      </c>
      <c r="AR2381" s="206" t="str">
        <f t="shared" si="707"/>
        <v>YAMAHA_Mounter</v>
      </c>
      <c r="AS2381" s="22">
        <f t="shared" si="708"/>
        <v>1</v>
      </c>
      <c r="AT2381" s="24" t="str">
        <f t="shared" si="709"/>
        <v>0-3 months</v>
      </c>
    </row>
    <row r="2382" spans="1:46" s="12" customFormat="1">
      <c r="A2382" s="33" t="str">
        <f t="shared" si="697"/>
        <v>FY 19/20</v>
      </c>
      <c r="B2382" s="152">
        <v>2019</v>
      </c>
      <c r="C2382" s="152">
        <v>5</v>
      </c>
      <c r="D2382" s="33" t="str">
        <f t="shared" si="698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699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0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1"/>
        <v>780000</v>
      </c>
      <c r="AA2382" s="13">
        <v>1.135</v>
      </c>
      <c r="AB2382" s="21">
        <f t="shared" si="701"/>
        <v>783451.32743362838</v>
      </c>
      <c r="AC2382" s="130">
        <f t="shared" si="702"/>
        <v>92525.601769911504</v>
      </c>
      <c r="AD2382" s="169">
        <v>0.1181</v>
      </c>
      <c r="AE2382" s="154">
        <f t="shared" si="703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3"/>
        <v>31296887.037898075</v>
      </c>
      <c r="AJ2382" s="19">
        <f t="shared" si="714"/>
        <v>3588873.9502021763</v>
      </c>
      <c r="AK2382" s="20">
        <f t="shared" si="704"/>
        <v>0.11467191436184473</v>
      </c>
      <c r="AL2382" s="17"/>
      <c r="AM2382" s="17"/>
      <c r="AN2382" s="17"/>
      <c r="AO2382" s="17"/>
      <c r="AP2382" s="28" t="str">
        <f t="shared" si="705"/>
        <v>20196</v>
      </c>
      <c r="AQ2382" s="28" t="str">
        <f t="shared" si="706"/>
        <v>20196RMB</v>
      </c>
      <c r="AR2382" s="206" t="str">
        <f t="shared" si="707"/>
        <v>YAMAHA_Mounter</v>
      </c>
      <c r="AS2382" s="22">
        <f t="shared" si="708"/>
        <v>1</v>
      </c>
      <c r="AT2382" s="24" t="str">
        <f t="shared" si="709"/>
        <v>0-3 months</v>
      </c>
    </row>
    <row r="2383" spans="1:46" s="12" customFormat="1">
      <c r="A2383" s="33" t="str">
        <f t="shared" si="697"/>
        <v>FY 20/21</v>
      </c>
      <c r="B2383" s="152">
        <v>2020</v>
      </c>
      <c r="C2383" s="152">
        <v>11</v>
      </c>
      <c r="D2383" s="33" t="str">
        <f t="shared" si="698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699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0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1"/>
        <v>539000</v>
      </c>
      <c r="AA2383" s="13">
        <v>1.1850000000000001</v>
      </c>
      <c r="AB2383" s="21">
        <f t="shared" si="701"/>
        <v>565234.51327433635</v>
      </c>
      <c r="AC2383" s="130">
        <f t="shared" si="702"/>
        <v>71671.736283185848</v>
      </c>
      <c r="AD2383" s="169">
        <v>0.1268</v>
      </c>
      <c r="AE2383" s="154">
        <f t="shared" si="703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3"/>
        <v>45803245.025628321</v>
      </c>
      <c r="AJ2383" s="19">
        <f t="shared" si="714"/>
        <v>5664636.2584379362</v>
      </c>
      <c r="AK2383" s="20">
        <f t="shared" si="704"/>
        <v>0.12367325186825515</v>
      </c>
      <c r="AL2383" s="17"/>
      <c r="AM2383" s="17"/>
      <c r="AN2383" s="17"/>
      <c r="AO2383" s="17"/>
      <c r="AP2383" s="28" t="str">
        <f t="shared" si="705"/>
        <v>20211</v>
      </c>
      <c r="AQ2383" s="28" t="str">
        <f t="shared" si="706"/>
        <v>20211RMB</v>
      </c>
      <c r="AR2383" s="206" t="str">
        <f t="shared" si="707"/>
        <v>YAMAHA_Mounter</v>
      </c>
      <c r="AS2383" s="22">
        <f t="shared" si="708"/>
        <v>2</v>
      </c>
      <c r="AT2383" s="24" t="str">
        <f t="shared" si="709"/>
        <v>0-3 months</v>
      </c>
    </row>
    <row r="2384" spans="1:46" s="12" customFormat="1">
      <c r="A2384" s="33" t="str">
        <f t="shared" si="697"/>
        <v>FY 18/19</v>
      </c>
      <c r="B2384" s="152">
        <v>2018</v>
      </c>
      <c r="C2384" s="152">
        <v>5</v>
      </c>
      <c r="D2384" s="33" t="str">
        <f t="shared" si="698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699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0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1"/>
        <v>510000</v>
      </c>
      <c r="AA2384" s="13">
        <v>1.23</v>
      </c>
      <c r="AB2384" s="21">
        <f t="shared" si="701"/>
        <v>540775.86206896557</v>
      </c>
      <c r="AC2384" s="130">
        <f t="shared" si="702"/>
        <v>86686.370689655174</v>
      </c>
      <c r="AD2384" s="169">
        <v>0.1603</v>
      </c>
      <c r="AE2384" s="154">
        <f t="shared" si="703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3"/>
        <v>24398045.86045352</v>
      </c>
      <c r="AJ2384" s="19">
        <f t="shared" si="714"/>
        <v>3478417.4064663448</v>
      </c>
      <c r="AK2384" s="20">
        <f t="shared" si="704"/>
        <v>0.14256950849102498</v>
      </c>
      <c r="AL2384" s="17"/>
      <c r="AM2384" s="17"/>
      <c r="AN2384" s="17"/>
      <c r="AO2384" s="17" t="s">
        <v>475</v>
      </c>
      <c r="AP2384" s="28" t="str">
        <f t="shared" si="705"/>
        <v>20186</v>
      </c>
      <c r="AQ2384" s="28" t="str">
        <f t="shared" si="706"/>
        <v>20186RMB</v>
      </c>
      <c r="AR2384" s="206" t="str">
        <f t="shared" si="707"/>
        <v>YAMAHA_Mounter</v>
      </c>
      <c r="AS2384" s="22">
        <f t="shared" si="708"/>
        <v>1</v>
      </c>
      <c r="AT2384" s="24" t="str">
        <f t="shared" si="709"/>
        <v>0-3 months</v>
      </c>
    </row>
    <row r="2385" spans="1:46" s="12" customFormat="1">
      <c r="A2385" s="33" t="str">
        <f t="shared" si="697"/>
        <v>cancel</v>
      </c>
      <c r="B2385" s="152"/>
      <c r="C2385" s="152" t="s">
        <v>186</v>
      </c>
      <c r="D2385" s="33" t="str">
        <f t="shared" si="698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699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0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1"/>
        <v>500000</v>
      </c>
      <c r="AA2385" s="13">
        <v>1.18</v>
      </c>
      <c r="AB2385" s="21">
        <f t="shared" si="701"/>
        <v>522123.89380530978</v>
      </c>
      <c r="AC2385" s="130">
        <f t="shared" si="702"/>
        <v>62654.867256637168</v>
      </c>
      <c r="AD2385" s="169">
        <v>0.12</v>
      </c>
      <c r="AE2385" s="154">
        <f t="shared" si="703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3"/>
        <v>477651199.57437885</v>
      </c>
      <c r="AJ2385" s="19">
        <f t="shared" si="714"/>
        <v>56918800.518691957</v>
      </c>
      <c r="AK2385" s="20">
        <f t="shared" si="704"/>
        <v>0.11916394341605475</v>
      </c>
      <c r="AL2385" s="17"/>
      <c r="AM2385" s="17"/>
      <c r="AN2385" s="17"/>
      <c r="AO2385" s="17"/>
      <c r="AP2385" s="28" t="str">
        <f t="shared" si="705"/>
        <v>CancelCancel</v>
      </c>
      <c r="AQ2385" s="28" t="str">
        <f t="shared" si="706"/>
        <v>CancelCancelRMB</v>
      </c>
      <c r="AR2385" s="206" t="str">
        <f t="shared" si="707"/>
        <v>YAMAHA_Mounter</v>
      </c>
      <c r="AS2385" s="22" t="str">
        <f t="shared" si="708"/>
        <v/>
      </c>
      <c r="AT2385" s="24" t="str">
        <f t="shared" si="709"/>
        <v/>
      </c>
    </row>
    <row r="2386" spans="1:46" s="12" customFormat="1" ht="17">
      <c r="A2386" s="33" t="str">
        <f t="shared" si="697"/>
        <v>FY 18/19</v>
      </c>
      <c r="B2386" s="152">
        <v>2018</v>
      </c>
      <c r="C2386" s="152">
        <v>6</v>
      </c>
      <c r="D2386" s="33" t="str">
        <f t="shared" si="698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699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0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1"/>
        <v>1630000</v>
      </c>
      <c r="AA2386" s="13">
        <v>1.1499999999999999</v>
      </c>
      <c r="AB2386" s="21">
        <f t="shared" si="701"/>
        <v>1615948.2758620689</v>
      </c>
      <c r="AC2386" s="130">
        <f t="shared" si="702"/>
        <v>190843.49137931032</v>
      </c>
      <c r="AD2386" s="169">
        <v>0.1181</v>
      </c>
      <c r="AE2386" s="154">
        <f t="shared" si="703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3"/>
        <v>26492741.106427077</v>
      </c>
      <c r="AJ2386" s="19">
        <f t="shared" si="714"/>
        <v>3348032.1325698122</v>
      </c>
      <c r="AK2386" s="20">
        <f t="shared" si="704"/>
        <v>0.12637545201985867</v>
      </c>
      <c r="AL2386" s="17"/>
      <c r="AM2386" s="17"/>
      <c r="AN2386" s="17"/>
      <c r="AO2386" s="17"/>
      <c r="AP2386" s="28" t="str">
        <f t="shared" si="705"/>
        <v>20189</v>
      </c>
      <c r="AQ2386" s="28" t="str">
        <f t="shared" si="706"/>
        <v>20189RMB</v>
      </c>
      <c r="AR2386" s="206" t="str">
        <f t="shared" si="707"/>
        <v>YAMAHA_Mounter</v>
      </c>
      <c r="AS2386" s="22">
        <f t="shared" si="708"/>
        <v>3</v>
      </c>
      <c r="AT2386" s="24" t="str">
        <f t="shared" si="709"/>
        <v>0-3 months</v>
      </c>
    </row>
    <row r="2387" spans="1:46" s="12" customFormat="1">
      <c r="A2387" s="33" t="str">
        <f t="shared" si="697"/>
        <v>FY 19/20</v>
      </c>
      <c r="B2387" s="152">
        <v>2020</v>
      </c>
      <c r="C2387" s="152">
        <v>3</v>
      </c>
      <c r="D2387" s="33" t="str">
        <f t="shared" si="698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699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0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1"/>
        <v>620000</v>
      </c>
      <c r="AA2387" s="13">
        <v>1.095</v>
      </c>
      <c r="AB2387" s="21">
        <f t="shared" si="701"/>
        <v>600796.4601769913</v>
      </c>
      <c r="AC2387" s="130">
        <f t="shared" si="702"/>
        <v>57676.460176991168</v>
      </c>
      <c r="AD2387" s="169">
        <v>9.6000000000000002E-2</v>
      </c>
      <c r="AE2387" s="154">
        <f t="shared" si="703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3"/>
        <v>33477255.428389374</v>
      </c>
      <c r="AJ2387" s="19">
        <f t="shared" si="714"/>
        <v>4578663.362915583</v>
      </c>
      <c r="AK2387" s="20">
        <f t="shared" si="704"/>
        <v>0.13676937682988152</v>
      </c>
      <c r="AL2387" s="17"/>
      <c r="AM2387" s="17"/>
      <c r="AN2387" s="17"/>
      <c r="AO2387" s="17"/>
      <c r="AP2387" s="28" t="str">
        <f t="shared" si="705"/>
        <v>20204</v>
      </c>
      <c r="AQ2387" s="28" t="str">
        <f t="shared" si="706"/>
        <v>20204RMB</v>
      </c>
      <c r="AR2387" s="206" t="str">
        <f t="shared" si="707"/>
        <v>YAMAHA_Mounter</v>
      </c>
      <c r="AS2387" s="22">
        <f t="shared" si="708"/>
        <v>1</v>
      </c>
      <c r="AT2387" s="24" t="str">
        <f t="shared" si="709"/>
        <v>0-3 months</v>
      </c>
    </row>
    <row r="2388" spans="1:46" s="12" customFormat="1">
      <c r="A2388" s="33" t="str">
        <f t="shared" si="697"/>
        <v>FY 21/22</v>
      </c>
      <c r="B2388" s="152">
        <v>2021</v>
      </c>
      <c r="C2388" s="152">
        <v>11</v>
      </c>
      <c r="D2388" s="33" t="str">
        <f t="shared" si="698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699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0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1"/>
        <v>607171</v>
      </c>
      <c r="AA2388" s="13">
        <v>1.175</v>
      </c>
      <c r="AB2388" s="21">
        <f t="shared" si="701"/>
        <v>631350.37610619469</v>
      </c>
      <c r="AC2388" s="130">
        <f t="shared" si="702"/>
        <v>117494.30499336282</v>
      </c>
      <c r="AD2388" s="169">
        <v>0.18609999999999999</v>
      </c>
      <c r="AE2388" s="154">
        <f t="shared" si="703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3"/>
        <v>35682787.057522126</v>
      </c>
      <c r="AJ2388" s="19">
        <f t="shared" si="714"/>
        <v>5833368.3789623892</v>
      </c>
      <c r="AK2388" s="20">
        <f t="shared" si="704"/>
        <v>0.16347849649632912</v>
      </c>
      <c r="AL2388" s="17"/>
      <c r="AM2388" s="17"/>
      <c r="AN2388" s="17"/>
      <c r="AO2388" s="17"/>
      <c r="AP2388" s="28" t="str">
        <f t="shared" si="705"/>
        <v>20226</v>
      </c>
      <c r="AQ2388" s="28" t="str">
        <f t="shared" si="706"/>
        <v>20226RMB</v>
      </c>
      <c r="AR2388" s="206" t="str">
        <f t="shared" si="707"/>
        <v>YAMAHA_Mounter</v>
      </c>
      <c r="AS2388" s="22">
        <f t="shared" si="708"/>
        <v>7</v>
      </c>
      <c r="AT2388" s="24" t="str">
        <f t="shared" si="709"/>
        <v>&gt; 6 months</v>
      </c>
    </row>
    <row r="2389" spans="1:46" s="12" customFormat="1">
      <c r="A2389" s="33" t="str">
        <f t="shared" si="697"/>
        <v>FY 21/22</v>
      </c>
      <c r="B2389" s="152">
        <v>2021</v>
      </c>
      <c r="C2389" s="152">
        <v>11</v>
      </c>
      <c r="D2389" s="33" t="str">
        <f t="shared" si="698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699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0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1"/>
        <v>607171</v>
      </c>
      <c r="AA2389" s="13">
        <v>1.175</v>
      </c>
      <c r="AB2389" s="21">
        <f t="shared" si="701"/>
        <v>631350.37610619469</v>
      </c>
      <c r="AC2389" s="130">
        <f t="shared" si="702"/>
        <v>117494.30499336282</v>
      </c>
      <c r="AD2389" s="169">
        <v>0.18609999999999999</v>
      </c>
      <c r="AE2389" s="154">
        <f t="shared" si="703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3"/>
        <v>35682787.057522126</v>
      </c>
      <c r="AJ2389" s="19">
        <f t="shared" si="714"/>
        <v>5833368.3789623892</v>
      </c>
      <c r="AK2389" s="20">
        <f t="shared" si="704"/>
        <v>0.16347849649632912</v>
      </c>
      <c r="AL2389" s="17"/>
      <c r="AM2389" s="17"/>
      <c r="AN2389" s="17"/>
      <c r="AO2389" s="17"/>
      <c r="AP2389" s="28" t="str">
        <f t="shared" si="705"/>
        <v>20226</v>
      </c>
      <c r="AQ2389" s="28" t="str">
        <f t="shared" si="706"/>
        <v>20226RMB</v>
      </c>
      <c r="AR2389" s="206" t="str">
        <f t="shared" si="707"/>
        <v>YAMAHA_Mounter</v>
      </c>
      <c r="AS2389" s="22">
        <f t="shared" si="708"/>
        <v>7</v>
      </c>
      <c r="AT2389" s="24" t="str">
        <f t="shared" si="709"/>
        <v>&gt; 6 months</v>
      </c>
    </row>
    <row r="2390" spans="1:46" s="12" customFormat="1">
      <c r="A2390" s="33" t="str">
        <f t="shared" si="697"/>
        <v>FY 22/23</v>
      </c>
      <c r="B2390" s="152">
        <v>2022</v>
      </c>
      <c r="C2390" s="152">
        <v>4</v>
      </c>
      <c r="D2390" s="33" t="str">
        <f t="shared" si="698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699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si="700"/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1"/>
        <v>12800000</v>
      </c>
      <c r="AA2390" s="13">
        <v>5.8700000000000002E-2</v>
      </c>
      <c r="AB2390" s="21">
        <f t="shared" si="701"/>
        <v>751360</v>
      </c>
      <c r="AC2390" s="130">
        <f t="shared" si="702"/>
        <v>76788.991999999998</v>
      </c>
      <c r="AD2390" s="169">
        <v>0.1022</v>
      </c>
      <c r="AE2390" s="154">
        <f t="shared" si="703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3"/>
        <v>36480247.665929198</v>
      </c>
      <c r="AJ2390" s="19">
        <f t="shared" si="714"/>
        <v>5330996.6372757526</v>
      </c>
      <c r="AK2390" s="20">
        <f t="shared" si="704"/>
        <v>0.14613378412599562</v>
      </c>
      <c r="AL2390" s="17"/>
      <c r="AM2390" s="17"/>
      <c r="AN2390" s="17"/>
      <c r="AO2390" s="17"/>
      <c r="AP2390" s="28" t="str">
        <f t="shared" si="705"/>
        <v>20227</v>
      </c>
      <c r="AQ2390" s="28" t="str">
        <f t="shared" si="706"/>
        <v>20227JPY</v>
      </c>
      <c r="AR2390" s="206" t="str">
        <f t="shared" si="707"/>
        <v>YAMAHA_Mounter</v>
      </c>
      <c r="AS2390" s="22">
        <f t="shared" si="708"/>
        <v>3</v>
      </c>
      <c r="AT2390" s="24" t="str">
        <f t="shared" si="709"/>
        <v>0-3 months</v>
      </c>
    </row>
    <row r="2391" spans="1:46" s="12" customFormat="1">
      <c r="A2391" s="33" t="str">
        <f t="shared" si="697"/>
        <v>FY 23/24</v>
      </c>
      <c r="B2391" s="23">
        <v>2024</v>
      </c>
      <c r="C2391" s="152">
        <v>1</v>
      </c>
      <c r="D2391" s="33" t="str">
        <f t="shared" si="698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699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0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1"/>
        <v>12000000</v>
      </c>
      <c r="AA2391" s="22">
        <v>5.6300000000000003E-2</v>
      </c>
      <c r="AB2391" s="21">
        <f t="shared" si="701"/>
        <v>675600</v>
      </c>
      <c r="AC2391" s="25">
        <f t="shared" si="702"/>
        <v>68640.959999999992</v>
      </c>
      <c r="AD2391" s="169">
        <v>0.1016</v>
      </c>
      <c r="AE2391" s="26">
        <f t="shared" si="703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3"/>
        <v>21575119.674336284</v>
      </c>
      <c r="AJ2391" s="27">
        <f t="shared" si="714"/>
        <v>2556656.3801490259</v>
      </c>
      <c r="AK2391" s="28">
        <f t="shared" si="704"/>
        <v>0.1185002177851269</v>
      </c>
      <c r="AL2391" s="24"/>
      <c r="AM2391" s="24"/>
      <c r="AN2391" s="24"/>
      <c r="AO2391" s="24"/>
      <c r="AP2391" s="28" t="str">
        <f t="shared" si="705"/>
        <v>20241</v>
      </c>
      <c r="AQ2391" s="28" t="str">
        <f t="shared" si="706"/>
        <v>20241JPY</v>
      </c>
      <c r="AR2391" s="206" t="str">
        <f t="shared" si="707"/>
        <v>YAMAHA_Mounter</v>
      </c>
      <c r="AS2391" s="22">
        <f t="shared" si="708"/>
        <v>0</v>
      </c>
      <c r="AT2391" s="24" t="str">
        <f t="shared" si="709"/>
        <v>0-3 months</v>
      </c>
    </row>
    <row r="2392" spans="1:46" s="12" customFormat="1">
      <c r="A2392" s="33" t="str">
        <f t="shared" si="697"/>
        <v>FY 18/19</v>
      </c>
      <c r="B2392" s="152">
        <v>2018</v>
      </c>
      <c r="C2392" s="152">
        <v>4</v>
      </c>
      <c r="D2392" s="33" t="str">
        <f t="shared" si="698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699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0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1"/>
        <v>17580000</v>
      </c>
      <c r="AA2392" s="13">
        <v>7.22E-2</v>
      </c>
      <c r="AB2392" s="21">
        <f t="shared" si="701"/>
        <v>1269276</v>
      </c>
      <c r="AC2392" s="130">
        <f t="shared" si="702"/>
        <v>160055.70359999998</v>
      </c>
      <c r="AD2392" s="169">
        <v>0.12609999999999999</v>
      </c>
      <c r="AE2392" s="154">
        <f t="shared" si="703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3"/>
        <v>29946107.503386207</v>
      </c>
      <c r="AJ2392" s="19">
        <f t="shared" si="714"/>
        <v>3987206.4954923098</v>
      </c>
      <c r="AK2392" s="20">
        <f t="shared" si="704"/>
        <v>0.13314606898547499</v>
      </c>
      <c r="AL2392" s="17"/>
      <c r="AM2392" s="17"/>
      <c r="AN2392" s="17"/>
      <c r="AO2392" s="17"/>
      <c r="AP2392" s="28" t="str">
        <f t="shared" si="705"/>
        <v>20187</v>
      </c>
      <c r="AQ2392" s="28" t="str">
        <f t="shared" si="706"/>
        <v>20187JPY</v>
      </c>
      <c r="AR2392" s="206" t="str">
        <f t="shared" si="707"/>
        <v>YAMAHA_Mounter</v>
      </c>
      <c r="AS2392" s="22">
        <f t="shared" si="708"/>
        <v>3</v>
      </c>
      <c r="AT2392" s="24" t="str">
        <f t="shared" si="709"/>
        <v>0-3 months</v>
      </c>
    </row>
    <row r="2393" spans="1:46" s="12" customFormat="1">
      <c r="A2393" s="33" t="str">
        <f t="shared" si="697"/>
        <v>FY 17/18</v>
      </c>
      <c r="B2393" s="152">
        <v>2017</v>
      </c>
      <c r="C2393" s="152">
        <v>11</v>
      </c>
      <c r="D2393" s="33" t="str">
        <f t="shared" si="698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699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0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1"/>
        <v>21176000</v>
      </c>
      <c r="AA2393" s="13">
        <v>7.22E-2</v>
      </c>
      <c r="AB2393" s="21">
        <f t="shared" si="701"/>
        <v>1528907.2</v>
      </c>
      <c r="AC2393" s="130">
        <f t="shared" si="702"/>
        <v>142035.47887999998</v>
      </c>
      <c r="AD2393" s="169">
        <v>9.2899999999999996E-2</v>
      </c>
      <c r="AE2393" s="154">
        <f t="shared" si="703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3"/>
        <v>29946107.503386207</v>
      </c>
      <c r="AJ2393" s="19">
        <f t="shared" si="714"/>
        <v>3987206.4954923098</v>
      </c>
      <c r="AK2393" s="20">
        <f t="shared" si="704"/>
        <v>0.13314606898547499</v>
      </c>
      <c r="AL2393" s="17"/>
      <c r="AM2393" s="17"/>
      <c r="AN2393" s="17"/>
      <c r="AO2393" s="17"/>
      <c r="AP2393" s="28" t="str">
        <f t="shared" si="705"/>
        <v>20187</v>
      </c>
      <c r="AQ2393" s="28" t="str">
        <f t="shared" si="706"/>
        <v>20187JPY</v>
      </c>
      <c r="AR2393" s="206" t="str">
        <f t="shared" si="707"/>
        <v>YAMAHA_Mounter</v>
      </c>
      <c r="AS2393" s="22">
        <f t="shared" si="708"/>
        <v>8</v>
      </c>
      <c r="AT2393" s="24" t="str">
        <f t="shared" si="709"/>
        <v>&gt; 6 months</v>
      </c>
    </row>
    <row r="2394" spans="1:46" s="12" customFormat="1">
      <c r="A2394" s="33" t="str">
        <f t="shared" si="697"/>
        <v>FY 17/18</v>
      </c>
      <c r="B2394" s="152">
        <v>2017</v>
      </c>
      <c r="C2394" s="152">
        <v>11</v>
      </c>
      <c r="D2394" s="33" t="str">
        <f t="shared" si="698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699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0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1"/>
        <v>31764000</v>
      </c>
      <c r="AA2394" s="13">
        <v>7.0300000000000001E-2</v>
      </c>
      <c r="AB2394" s="21">
        <f t="shared" si="701"/>
        <v>2233009.2000000002</v>
      </c>
      <c r="AC2394" s="130">
        <f t="shared" si="702"/>
        <v>267961.10399999999</v>
      </c>
      <c r="AD2394" s="169">
        <v>0.12</v>
      </c>
      <c r="AE2394" s="154">
        <f t="shared" si="703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3"/>
        <v>13250187.062905986</v>
      </c>
      <c r="AJ2394" s="19">
        <f t="shared" si="714"/>
        <v>1545643.7555487182</v>
      </c>
      <c r="AK2394" s="20">
        <f t="shared" si="704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05"/>
        <v>20183</v>
      </c>
      <c r="AQ2394" s="28" t="str">
        <f t="shared" si="706"/>
        <v>20183JPY</v>
      </c>
      <c r="AR2394" s="206" t="str">
        <f t="shared" si="707"/>
        <v>YAMAHA_Mounter</v>
      </c>
      <c r="AS2394" s="22">
        <f t="shared" si="708"/>
        <v>4</v>
      </c>
      <c r="AT2394" s="24" t="str">
        <f t="shared" si="709"/>
        <v>4-6 months</v>
      </c>
    </row>
    <row r="2395" spans="1:46" s="12" customFormat="1">
      <c r="A2395" s="33" t="str">
        <f t="shared" si="697"/>
        <v>FY 19/20</v>
      </c>
      <c r="B2395" s="152">
        <v>2019</v>
      </c>
      <c r="C2395" s="152">
        <v>11</v>
      </c>
      <c r="D2395" s="33" t="str">
        <f t="shared" si="698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699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0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1"/>
        <v>7000000</v>
      </c>
      <c r="AA2395" s="13">
        <v>7.3499999999999996E-2</v>
      </c>
      <c r="AB2395" s="21">
        <f t="shared" si="701"/>
        <v>514500</v>
      </c>
      <c r="AC2395" s="130">
        <f t="shared" si="702"/>
        <v>68222.7</v>
      </c>
      <c r="AD2395" s="169">
        <v>0.1326</v>
      </c>
      <c r="AE2395" s="154">
        <f t="shared" si="703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3"/>
        <v>26147030.909862842</v>
      </c>
      <c r="AJ2395" s="19">
        <f t="shared" si="714"/>
        <v>2743862.8630715334</v>
      </c>
      <c r="AK2395" s="20">
        <f t="shared" si="704"/>
        <v>0.10493974908778378</v>
      </c>
      <c r="AL2395" s="17"/>
      <c r="AM2395" s="17"/>
      <c r="AN2395" s="17"/>
      <c r="AO2395" s="17"/>
      <c r="AP2395" s="28" t="str">
        <f t="shared" si="705"/>
        <v>201911</v>
      </c>
      <c r="AQ2395" s="28" t="str">
        <f t="shared" si="706"/>
        <v>201911JPY</v>
      </c>
      <c r="AR2395" s="206" t="str">
        <f t="shared" si="707"/>
        <v>YAMAHA_Mounter</v>
      </c>
      <c r="AS2395" s="22">
        <f t="shared" si="708"/>
        <v>0</v>
      </c>
      <c r="AT2395" s="24" t="str">
        <f t="shared" si="709"/>
        <v>0-3 months</v>
      </c>
    </row>
    <row r="2396" spans="1:46" s="12" customFormat="1">
      <c r="A2396" s="33" t="str">
        <f t="shared" si="697"/>
        <v>FY 19/20</v>
      </c>
      <c r="B2396" s="152">
        <v>2019</v>
      </c>
      <c r="C2396" s="152">
        <v>11</v>
      </c>
      <c r="D2396" s="33" t="str">
        <f t="shared" si="698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699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0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1"/>
        <v>7000000</v>
      </c>
      <c r="AA2396" s="13">
        <v>7.3499999999999996E-2</v>
      </c>
      <c r="AB2396" s="21">
        <f t="shared" si="701"/>
        <v>514500</v>
      </c>
      <c r="AC2396" s="130">
        <f t="shared" si="702"/>
        <v>68222.7</v>
      </c>
      <c r="AD2396" s="169">
        <v>0.1326</v>
      </c>
      <c r="AE2396" s="154">
        <f t="shared" si="703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3"/>
        <v>26147030.909862842</v>
      </c>
      <c r="AJ2396" s="19">
        <f t="shared" si="714"/>
        <v>2743862.8630715334</v>
      </c>
      <c r="AK2396" s="20">
        <f t="shared" si="704"/>
        <v>0.10493974908778378</v>
      </c>
      <c r="AL2396" s="17"/>
      <c r="AM2396" s="17"/>
      <c r="AN2396" s="17"/>
      <c r="AO2396" s="17"/>
      <c r="AP2396" s="28" t="str">
        <f t="shared" si="705"/>
        <v>201911</v>
      </c>
      <c r="AQ2396" s="28" t="str">
        <f t="shared" si="706"/>
        <v>201911JPY</v>
      </c>
      <c r="AR2396" s="206" t="str">
        <f t="shared" si="707"/>
        <v>YAMAHA_Mounter</v>
      </c>
      <c r="AS2396" s="22">
        <f t="shared" si="708"/>
        <v>0</v>
      </c>
      <c r="AT2396" s="24" t="str">
        <f t="shared" si="709"/>
        <v>0-3 months</v>
      </c>
    </row>
    <row r="2397" spans="1:46" s="12" customFormat="1">
      <c r="A2397" s="33" t="str">
        <f t="shared" si="697"/>
        <v>FY 21/22</v>
      </c>
      <c r="B2397" s="152">
        <v>2022</v>
      </c>
      <c r="C2397" s="152">
        <v>3</v>
      </c>
      <c r="D2397" s="33" t="str">
        <f t="shared" si="698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699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0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16">IF(W2397="RMB","1.13", "1")</f>
        <v>1</v>
      </c>
      <c r="Z2397" s="18">
        <f t="shared" si="711"/>
        <v>13500000</v>
      </c>
      <c r="AA2397" s="13">
        <v>6.25E-2</v>
      </c>
      <c r="AB2397" s="21">
        <f t="shared" si="701"/>
        <v>843750</v>
      </c>
      <c r="AC2397" s="130">
        <f t="shared" si="702"/>
        <v>143859.375</v>
      </c>
      <c r="AD2397" s="169">
        <v>0.17050000000000001</v>
      </c>
      <c r="AE2397" s="154">
        <f t="shared" si="703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3"/>
        <v>35682787.057522126</v>
      </c>
      <c r="AJ2397" s="19">
        <f t="shared" si="714"/>
        <v>5833368.3789623892</v>
      </c>
      <c r="AK2397" s="20">
        <f t="shared" si="704"/>
        <v>0.16347849649632912</v>
      </c>
      <c r="AL2397" s="17"/>
      <c r="AM2397" s="17"/>
      <c r="AN2397" s="17"/>
      <c r="AO2397" s="17"/>
      <c r="AP2397" s="28" t="str">
        <f t="shared" si="705"/>
        <v>20226</v>
      </c>
      <c r="AQ2397" s="28" t="str">
        <f t="shared" si="706"/>
        <v>20226JPY</v>
      </c>
      <c r="AR2397" s="206" t="str">
        <f t="shared" si="707"/>
        <v>YAMAHA_Mounter</v>
      </c>
      <c r="AS2397" s="22">
        <f t="shared" si="708"/>
        <v>3</v>
      </c>
      <c r="AT2397" s="24" t="str">
        <f t="shared" si="709"/>
        <v>0-3 months</v>
      </c>
    </row>
    <row r="2398" spans="1:46" s="12" customFormat="1">
      <c r="A2398" s="33" t="str">
        <f t="shared" si="697"/>
        <v>FY 21/22</v>
      </c>
      <c r="B2398" s="152">
        <v>2022</v>
      </c>
      <c r="C2398" s="152">
        <v>3</v>
      </c>
      <c r="D2398" s="33" t="str">
        <f t="shared" si="698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699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0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16"/>
        <v>1</v>
      </c>
      <c r="Z2398" s="18">
        <f t="shared" si="711"/>
        <v>10500000</v>
      </c>
      <c r="AA2398" s="13">
        <v>6.25E-2</v>
      </c>
      <c r="AB2398" s="21">
        <f t="shared" si="701"/>
        <v>656250</v>
      </c>
      <c r="AC2398" s="130">
        <f t="shared" si="702"/>
        <v>111890.62500000001</v>
      </c>
      <c r="AD2398" s="169">
        <v>0.17050000000000001</v>
      </c>
      <c r="AE2398" s="154">
        <f t="shared" si="703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3"/>
        <v>35682787.057522126</v>
      </c>
      <c r="AJ2398" s="19">
        <f t="shared" si="714"/>
        <v>5833368.3789623892</v>
      </c>
      <c r="AK2398" s="20">
        <f t="shared" si="704"/>
        <v>0.16347849649632912</v>
      </c>
      <c r="AL2398" s="17"/>
      <c r="AM2398" s="17"/>
      <c r="AN2398" s="17"/>
      <c r="AO2398" s="17"/>
      <c r="AP2398" s="28" t="str">
        <f t="shared" si="705"/>
        <v>20226</v>
      </c>
      <c r="AQ2398" s="28" t="str">
        <f t="shared" si="706"/>
        <v>20226JPY</v>
      </c>
      <c r="AR2398" s="206" t="str">
        <f t="shared" si="707"/>
        <v>YAMAHA_Mounter</v>
      </c>
      <c r="AS2398" s="22">
        <f t="shared" si="708"/>
        <v>3</v>
      </c>
      <c r="AT2398" s="24" t="str">
        <f t="shared" si="709"/>
        <v>0-3 months</v>
      </c>
    </row>
    <row r="2399" spans="1:46" s="12" customFormat="1">
      <c r="A2399" s="33" t="str">
        <f t="shared" si="697"/>
        <v>FY 21/22</v>
      </c>
      <c r="B2399" s="152">
        <v>2022</v>
      </c>
      <c r="C2399" s="152">
        <v>3</v>
      </c>
      <c r="D2399" s="33" t="str">
        <f t="shared" si="698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699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0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16"/>
        <v>1</v>
      </c>
      <c r="Z2399" s="18">
        <f t="shared" si="711"/>
        <v>10500000</v>
      </c>
      <c r="AA2399" s="13">
        <v>6.25E-2</v>
      </c>
      <c r="AB2399" s="21">
        <f t="shared" si="701"/>
        <v>656250</v>
      </c>
      <c r="AC2399" s="130">
        <f t="shared" si="702"/>
        <v>111890.62500000001</v>
      </c>
      <c r="AD2399" s="169">
        <v>0.17050000000000001</v>
      </c>
      <c r="AE2399" s="154">
        <f t="shared" si="703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3"/>
        <v>35682787.057522126</v>
      </c>
      <c r="AJ2399" s="19">
        <f t="shared" si="714"/>
        <v>5833368.3789623892</v>
      </c>
      <c r="AK2399" s="20">
        <f t="shared" si="704"/>
        <v>0.16347849649632912</v>
      </c>
      <c r="AL2399" s="17"/>
      <c r="AM2399" s="17"/>
      <c r="AN2399" s="17"/>
      <c r="AO2399" s="17"/>
      <c r="AP2399" s="28" t="str">
        <f t="shared" si="705"/>
        <v>20226</v>
      </c>
      <c r="AQ2399" s="28" t="str">
        <f t="shared" si="706"/>
        <v>20226JPY</v>
      </c>
      <c r="AR2399" s="206" t="str">
        <f t="shared" si="707"/>
        <v>YAMAHA_Mounter</v>
      </c>
      <c r="AS2399" s="22">
        <f t="shared" si="708"/>
        <v>3</v>
      </c>
      <c r="AT2399" s="24" t="str">
        <f t="shared" si="709"/>
        <v>0-3 months</v>
      </c>
    </row>
    <row r="2400" spans="1:46" s="12" customFormat="1">
      <c r="A2400" s="33" t="str">
        <f t="shared" ref="A2400:A2463" si="717">IF(C2400="cancel","cancel",IFERROR(IF(D2400="Q4","FY "&amp;RIGHT(B2400,2)-1&amp;"/"&amp;RIGHT(B2400,2),"FY "&amp;RIGHT(B2400,2)&amp;"/"&amp;RIGHT(B2400,2)+1),""))</f>
        <v>FY 20/21</v>
      </c>
      <c r="B2400" s="152">
        <v>2021</v>
      </c>
      <c r="C2400" s="152">
        <v>3</v>
      </c>
      <c r="D2400" s="33" t="str">
        <f t="shared" ref="D2400:D2463" si="718">IF(B2400="","",IF(AND(C2400&gt;=10,C2400&lt;=12),"Q3",IF(AND(C2400&gt;=1,C2400&lt;=3),"Q4",IF(AND(C2400&gt;=7,C2400&lt;=9),"Q2",IF(AND(C2400&gt;=4,C2400&lt;=6),"Q1")))))</f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ref="I2400:I2463" si="719">IFERROR(IF(F2400="","",IF(F2400="TBA","TBA",IF(F2400="Cancel","Cancel",IF(AND(G2400&gt;=10,G2400&lt;=12),"Q3",IF(AND(G2400&gt;=1,G2400&lt;=3),"Q4",IF(AND(G2400&gt;=7,G2400&lt;=9),"Q2",IF(AND(G2400&gt;=4,G2400&lt;=6),"Q1"))))))),"")</f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ref="P2400:P2463" si="720">IF(M2400="","",IF(AND(N2400&gt;0,L2400&lt;&gt;""),"MAIN UNIT",IF(AND(O2400&gt;0,L2400&lt;&gt;""),"SERVICE/ PARTS","C66 SERVICE/OTHERS")))</f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16"/>
        <v>1</v>
      </c>
      <c r="Z2400" s="18">
        <f t="shared" si="711"/>
        <v>8350000</v>
      </c>
      <c r="AA2400" s="13">
        <v>7.2800000000000004E-2</v>
      </c>
      <c r="AB2400" s="21">
        <f t="shared" ref="AB2400:AB2463" si="721">IF(AND(R2400&lt;&gt;"C66",R2400&lt;&gt;""),Z2400/Y2400*AA2400,"")</f>
        <v>607880</v>
      </c>
      <c r="AC2400" s="130">
        <f t="shared" ref="AC2400:AC2463" si="722">IF(R2400&lt;&gt;"",AB2400*AD2400,"")</f>
        <v>70392.504000000001</v>
      </c>
      <c r="AD2400" s="169">
        <v>0.1158</v>
      </c>
      <c r="AE2400" s="154">
        <f t="shared" ref="AE2400:AE2463" si="723">IF(Q2400="","",IF(Q2400="Yes",1,0))</f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3"/>
        <v>63006605.696460173</v>
      </c>
      <c r="AJ2400" s="19">
        <f t="shared" si="714"/>
        <v>8897485.660753984</v>
      </c>
      <c r="AK2400" s="20">
        <f t="shared" ref="AK2400:AK2463" si="724">IF(AJ2400&gt;0,AJ2400/AI2400,"")</f>
        <v>0.141215124388995</v>
      </c>
      <c r="AL2400" s="17"/>
      <c r="AM2400" s="17"/>
      <c r="AN2400" s="17"/>
      <c r="AO2400" s="17"/>
      <c r="AP2400" s="28" t="str">
        <f t="shared" ref="AP2400:AP2463" si="725">IF(F2400="","",F2400&amp;G2400)</f>
        <v>20215</v>
      </c>
      <c r="AQ2400" s="28" t="str">
        <f t="shared" ref="AQ2400:AQ2463" si="726">IF(W2400="","",F2400&amp;G2400&amp;W2400)</f>
        <v>20215JPY</v>
      </c>
      <c r="AR2400" s="206" t="str">
        <f t="shared" ref="AR2400:AR2463" si="727">IFERROR(IF(AND(M2400="YAMAHA", R2400="C28"), "YAMAHA_Non_Mounter", IF(AND(M2400="YAMAHA", R2400="C49"), "YAMAHA_Mounter", M2400)),"")</f>
        <v>YAMAHA_Mounter</v>
      </c>
      <c r="AS2400" s="22">
        <f t="shared" ref="AS2400:AS2463" si="728">IFERROR(IF(OR(G2400="TBA", G2400=""), "", DATEDIF(DATE(B2400, C2400, 1), DATE(F2400, G2400, 1), "M")),"")</f>
        <v>2</v>
      </c>
      <c r="AT2400" s="24" t="str">
        <f t="shared" ref="AT2400:AT2463" si="729">IF(ISNUMBER(AS2400), IF(AS2400&gt;=0, IF(AS2400&lt;=3, "0-3 months", IF(AS2400&lt;=6, "4-6 months", "&gt; 6 months"))), "")</f>
        <v>0-3 months</v>
      </c>
    </row>
    <row r="2401" spans="1:46" s="12" customFormat="1">
      <c r="A2401" s="33" t="str">
        <f t="shared" si="717"/>
        <v>FY 21/22</v>
      </c>
      <c r="B2401" s="152">
        <v>2021</v>
      </c>
      <c r="C2401" s="152">
        <v>12</v>
      </c>
      <c r="D2401" s="33" t="str">
        <f t="shared" si="718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19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16"/>
        <v>1.13</v>
      </c>
      <c r="Z2401" s="18">
        <f t="shared" si="711"/>
        <v>1250000</v>
      </c>
      <c r="AA2401" s="13">
        <v>1.2150000000000001</v>
      </c>
      <c r="AB2401" s="21">
        <f t="shared" si="721"/>
        <v>1344026.5486725664</v>
      </c>
      <c r="AC2401" s="130">
        <f t="shared" si="722"/>
        <v>94081.858407079664</v>
      </c>
      <c r="AD2401" s="169">
        <v>7.0000000000000007E-2</v>
      </c>
      <c r="AE2401" s="154">
        <f t="shared" si="723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3"/>
        <v>25380121.402654871</v>
      </c>
      <c r="AJ2401" s="19">
        <f t="shared" si="714"/>
        <v>3850343.1237796471</v>
      </c>
      <c r="AK2401" s="20">
        <f t="shared" si="724"/>
        <v>0.1517070412191521</v>
      </c>
      <c r="AL2401" s="17"/>
      <c r="AM2401" s="17"/>
      <c r="AN2401" s="17"/>
      <c r="AO2401" s="17"/>
      <c r="AP2401" s="28" t="str">
        <f t="shared" si="725"/>
        <v>202112</v>
      </c>
      <c r="AQ2401" s="28" t="str">
        <f t="shared" si="726"/>
        <v>202112RMB</v>
      </c>
      <c r="AR2401" s="206" t="str">
        <f t="shared" si="727"/>
        <v>YAMAHA_Mounter</v>
      </c>
      <c r="AS2401" s="22">
        <f t="shared" si="728"/>
        <v>0</v>
      </c>
      <c r="AT2401" s="24" t="str">
        <f t="shared" si="729"/>
        <v>0-3 months</v>
      </c>
    </row>
    <row r="2402" spans="1:46" s="12" customFormat="1">
      <c r="A2402" s="33" t="str">
        <f t="shared" si="717"/>
        <v>FY 20/21</v>
      </c>
      <c r="B2402" s="152">
        <v>2021</v>
      </c>
      <c r="C2402" s="152">
        <v>3</v>
      </c>
      <c r="D2402" s="33" t="str">
        <f t="shared" si="718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19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16"/>
        <v>1</v>
      </c>
      <c r="Z2402" s="18">
        <f t="shared" si="711"/>
        <v>8350000</v>
      </c>
      <c r="AA2402" s="13">
        <v>5.8700000000000002E-2</v>
      </c>
      <c r="AB2402" s="21">
        <f t="shared" si="721"/>
        <v>490145</v>
      </c>
      <c r="AC2402" s="130">
        <f t="shared" si="722"/>
        <v>56758.790999999997</v>
      </c>
      <c r="AD2402" s="169">
        <v>0.1158</v>
      </c>
      <c r="AE2402" s="154">
        <f t="shared" si="723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3"/>
        <v>36480247.665929198</v>
      </c>
      <c r="AJ2402" s="19">
        <f t="shared" si="714"/>
        <v>5330996.6372757526</v>
      </c>
      <c r="AK2402" s="20">
        <f t="shared" si="724"/>
        <v>0.14613378412599562</v>
      </c>
      <c r="AL2402" s="17"/>
      <c r="AM2402" s="17"/>
      <c r="AN2402" s="17"/>
      <c r="AO2402" s="17"/>
      <c r="AP2402" s="28" t="str">
        <f t="shared" si="725"/>
        <v>20227</v>
      </c>
      <c r="AQ2402" s="28" t="str">
        <f t="shared" si="726"/>
        <v>20227JPY</v>
      </c>
      <c r="AR2402" s="206" t="str">
        <f t="shared" si="727"/>
        <v>YAMAHA_Mounter</v>
      </c>
      <c r="AS2402" s="22">
        <f t="shared" si="728"/>
        <v>16</v>
      </c>
      <c r="AT2402" s="24" t="str">
        <f t="shared" si="729"/>
        <v>&gt; 6 months</v>
      </c>
    </row>
    <row r="2403" spans="1:46" s="12" customFormat="1">
      <c r="A2403" s="33" t="str">
        <f t="shared" si="717"/>
        <v>FY 23/24</v>
      </c>
      <c r="B2403" s="152">
        <v>2023</v>
      </c>
      <c r="C2403" s="152">
        <v>10</v>
      </c>
      <c r="D2403" s="33" t="str">
        <f t="shared" si="718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19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1"/>
        <v>15000000</v>
      </c>
      <c r="AA2403" s="13">
        <v>5.3400000000000003E-2</v>
      </c>
      <c r="AB2403" s="21">
        <f t="shared" si="721"/>
        <v>801000</v>
      </c>
      <c r="AC2403" s="130">
        <f t="shared" si="722"/>
        <v>92034.900000000009</v>
      </c>
      <c r="AD2403" s="169">
        <v>0.1149</v>
      </c>
      <c r="AE2403" s="154">
        <f t="shared" si="723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3"/>
        <v>5219988.5752212387</v>
      </c>
      <c r="AJ2403" s="19">
        <f t="shared" si="714"/>
        <v>631627.0013460177</v>
      </c>
      <c r="AK2403" s="20">
        <f t="shared" si="724"/>
        <v>0.12100160608478869</v>
      </c>
      <c r="AL2403" s="17"/>
      <c r="AM2403" s="17"/>
      <c r="AN2403" s="17"/>
      <c r="AO2403" s="17"/>
      <c r="AP2403" s="28" t="str">
        <f t="shared" si="725"/>
        <v>202310</v>
      </c>
      <c r="AQ2403" s="28" t="str">
        <f t="shared" si="726"/>
        <v>202310JPY</v>
      </c>
      <c r="AR2403" s="206" t="str">
        <f t="shared" si="727"/>
        <v>YAMAHA_Mounter</v>
      </c>
      <c r="AS2403" s="22">
        <f t="shared" si="728"/>
        <v>0</v>
      </c>
      <c r="AT2403" s="24" t="str">
        <f t="shared" si="729"/>
        <v>0-3 months</v>
      </c>
    </row>
    <row r="2404" spans="1:46" s="12" customFormat="1">
      <c r="A2404" s="33" t="str">
        <f t="shared" si="717"/>
        <v>FY 24/25</v>
      </c>
      <c r="B2404" s="23">
        <v>2024</v>
      </c>
      <c r="C2404" s="152">
        <v>4</v>
      </c>
      <c r="D2404" s="33" t="str">
        <f t="shared" si="718"/>
        <v>Q1</v>
      </c>
      <c r="E2404" s="33" t="str">
        <f>IF(G2404="Cancel","Cancel",IF(G2404="TBA","TBA",IFERROR(IF(I2404="Q4","FY "&amp;RIGHT(F2404,2)-1&amp;"/"&amp;RIGHT(F2404,2),"FY "&amp;RIGHT(F2404,2)&amp;"/"&amp;RIGHT(F2404,2)+1),"")))</f>
        <v>FY 24/25</v>
      </c>
      <c r="F2404" s="23">
        <v>2024</v>
      </c>
      <c r="G2404" s="23">
        <v>8</v>
      </c>
      <c r="H2404" s="29"/>
      <c r="I2404" s="33" t="str">
        <f t="shared" si="719"/>
        <v>Q2</v>
      </c>
      <c r="J2404" s="188" t="s">
        <v>3415</v>
      </c>
      <c r="K2404" s="29" t="s">
        <v>1449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13" t="s">
        <v>62</v>
      </c>
      <c r="R2404" s="22" t="s">
        <v>63</v>
      </c>
      <c r="S2404" s="22" t="s">
        <v>51</v>
      </c>
      <c r="T2404" s="22" t="s">
        <v>2375</v>
      </c>
      <c r="U2404" s="22" t="s">
        <v>71</v>
      </c>
      <c r="V2404" s="22" t="s">
        <v>2124</v>
      </c>
      <c r="W2404" s="22" t="s">
        <v>110</v>
      </c>
      <c r="X2404" s="30">
        <v>7923395</v>
      </c>
      <c r="Y2404" s="31" t="str">
        <f>IF(W2404="","",IF(W2404="RMB","1.13", "1"))</f>
        <v>1</v>
      </c>
      <c r="Z2404" s="18">
        <f t="shared" si="711"/>
        <v>7923395</v>
      </c>
      <c r="AA2404" s="22">
        <v>5.2299999999999999E-2</v>
      </c>
      <c r="AB2404" s="21">
        <f t="shared" si="721"/>
        <v>414393.55849999998</v>
      </c>
      <c r="AC2404" s="25">
        <f t="shared" si="722"/>
        <v>27640.050351949998</v>
      </c>
      <c r="AD2404" s="170">
        <v>6.6699999999999995E-2</v>
      </c>
      <c r="AE2404" s="26">
        <f t="shared" si="723"/>
        <v>0</v>
      </c>
      <c r="AF2404" s="26" t="str">
        <f>IF(AND(COUNTIFS($J$18:J2404,J2404)=1,AE2404=1),1,"")</f>
        <v/>
      </c>
      <c r="AG2404" s="26" t="str">
        <f>IF(C2404="","",IF(AND(COUNTIFS($J$18:J2404,J2404)=1,C2404&lt;&gt;""),1,""))</f>
        <v/>
      </c>
      <c r="AH2404" s="26" t="str">
        <f>IF(G2404="","",IF(AND(COUNTIFS($J$18:J2404,J2404)=1,G2404&lt;&gt;""),1,""))</f>
        <v/>
      </c>
      <c r="AI2404" s="27">
        <f t="shared" si="713"/>
        <v>25354039.366920356</v>
      </c>
      <c r="AJ2404" s="27">
        <f t="shared" si="714"/>
        <v>3027878.5311884549</v>
      </c>
      <c r="AK2404" s="28">
        <f t="shared" si="724"/>
        <v>0.11942391061910851</v>
      </c>
      <c r="AL2404" s="24"/>
      <c r="AM2404" s="24"/>
      <c r="AN2404" s="24"/>
      <c r="AO2404" s="24"/>
      <c r="AP2404" s="28" t="str">
        <f t="shared" si="725"/>
        <v>20248</v>
      </c>
      <c r="AQ2404" s="28" t="str">
        <f t="shared" si="726"/>
        <v>20248JPY</v>
      </c>
      <c r="AR2404" s="206" t="str">
        <f t="shared" si="727"/>
        <v>YAMAHA_Mounter</v>
      </c>
      <c r="AS2404" s="22">
        <f t="shared" si="728"/>
        <v>4</v>
      </c>
      <c r="AT2404" s="24" t="str">
        <f t="shared" si="729"/>
        <v>4-6 months</v>
      </c>
    </row>
    <row r="2405" spans="1:46" s="12" customFormat="1">
      <c r="A2405" s="33" t="str">
        <f t="shared" si="717"/>
        <v>FY 18/19</v>
      </c>
      <c r="B2405" s="152">
        <v>2018</v>
      </c>
      <c r="C2405" s="152">
        <v>4</v>
      </c>
      <c r="D2405" s="33" t="str">
        <f t="shared" si="718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19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1"/>
        <v>9330000</v>
      </c>
      <c r="AA2405" s="13">
        <v>7.3599999999999999E-2</v>
      </c>
      <c r="AB2405" s="21">
        <f t="shared" si="721"/>
        <v>686688</v>
      </c>
      <c r="AC2405" s="130">
        <f t="shared" si="722"/>
        <v>113166.18240000001</v>
      </c>
      <c r="AD2405" s="169">
        <v>0.1648</v>
      </c>
      <c r="AE2405" s="154">
        <f t="shared" si="723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3"/>
        <v>24398045.86045352</v>
      </c>
      <c r="AJ2405" s="19">
        <f t="shared" si="714"/>
        <v>3478417.4064663448</v>
      </c>
      <c r="AK2405" s="20">
        <f t="shared" si="724"/>
        <v>0.14256950849102498</v>
      </c>
      <c r="AL2405" s="17"/>
      <c r="AM2405" s="17"/>
      <c r="AN2405" s="17"/>
      <c r="AO2405" s="17"/>
      <c r="AP2405" s="28" t="str">
        <f t="shared" si="725"/>
        <v>20186</v>
      </c>
      <c r="AQ2405" s="28" t="str">
        <f t="shared" si="726"/>
        <v>20186JPY</v>
      </c>
      <c r="AR2405" s="206" t="str">
        <f t="shared" si="727"/>
        <v>YAMAHA_Mounter</v>
      </c>
      <c r="AS2405" s="22">
        <f t="shared" si="728"/>
        <v>2</v>
      </c>
      <c r="AT2405" s="24" t="str">
        <f t="shared" si="729"/>
        <v>0-3 months</v>
      </c>
    </row>
    <row r="2406" spans="1:46" s="12" customFormat="1">
      <c r="A2406" s="33" t="str">
        <f t="shared" si="717"/>
        <v>FY 20/21</v>
      </c>
      <c r="B2406" s="152">
        <v>2020</v>
      </c>
      <c r="C2406" s="152">
        <v>8</v>
      </c>
      <c r="D2406" s="33" t="str">
        <f t="shared" si="718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19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1"/>
        <v>78997</v>
      </c>
      <c r="AA2406" s="13">
        <v>7.8</v>
      </c>
      <c r="AB2406" s="21">
        <f t="shared" si="721"/>
        <v>616176.6</v>
      </c>
      <c r="AC2406" s="130">
        <f t="shared" si="722"/>
        <v>133895.17517999999</v>
      </c>
      <c r="AD2406" s="169">
        <v>0.21729999999999999</v>
      </c>
      <c r="AE2406" s="154">
        <f t="shared" si="723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3"/>
        <v>44078731.611185849</v>
      </c>
      <c r="AJ2406" s="19">
        <f t="shared" si="714"/>
        <v>5508173.2163771465</v>
      </c>
      <c r="AK2406" s="20">
        <f t="shared" si="724"/>
        <v>0.12496215328889679</v>
      </c>
      <c r="AL2406" s="17"/>
      <c r="AM2406" s="17"/>
      <c r="AN2406" s="17"/>
      <c r="AO2406" s="17"/>
      <c r="AP2406" s="28" t="str">
        <f t="shared" si="725"/>
        <v>202011</v>
      </c>
      <c r="AQ2406" s="28" t="str">
        <f t="shared" si="726"/>
        <v>202011USD</v>
      </c>
      <c r="AR2406" s="206" t="str">
        <f t="shared" si="727"/>
        <v>YAMAHA_Mounter</v>
      </c>
      <c r="AS2406" s="22">
        <f t="shared" si="728"/>
        <v>3</v>
      </c>
      <c r="AT2406" s="24" t="str">
        <f t="shared" si="729"/>
        <v>0-3 months</v>
      </c>
    </row>
    <row r="2407" spans="1:46" s="12" customFormat="1">
      <c r="A2407" s="33" t="str">
        <f t="shared" si="717"/>
        <v>FY 20/21</v>
      </c>
      <c r="B2407" s="152">
        <v>2020</v>
      </c>
      <c r="C2407" s="152">
        <v>12</v>
      </c>
      <c r="D2407" s="33" t="str">
        <f t="shared" si="718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19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1"/>
        <v>78997</v>
      </c>
      <c r="AA2407" s="13">
        <v>7.8</v>
      </c>
      <c r="AB2407" s="21">
        <f t="shared" si="721"/>
        <v>616176.6</v>
      </c>
      <c r="AC2407" s="130">
        <f t="shared" si="722"/>
        <v>140488.2648</v>
      </c>
      <c r="AD2407" s="169">
        <v>0.22800000000000001</v>
      </c>
      <c r="AE2407" s="154">
        <f t="shared" si="723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3"/>
        <v>57778307.282035396</v>
      </c>
      <c r="AJ2407" s="19">
        <f t="shared" si="714"/>
        <v>7259860.7225420559</v>
      </c>
      <c r="AK2407" s="20">
        <f t="shared" si="724"/>
        <v>0.12565028406083667</v>
      </c>
      <c r="AL2407" s="17"/>
      <c r="AM2407" s="17"/>
      <c r="AN2407" s="17"/>
      <c r="AO2407" s="17"/>
      <c r="AP2407" s="28" t="str">
        <f t="shared" si="725"/>
        <v>20213</v>
      </c>
      <c r="AQ2407" s="28" t="str">
        <f t="shared" si="726"/>
        <v>20213USD</v>
      </c>
      <c r="AR2407" s="206" t="str">
        <f t="shared" si="727"/>
        <v>YAMAHA_Mounter</v>
      </c>
      <c r="AS2407" s="22">
        <f t="shared" si="728"/>
        <v>3</v>
      </c>
      <c r="AT2407" s="24" t="str">
        <f t="shared" si="729"/>
        <v>0-3 months</v>
      </c>
    </row>
    <row r="2408" spans="1:46" s="12" customFormat="1">
      <c r="A2408" s="33" t="str">
        <f t="shared" si="717"/>
        <v>FY 23/24</v>
      </c>
      <c r="B2408" s="152">
        <v>2023</v>
      </c>
      <c r="C2408" s="152">
        <v>8</v>
      </c>
      <c r="D2408" s="33" t="str">
        <f t="shared" si="718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19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1"/>
        <v>60000</v>
      </c>
      <c r="AA2408" s="13">
        <v>7.8</v>
      </c>
      <c r="AB2408" s="21">
        <f t="shared" si="721"/>
        <v>468000</v>
      </c>
      <c r="AC2408" s="130">
        <f t="shared" si="722"/>
        <v>127062.00000000001</v>
      </c>
      <c r="AD2408" s="170">
        <v>0.27150000000000002</v>
      </c>
      <c r="AE2408" s="154">
        <f t="shared" si="723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3"/>
        <v>10271727.486725664</v>
      </c>
      <c r="AJ2408" s="19">
        <f t="shared" si="714"/>
        <v>1227228.7260761063</v>
      </c>
      <c r="AK2408" s="20">
        <f t="shared" si="724"/>
        <v>0.11947637120066472</v>
      </c>
      <c r="AL2408" s="17"/>
      <c r="AM2408" s="17"/>
      <c r="AN2408" s="17"/>
      <c r="AO2408" s="17"/>
      <c r="AP2408" s="28" t="str">
        <f t="shared" si="725"/>
        <v>202312</v>
      </c>
      <c r="AQ2408" s="28" t="str">
        <f t="shared" si="726"/>
        <v>202312USD</v>
      </c>
      <c r="AR2408" s="206" t="str">
        <f t="shared" si="727"/>
        <v>YAMAHA_Mounter</v>
      </c>
      <c r="AS2408" s="22">
        <f t="shared" si="728"/>
        <v>4</v>
      </c>
      <c r="AT2408" s="24" t="str">
        <f t="shared" si="729"/>
        <v>4-6 months</v>
      </c>
    </row>
    <row r="2409" spans="1:46" s="12" customFormat="1">
      <c r="A2409" s="33" t="str">
        <f t="shared" si="717"/>
        <v>FY 23/24</v>
      </c>
      <c r="B2409" s="152">
        <v>2023</v>
      </c>
      <c r="C2409" s="152">
        <v>8</v>
      </c>
      <c r="D2409" s="33" t="str">
        <f t="shared" si="718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19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1"/>
        <v>60000</v>
      </c>
      <c r="AA2409" s="13">
        <v>7.8</v>
      </c>
      <c r="AB2409" s="21">
        <f t="shared" si="721"/>
        <v>468000</v>
      </c>
      <c r="AC2409" s="130">
        <f t="shared" si="722"/>
        <v>127062.00000000001</v>
      </c>
      <c r="AD2409" s="173">
        <v>0.27150000000000002</v>
      </c>
      <c r="AE2409" s="154">
        <f t="shared" si="723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3"/>
        <v>10271727.486725664</v>
      </c>
      <c r="AJ2409" s="19">
        <f t="shared" si="714"/>
        <v>1227228.7260761063</v>
      </c>
      <c r="AK2409" s="20">
        <f t="shared" si="724"/>
        <v>0.11947637120066472</v>
      </c>
      <c r="AL2409" s="17"/>
      <c r="AM2409" s="17"/>
      <c r="AN2409" s="17"/>
      <c r="AO2409" s="17"/>
      <c r="AP2409" s="28" t="str">
        <f t="shared" si="725"/>
        <v>202312</v>
      </c>
      <c r="AQ2409" s="28" t="str">
        <f t="shared" si="726"/>
        <v>202312USD</v>
      </c>
      <c r="AR2409" s="206" t="str">
        <f t="shared" si="727"/>
        <v>YAMAHA_Mounter</v>
      </c>
      <c r="AS2409" s="22">
        <f t="shared" si="728"/>
        <v>4</v>
      </c>
      <c r="AT2409" s="24" t="str">
        <f t="shared" si="729"/>
        <v>4-6 months</v>
      </c>
    </row>
    <row r="2410" spans="1:46" s="12" customFormat="1">
      <c r="A2410" s="33" t="str">
        <f t="shared" si="717"/>
        <v>FY 23/24</v>
      </c>
      <c r="B2410" s="152">
        <v>2023</v>
      </c>
      <c r="C2410" s="152">
        <v>11</v>
      </c>
      <c r="D2410" s="33" t="str">
        <f t="shared" si="718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19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1"/>
        <v>58000</v>
      </c>
      <c r="AA2410" s="13">
        <v>7.8</v>
      </c>
      <c r="AB2410" s="21">
        <f t="shared" si="721"/>
        <v>452400</v>
      </c>
      <c r="AC2410" s="130">
        <f t="shared" si="722"/>
        <v>113688.12000000001</v>
      </c>
      <c r="AD2410" s="169">
        <v>0.25130000000000002</v>
      </c>
      <c r="AE2410" s="154">
        <f t="shared" si="723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3"/>
        <v>21575119.674336284</v>
      </c>
      <c r="AJ2410" s="19">
        <f t="shared" si="714"/>
        <v>2556656.3801490259</v>
      </c>
      <c r="AK2410" s="20">
        <f t="shared" si="724"/>
        <v>0.1185002177851269</v>
      </c>
      <c r="AL2410" s="17"/>
      <c r="AM2410" s="17"/>
      <c r="AN2410" s="17"/>
      <c r="AO2410" s="17"/>
      <c r="AP2410" s="28" t="str">
        <f t="shared" si="725"/>
        <v>20241</v>
      </c>
      <c r="AQ2410" s="28" t="str">
        <f t="shared" si="726"/>
        <v>20241USD</v>
      </c>
      <c r="AR2410" s="206" t="str">
        <f t="shared" si="727"/>
        <v>YAMAHA_Mounter</v>
      </c>
      <c r="AS2410" s="22">
        <f t="shared" si="728"/>
        <v>2</v>
      </c>
      <c r="AT2410" s="24" t="str">
        <f t="shared" si="729"/>
        <v>0-3 months</v>
      </c>
    </row>
    <row r="2411" spans="1:46" s="12" customFormat="1">
      <c r="A2411" s="33" t="str">
        <f t="shared" si="717"/>
        <v>FY 23/24</v>
      </c>
      <c r="B2411" s="152">
        <v>2023</v>
      </c>
      <c r="C2411" s="152">
        <v>11</v>
      </c>
      <c r="D2411" s="33" t="str">
        <f t="shared" si="718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19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1"/>
        <v>58000</v>
      </c>
      <c r="AA2411" s="13">
        <v>7.8</v>
      </c>
      <c r="AB2411" s="21">
        <f t="shared" si="721"/>
        <v>452400</v>
      </c>
      <c r="AC2411" s="130">
        <f t="shared" si="722"/>
        <v>113688.12000000001</v>
      </c>
      <c r="AD2411" s="169">
        <v>0.25130000000000002</v>
      </c>
      <c r="AE2411" s="154">
        <f t="shared" si="723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3"/>
        <v>21575119.674336284</v>
      </c>
      <c r="AJ2411" s="19">
        <f t="shared" si="714"/>
        <v>2556656.3801490259</v>
      </c>
      <c r="AK2411" s="20">
        <f t="shared" si="724"/>
        <v>0.1185002177851269</v>
      </c>
      <c r="AL2411" s="17"/>
      <c r="AM2411" s="17"/>
      <c r="AN2411" s="17"/>
      <c r="AO2411" s="17"/>
      <c r="AP2411" s="28" t="str">
        <f t="shared" si="725"/>
        <v>20241</v>
      </c>
      <c r="AQ2411" s="28" t="str">
        <f t="shared" si="726"/>
        <v>20241USD</v>
      </c>
      <c r="AR2411" s="206" t="str">
        <f t="shared" si="727"/>
        <v>YAMAHA_Mounter</v>
      </c>
      <c r="AS2411" s="22">
        <f t="shared" si="728"/>
        <v>2</v>
      </c>
      <c r="AT2411" s="24" t="str">
        <f t="shared" si="729"/>
        <v>0-3 months</v>
      </c>
    </row>
    <row r="2412" spans="1:46" s="12" customFormat="1">
      <c r="A2412" s="33" t="str">
        <f t="shared" si="717"/>
        <v>FY 23/24</v>
      </c>
      <c r="B2412" s="152">
        <v>2023</v>
      </c>
      <c r="C2412" s="152">
        <v>6</v>
      </c>
      <c r="D2412" s="33" t="str">
        <f t="shared" si="718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19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1"/>
        <v>58000</v>
      </c>
      <c r="AA2412" s="13">
        <v>7.8</v>
      </c>
      <c r="AB2412" s="21">
        <f t="shared" si="721"/>
        <v>452400</v>
      </c>
      <c r="AC2412" s="130">
        <f t="shared" si="722"/>
        <v>89665.68</v>
      </c>
      <c r="AD2412" s="169">
        <v>0.19819999999999999</v>
      </c>
      <c r="AE2412" s="154">
        <f t="shared" si="723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3"/>
        <v>26078226.463097349</v>
      </c>
      <c r="AJ2412" s="19">
        <f t="shared" si="714"/>
        <v>3137870.4427774516</v>
      </c>
      <c r="AK2412" s="20">
        <f t="shared" si="724"/>
        <v>0.12032530077218917</v>
      </c>
      <c r="AL2412" s="17"/>
      <c r="AM2412" s="17"/>
      <c r="AN2412" s="17"/>
      <c r="AO2412" s="17"/>
      <c r="AP2412" s="28" t="str">
        <f t="shared" si="725"/>
        <v>20239</v>
      </c>
      <c r="AQ2412" s="28" t="str">
        <f t="shared" si="726"/>
        <v>20239USD</v>
      </c>
      <c r="AR2412" s="206" t="str">
        <f t="shared" si="727"/>
        <v>YAMAHA_Mounter</v>
      </c>
      <c r="AS2412" s="22">
        <f t="shared" si="728"/>
        <v>3</v>
      </c>
      <c r="AT2412" s="24" t="str">
        <f t="shared" si="729"/>
        <v>0-3 months</v>
      </c>
    </row>
    <row r="2413" spans="1:46" s="12" customFormat="1">
      <c r="A2413" s="33" t="str">
        <f t="shared" si="717"/>
        <v>FY 23/24</v>
      </c>
      <c r="B2413" s="152">
        <v>2023</v>
      </c>
      <c r="C2413" s="152">
        <v>12</v>
      </c>
      <c r="D2413" s="33" t="str">
        <f t="shared" si="718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19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30">IF(W2413="","",IF(W2413="RMB","1.13", "1"))</f>
        <v>1</v>
      </c>
      <c r="Z2413" s="18">
        <f t="shared" si="711"/>
        <v>58000</v>
      </c>
      <c r="AA2413" s="13">
        <v>7.8</v>
      </c>
      <c r="AB2413" s="21">
        <f t="shared" si="721"/>
        <v>452400</v>
      </c>
      <c r="AC2413" s="130">
        <f t="shared" si="722"/>
        <v>103147.2</v>
      </c>
      <c r="AD2413" s="169">
        <v>0.22800000000000001</v>
      </c>
      <c r="AE2413" s="154">
        <f t="shared" si="723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3"/>
        <v>10524262.405309737</v>
      </c>
      <c r="AJ2413" s="19">
        <f t="shared" si="714"/>
        <v>1479050.9527127435</v>
      </c>
      <c r="AK2413" s="20">
        <f t="shared" si="724"/>
        <v>0.14053725532028996</v>
      </c>
      <c r="AL2413" s="17"/>
      <c r="AM2413" s="17"/>
      <c r="AN2413" s="17"/>
      <c r="AO2413" s="17"/>
      <c r="AP2413" s="28" t="str">
        <f t="shared" si="725"/>
        <v>20242</v>
      </c>
      <c r="AQ2413" s="28" t="str">
        <f t="shared" si="726"/>
        <v>20242USD</v>
      </c>
      <c r="AR2413" s="206" t="str">
        <f t="shared" si="727"/>
        <v>YAMAHA_Mounter</v>
      </c>
      <c r="AS2413" s="22">
        <f t="shared" si="728"/>
        <v>2</v>
      </c>
      <c r="AT2413" s="24" t="str">
        <f t="shared" si="729"/>
        <v>0-3 months</v>
      </c>
    </row>
    <row r="2414" spans="1:46" s="12" customFormat="1">
      <c r="A2414" s="33" t="str">
        <f t="shared" si="717"/>
        <v>FY 23/24</v>
      </c>
      <c r="B2414" s="152">
        <v>2023</v>
      </c>
      <c r="C2414" s="152">
        <v>12</v>
      </c>
      <c r="D2414" s="33" t="str">
        <f t="shared" si="718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19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30"/>
        <v>1</v>
      </c>
      <c r="Z2414" s="18">
        <f t="shared" si="711"/>
        <v>58000</v>
      </c>
      <c r="AA2414" s="13">
        <v>7.8</v>
      </c>
      <c r="AB2414" s="21">
        <f t="shared" si="721"/>
        <v>452400</v>
      </c>
      <c r="AC2414" s="130">
        <f t="shared" si="722"/>
        <v>103147.2</v>
      </c>
      <c r="AD2414" s="169">
        <v>0.22800000000000001</v>
      </c>
      <c r="AE2414" s="154">
        <f t="shared" si="723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3"/>
        <v>10524262.405309737</v>
      </c>
      <c r="AJ2414" s="19">
        <f t="shared" si="714"/>
        <v>1479050.9527127435</v>
      </c>
      <c r="AK2414" s="20">
        <f t="shared" si="724"/>
        <v>0.14053725532028996</v>
      </c>
      <c r="AL2414" s="17"/>
      <c r="AM2414" s="17"/>
      <c r="AN2414" s="17"/>
      <c r="AO2414" s="17"/>
      <c r="AP2414" s="28" t="str">
        <f t="shared" si="725"/>
        <v>20242</v>
      </c>
      <c r="AQ2414" s="28" t="str">
        <f t="shared" si="726"/>
        <v>20242USD</v>
      </c>
      <c r="AR2414" s="206" t="str">
        <f t="shared" si="727"/>
        <v>YAMAHA_Mounter</v>
      </c>
      <c r="AS2414" s="22">
        <f t="shared" si="728"/>
        <v>2</v>
      </c>
      <c r="AT2414" s="24" t="str">
        <f t="shared" si="729"/>
        <v>0-3 months</v>
      </c>
    </row>
    <row r="2415" spans="1:46" s="12" customFormat="1">
      <c r="A2415" s="33" t="str">
        <f t="shared" si="717"/>
        <v>FY 23/24</v>
      </c>
      <c r="B2415" s="23">
        <v>2024</v>
      </c>
      <c r="C2415" s="23">
        <v>2</v>
      </c>
      <c r="D2415" s="33" t="str">
        <f t="shared" si="718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19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30"/>
        <v>1</v>
      </c>
      <c r="Z2415" s="18">
        <f t="shared" si="711"/>
        <v>68800</v>
      </c>
      <c r="AA2415" s="22">
        <v>7.8</v>
      </c>
      <c r="AB2415" s="21">
        <f t="shared" si="721"/>
        <v>536640</v>
      </c>
      <c r="AC2415" s="25">
        <f t="shared" si="722"/>
        <v>120261.02399999999</v>
      </c>
      <c r="AD2415" s="209">
        <v>0.22409999999999999</v>
      </c>
      <c r="AE2415" s="26">
        <f t="shared" si="723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3"/>
        <v>21194662.454867262</v>
      </c>
      <c r="AJ2415" s="27">
        <f t="shared" si="714"/>
        <v>2981431.5970757701</v>
      </c>
      <c r="AK2415" s="28">
        <f t="shared" si="724"/>
        <v>0.14066898226968919</v>
      </c>
      <c r="AL2415" s="24"/>
      <c r="AM2415" s="24"/>
      <c r="AN2415" s="24"/>
      <c r="AO2415" s="24"/>
      <c r="AP2415" s="28" t="str">
        <f t="shared" si="725"/>
        <v>20243</v>
      </c>
      <c r="AQ2415" s="28" t="str">
        <f t="shared" si="726"/>
        <v>20243USD</v>
      </c>
      <c r="AR2415" s="206" t="str">
        <f t="shared" si="727"/>
        <v>YAMAHA_Mounter</v>
      </c>
      <c r="AS2415" s="22">
        <f t="shared" si="728"/>
        <v>1</v>
      </c>
      <c r="AT2415" s="24" t="str">
        <f t="shared" si="729"/>
        <v>0-3 months</v>
      </c>
    </row>
    <row r="2416" spans="1:46" s="12" customFormat="1">
      <c r="A2416" s="33" t="str">
        <f t="shared" si="717"/>
        <v>FY 23/24</v>
      </c>
      <c r="B2416" s="23">
        <v>2024</v>
      </c>
      <c r="C2416" s="23">
        <v>2</v>
      </c>
      <c r="D2416" s="33" t="str">
        <f t="shared" si="718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19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30"/>
        <v>1</v>
      </c>
      <c r="Z2416" s="18">
        <f t="shared" si="711"/>
        <v>68800</v>
      </c>
      <c r="AA2416" s="22">
        <v>7.8</v>
      </c>
      <c r="AB2416" s="21">
        <f t="shared" si="721"/>
        <v>536640</v>
      </c>
      <c r="AC2416" s="25">
        <f t="shared" si="722"/>
        <v>120261.02399999999</v>
      </c>
      <c r="AD2416" s="162">
        <v>0.22409999999999999</v>
      </c>
      <c r="AE2416" s="26">
        <f t="shared" si="723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3"/>
        <v>21194662.454867262</v>
      </c>
      <c r="AJ2416" s="27">
        <f t="shared" si="714"/>
        <v>2981431.5970757701</v>
      </c>
      <c r="AK2416" s="28">
        <f t="shared" si="724"/>
        <v>0.14066898226968919</v>
      </c>
      <c r="AL2416" s="24"/>
      <c r="AM2416" s="24"/>
      <c r="AN2416" s="24"/>
      <c r="AO2416" s="24"/>
      <c r="AP2416" s="28" t="str">
        <f t="shared" si="725"/>
        <v>20243</v>
      </c>
      <c r="AQ2416" s="28" t="str">
        <f t="shared" si="726"/>
        <v>20243USD</v>
      </c>
      <c r="AR2416" s="206" t="str">
        <f t="shared" si="727"/>
        <v>YAMAHA_Mounter</v>
      </c>
      <c r="AS2416" s="22">
        <f t="shared" si="728"/>
        <v>1</v>
      </c>
      <c r="AT2416" s="24" t="str">
        <f t="shared" si="729"/>
        <v>0-3 months</v>
      </c>
    </row>
    <row r="2417" spans="1:46" s="12" customFormat="1">
      <c r="A2417" s="33" t="str">
        <f t="shared" si="717"/>
        <v>FY 23/24</v>
      </c>
      <c r="B2417" s="23">
        <v>2024</v>
      </c>
      <c r="C2417" s="23">
        <v>2</v>
      </c>
      <c r="D2417" s="33" t="str">
        <f t="shared" si="718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19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30"/>
        <v>1</v>
      </c>
      <c r="Z2417" s="18">
        <f t="shared" si="711"/>
        <v>68800</v>
      </c>
      <c r="AA2417" s="22">
        <v>7.8</v>
      </c>
      <c r="AB2417" s="21">
        <f t="shared" si="721"/>
        <v>536640</v>
      </c>
      <c r="AC2417" s="25">
        <f t="shared" si="722"/>
        <v>126325.056</v>
      </c>
      <c r="AD2417" s="209">
        <v>0.2354</v>
      </c>
      <c r="AE2417" s="26">
        <f t="shared" si="723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3"/>
        <v>21194662.454867262</v>
      </c>
      <c r="AJ2417" s="27">
        <f t="shared" si="714"/>
        <v>2981431.5970757701</v>
      </c>
      <c r="AK2417" s="28">
        <f t="shared" si="724"/>
        <v>0.14066898226968919</v>
      </c>
      <c r="AL2417" s="24"/>
      <c r="AM2417" s="24"/>
      <c r="AN2417" s="24"/>
      <c r="AO2417" s="24"/>
      <c r="AP2417" s="28" t="str">
        <f t="shared" si="725"/>
        <v>20243</v>
      </c>
      <c r="AQ2417" s="28" t="str">
        <f t="shared" si="726"/>
        <v>20243USD</v>
      </c>
      <c r="AR2417" s="206" t="str">
        <f t="shared" si="727"/>
        <v>YAMAHA_Mounter</v>
      </c>
      <c r="AS2417" s="22">
        <f t="shared" si="728"/>
        <v>1</v>
      </c>
      <c r="AT2417" s="24" t="str">
        <f t="shared" si="729"/>
        <v>0-3 months</v>
      </c>
    </row>
    <row r="2418" spans="1:46" s="12" customFormat="1">
      <c r="A2418" s="33" t="str">
        <f t="shared" si="717"/>
        <v>FY 23/24</v>
      </c>
      <c r="B2418" s="23">
        <v>2024</v>
      </c>
      <c r="C2418" s="152">
        <v>1</v>
      </c>
      <c r="D2418" s="33" t="str">
        <f t="shared" si="718"/>
        <v>Q4</v>
      </c>
      <c r="E2418" s="33" t="s">
        <v>3173</v>
      </c>
      <c r="F2418" s="152">
        <v>2024</v>
      </c>
      <c r="G2418" s="152">
        <v>4</v>
      </c>
      <c r="H2418" s="29"/>
      <c r="I2418" s="33" t="str">
        <f t="shared" si="719"/>
        <v>Q1</v>
      </c>
      <c r="J2418" s="188" t="s">
        <v>3183</v>
      </c>
      <c r="K2418" s="29" t="s">
        <v>1315</v>
      </c>
      <c r="L2418" s="17" t="s">
        <v>68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13" t="s">
        <v>62</v>
      </c>
      <c r="R2418" s="22" t="s">
        <v>63</v>
      </c>
      <c r="S2418" s="22" t="s">
        <v>50</v>
      </c>
      <c r="T2418" s="22" t="s">
        <v>1072</v>
      </c>
      <c r="U2418" s="22" t="s">
        <v>2111</v>
      </c>
      <c r="V2418" s="22" t="s">
        <v>81</v>
      </c>
      <c r="W2418" s="22" t="s">
        <v>902</v>
      </c>
      <c r="X2418" s="30">
        <v>60000</v>
      </c>
      <c r="Y2418" s="31" t="str">
        <f t="shared" si="730"/>
        <v>1</v>
      </c>
      <c r="Z2418" s="18">
        <f t="shared" si="711"/>
        <v>60000</v>
      </c>
      <c r="AA2418" s="22">
        <v>7.8</v>
      </c>
      <c r="AB2418" s="21">
        <f t="shared" si="721"/>
        <v>468000</v>
      </c>
      <c r="AC2418" s="25">
        <f t="shared" si="722"/>
        <v>151632</v>
      </c>
      <c r="AD2418" s="169">
        <v>0.32400000000000001</v>
      </c>
      <c r="AE2418" s="26">
        <f t="shared" si="723"/>
        <v>0</v>
      </c>
      <c r="AF2418" s="26" t="str">
        <f>IF(AND(COUNTIFS($J$18:J2418,J2418)=1,AE2418=1),1,"")</f>
        <v/>
      </c>
      <c r="AG2418" s="26">
        <f>IF(C2418="","",IF(AND(COUNTIFS($J$18:J2418,J2418)=1,C2418&lt;&gt;""),1,""))</f>
        <v>1</v>
      </c>
      <c r="AH2418" s="26">
        <f>IF(G2418="","",IF(AND(COUNTIFS($J$18:J2418,J2418)=1,G2418&lt;&gt;""),1,""))</f>
        <v>1</v>
      </c>
      <c r="AI2418" s="27">
        <f t="shared" si="713"/>
        <v>20319282.700884953</v>
      </c>
      <c r="AJ2418" s="27">
        <f t="shared" si="714"/>
        <v>2408851.9638623013</v>
      </c>
      <c r="AK2418" s="28">
        <f t="shared" si="724"/>
        <v>0.11855004919821259</v>
      </c>
      <c r="AL2418" s="24"/>
      <c r="AM2418" s="24"/>
      <c r="AN2418" s="24"/>
      <c r="AO2418" s="24"/>
      <c r="AP2418" s="28" t="str">
        <f t="shared" si="725"/>
        <v>20244</v>
      </c>
      <c r="AQ2418" s="28" t="str">
        <f t="shared" si="726"/>
        <v>20244USD</v>
      </c>
      <c r="AR2418" s="206" t="str">
        <f t="shared" si="727"/>
        <v>YAMAHA_Mounter</v>
      </c>
      <c r="AS2418" s="22">
        <f t="shared" si="728"/>
        <v>3</v>
      </c>
      <c r="AT2418" s="24" t="str">
        <f t="shared" si="729"/>
        <v>0-3 months</v>
      </c>
    </row>
    <row r="2419" spans="1:46" s="12" customFormat="1">
      <c r="A2419" s="33" t="str">
        <f t="shared" si="717"/>
        <v>FY 23/24</v>
      </c>
      <c r="B2419" s="23">
        <v>2024</v>
      </c>
      <c r="C2419" s="152">
        <v>1</v>
      </c>
      <c r="D2419" s="33" t="str">
        <f t="shared" si="718"/>
        <v>Q4</v>
      </c>
      <c r="E2419" s="33" t="s">
        <v>3173</v>
      </c>
      <c r="F2419" s="152">
        <v>2024</v>
      </c>
      <c r="G2419" s="152">
        <v>4</v>
      </c>
      <c r="H2419" s="29"/>
      <c r="I2419" s="33" t="str">
        <f t="shared" si="719"/>
        <v>Q1</v>
      </c>
      <c r="J2419" s="188" t="s">
        <v>3183</v>
      </c>
      <c r="K2419" s="29" t="s">
        <v>1315</v>
      </c>
      <c r="L2419" s="17" t="s">
        <v>68</v>
      </c>
      <c r="M2419" s="22" t="s">
        <v>61</v>
      </c>
      <c r="N2419" s="22">
        <v>1</v>
      </c>
      <c r="O2419" s="22"/>
      <c r="P2419" s="33" t="str">
        <f t="shared" si="720"/>
        <v>MAIN UNIT</v>
      </c>
      <c r="Q2419" s="13" t="s">
        <v>62</v>
      </c>
      <c r="R2419" s="22" t="s">
        <v>63</v>
      </c>
      <c r="S2419" s="22" t="s">
        <v>50</v>
      </c>
      <c r="T2419" s="22" t="s">
        <v>1072</v>
      </c>
      <c r="U2419" s="22" t="s">
        <v>2111</v>
      </c>
      <c r="V2419" s="22" t="s">
        <v>81</v>
      </c>
      <c r="W2419" s="22" t="s">
        <v>902</v>
      </c>
      <c r="X2419" s="30">
        <v>60000</v>
      </c>
      <c r="Y2419" s="31" t="str">
        <f t="shared" si="730"/>
        <v>1</v>
      </c>
      <c r="Z2419" s="18">
        <f t="shared" si="711"/>
        <v>60000</v>
      </c>
      <c r="AA2419" s="22">
        <v>7.8</v>
      </c>
      <c r="AB2419" s="21">
        <f t="shared" si="721"/>
        <v>468000</v>
      </c>
      <c r="AC2419" s="25">
        <f t="shared" si="722"/>
        <v>151632</v>
      </c>
      <c r="AD2419" s="169">
        <v>0.32400000000000001</v>
      </c>
      <c r="AE2419" s="26">
        <f t="shared" si="723"/>
        <v>0</v>
      </c>
      <c r="AF2419" s="26" t="str">
        <f>IF(AND(COUNTIFS($J$18:J2419,J2419)=1,AE2419=1),1,"")</f>
        <v/>
      </c>
      <c r="AG2419" s="26" t="str">
        <f>IF(C2419="","",IF(AND(COUNTIFS($J$18:J2419,J2419)=1,C2419&lt;&gt;""),1,""))</f>
        <v/>
      </c>
      <c r="AH2419" s="26" t="str">
        <f>IF(G2419="","",IF(AND(COUNTIFS($J$18:J2419,J2419)=1,G2419&lt;&gt;""),1,""))</f>
        <v/>
      </c>
      <c r="AI2419" s="27">
        <f t="shared" si="713"/>
        <v>20319282.700884953</v>
      </c>
      <c r="AJ2419" s="27">
        <f t="shared" si="714"/>
        <v>2408851.9638623013</v>
      </c>
      <c r="AK2419" s="28">
        <f t="shared" si="724"/>
        <v>0.11855004919821259</v>
      </c>
      <c r="AL2419" s="24"/>
      <c r="AM2419" s="24"/>
      <c r="AN2419" s="24"/>
      <c r="AO2419" s="24"/>
      <c r="AP2419" s="28" t="str">
        <f t="shared" si="725"/>
        <v>20244</v>
      </c>
      <c r="AQ2419" s="28" t="str">
        <f t="shared" si="726"/>
        <v>20244USD</v>
      </c>
      <c r="AR2419" s="206" t="str">
        <f t="shared" si="727"/>
        <v>YAMAHA_Mounter</v>
      </c>
      <c r="AS2419" s="22">
        <f t="shared" si="728"/>
        <v>3</v>
      </c>
      <c r="AT2419" s="24" t="str">
        <f t="shared" si="729"/>
        <v>0-3 months</v>
      </c>
    </row>
    <row r="2420" spans="1:46" s="12" customFormat="1">
      <c r="A2420" s="33" t="str">
        <f t="shared" si="717"/>
        <v>FY 21/22</v>
      </c>
      <c r="B2420" s="152">
        <v>2021</v>
      </c>
      <c r="C2420" s="152">
        <v>10</v>
      </c>
      <c r="D2420" s="33" t="str">
        <f t="shared" si="718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19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1"/>
        <v>670000</v>
      </c>
      <c r="AA2420" s="13">
        <v>1.22</v>
      </c>
      <c r="AB2420" s="21">
        <f t="shared" si="721"/>
        <v>723362.83185840712</v>
      </c>
      <c r="AC2420" s="130">
        <f t="shared" si="722"/>
        <v>175053.80530973451</v>
      </c>
      <c r="AD2420" s="169">
        <v>0.24199999999999999</v>
      </c>
      <c r="AE2420" s="154">
        <f t="shared" si="723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3"/>
        <v>28726768.133805312</v>
      </c>
      <c r="AJ2420" s="19">
        <f t="shared" si="714"/>
        <v>3853638.1988864429</v>
      </c>
      <c r="AK2420" s="20">
        <f t="shared" si="724"/>
        <v>0.1341479898099476</v>
      </c>
      <c r="AL2420" s="17"/>
      <c r="AM2420" s="17"/>
      <c r="AN2420" s="17"/>
      <c r="AO2420" s="17"/>
      <c r="AP2420" s="28" t="str">
        <f t="shared" si="725"/>
        <v>20223</v>
      </c>
      <c r="AQ2420" s="28" t="str">
        <f t="shared" si="726"/>
        <v>20223RMB</v>
      </c>
      <c r="AR2420" s="206" t="str">
        <f t="shared" si="727"/>
        <v>YAMAHA_Mounter</v>
      </c>
      <c r="AS2420" s="22">
        <f t="shared" si="728"/>
        <v>5</v>
      </c>
      <c r="AT2420" s="24" t="str">
        <f t="shared" si="729"/>
        <v>4-6 months</v>
      </c>
    </row>
    <row r="2421" spans="1:46" s="12" customFormat="1">
      <c r="A2421" s="33" t="str">
        <f t="shared" si="717"/>
        <v>FY 17/18</v>
      </c>
      <c r="B2421" s="152">
        <v>2018</v>
      </c>
      <c r="C2421" s="152">
        <v>2</v>
      </c>
      <c r="D2421" s="33" t="str">
        <f t="shared" si="718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19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1"/>
        <v>1080000</v>
      </c>
      <c r="AA2421" s="13">
        <v>1.23</v>
      </c>
      <c r="AB2421" s="21">
        <f t="shared" si="721"/>
        <v>1135384.6153846155</v>
      </c>
      <c r="AC2421" s="130">
        <f t="shared" si="722"/>
        <v>174054.46153846153</v>
      </c>
      <c r="AD2421" s="169">
        <v>0.15329999999999999</v>
      </c>
      <c r="AE2421" s="154">
        <f t="shared" si="723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3"/>
        <v>34109166.105589926</v>
      </c>
      <c r="AJ2421" s="19">
        <f t="shared" si="714"/>
        <v>4642032.7199573703</v>
      </c>
      <c r="AK2421" s="20">
        <f t="shared" si="724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25"/>
        <v>20185</v>
      </c>
      <c r="AQ2421" s="28" t="str">
        <f t="shared" si="726"/>
        <v>20185RMB</v>
      </c>
      <c r="AR2421" s="206" t="str">
        <f t="shared" si="727"/>
        <v>HELLER</v>
      </c>
      <c r="AS2421" s="22">
        <f t="shared" si="728"/>
        <v>3</v>
      </c>
      <c r="AT2421" s="24" t="str">
        <f t="shared" si="729"/>
        <v>0-3 months</v>
      </c>
    </row>
    <row r="2422" spans="1:46" s="12" customFormat="1">
      <c r="A2422" s="33" t="str">
        <f t="shared" si="717"/>
        <v>FY 19/20</v>
      </c>
      <c r="B2422" s="152">
        <v>2019</v>
      </c>
      <c r="C2422" s="152">
        <v>5</v>
      </c>
      <c r="D2422" s="33" t="str">
        <f t="shared" si="718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19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1"/>
        <v>13000000</v>
      </c>
      <c r="AA2422" s="13">
        <v>7.3499999999999996E-2</v>
      </c>
      <c r="AB2422" s="21">
        <f t="shared" si="721"/>
        <v>955500</v>
      </c>
      <c r="AC2422" s="130">
        <f t="shared" si="722"/>
        <v>135298.80000000002</v>
      </c>
      <c r="AD2422" s="169">
        <v>0.1416</v>
      </c>
      <c r="AE2422" s="154">
        <f t="shared" si="723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3"/>
        <v>21386017.707964607</v>
      </c>
      <c r="AJ2422" s="19">
        <f t="shared" si="714"/>
        <v>2238764.3265707968</v>
      </c>
      <c r="AK2422" s="20">
        <f t="shared" si="724"/>
        <v>0.10468355339185161</v>
      </c>
      <c r="AL2422" s="17"/>
      <c r="AM2422" s="17"/>
      <c r="AN2422" s="17"/>
      <c r="AO2422" s="17"/>
      <c r="AP2422" s="28" t="str">
        <f t="shared" si="725"/>
        <v>20198</v>
      </c>
      <c r="AQ2422" s="28" t="str">
        <f t="shared" si="726"/>
        <v>20198JPY</v>
      </c>
      <c r="AR2422" s="206" t="str">
        <f t="shared" si="727"/>
        <v>YAMAHA_Mounter</v>
      </c>
      <c r="AS2422" s="22">
        <f t="shared" si="728"/>
        <v>3</v>
      </c>
      <c r="AT2422" s="24" t="str">
        <f t="shared" si="729"/>
        <v>0-3 months</v>
      </c>
    </row>
    <row r="2423" spans="1:46" s="12" customFormat="1">
      <c r="A2423" s="33" t="str">
        <f t="shared" si="717"/>
        <v>FY 19/20</v>
      </c>
      <c r="B2423" s="152">
        <v>2019</v>
      </c>
      <c r="C2423" s="152">
        <v>5</v>
      </c>
      <c r="D2423" s="33" t="str">
        <f t="shared" si="718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19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1"/>
        <v>20000000</v>
      </c>
      <c r="AA2423" s="13">
        <v>7.3499999999999996E-2</v>
      </c>
      <c r="AB2423" s="21">
        <f t="shared" si="721"/>
        <v>1470000</v>
      </c>
      <c r="AC2423" s="130">
        <f t="shared" si="722"/>
        <v>208152</v>
      </c>
      <c r="AD2423" s="169">
        <v>0.1416</v>
      </c>
      <c r="AE2423" s="154">
        <f t="shared" si="723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3"/>
        <v>21386017.707964607</v>
      </c>
      <c r="AJ2423" s="19">
        <f t="shared" si="714"/>
        <v>2238764.3265707968</v>
      </c>
      <c r="AK2423" s="20">
        <f t="shared" si="724"/>
        <v>0.10468355339185161</v>
      </c>
      <c r="AL2423" s="17"/>
      <c r="AM2423" s="17"/>
      <c r="AN2423" s="17"/>
      <c r="AO2423" s="17"/>
      <c r="AP2423" s="28" t="str">
        <f t="shared" si="725"/>
        <v>20198</v>
      </c>
      <c r="AQ2423" s="28" t="str">
        <f t="shared" si="726"/>
        <v>20198JPY</v>
      </c>
      <c r="AR2423" s="206" t="str">
        <f t="shared" si="727"/>
        <v>YAMAHA_Mounter</v>
      </c>
      <c r="AS2423" s="22">
        <f t="shared" si="728"/>
        <v>3</v>
      </c>
      <c r="AT2423" s="24" t="str">
        <f t="shared" si="729"/>
        <v>0-3 months</v>
      </c>
    </row>
    <row r="2424" spans="1:46" s="12" customFormat="1">
      <c r="A2424" s="33" t="str">
        <f t="shared" si="717"/>
        <v>FY 19/20</v>
      </c>
      <c r="B2424" s="152">
        <v>2019</v>
      </c>
      <c r="C2424" s="152">
        <v>5</v>
      </c>
      <c r="D2424" s="33" t="str">
        <f t="shared" si="718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19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1"/>
        <v>11200000</v>
      </c>
      <c r="AA2424" s="13">
        <v>7.5200000000000003E-2</v>
      </c>
      <c r="AB2424" s="21">
        <f t="shared" si="721"/>
        <v>842240</v>
      </c>
      <c r="AC2424" s="130">
        <f t="shared" si="722"/>
        <v>127262.46400000001</v>
      </c>
      <c r="AD2424" s="169">
        <v>0.15110000000000001</v>
      </c>
      <c r="AE2424" s="154">
        <f t="shared" si="723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3"/>
        <v>37599388.802345134</v>
      </c>
      <c r="AJ2424" s="19">
        <f t="shared" si="714"/>
        <v>4866784.3630338367</v>
      </c>
      <c r="AK2424" s="20">
        <f t="shared" si="724"/>
        <v>0.12943785838163113</v>
      </c>
      <c r="AL2424" s="17"/>
      <c r="AM2424" s="17"/>
      <c r="AN2424" s="17"/>
      <c r="AO2424" s="17"/>
      <c r="AP2424" s="28" t="str">
        <f t="shared" si="725"/>
        <v>20199</v>
      </c>
      <c r="AQ2424" s="28" t="str">
        <f t="shared" si="726"/>
        <v>20199JPY</v>
      </c>
      <c r="AR2424" s="206" t="str">
        <f t="shared" si="727"/>
        <v>YAMAHA_Mounter</v>
      </c>
      <c r="AS2424" s="22">
        <f t="shared" si="728"/>
        <v>4</v>
      </c>
      <c r="AT2424" s="24" t="str">
        <f t="shared" si="729"/>
        <v>4-6 months</v>
      </c>
    </row>
    <row r="2425" spans="1:46" s="12" customFormat="1">
      <c r="A2425" s="33" t="str">
        <f t="shared" si="717"/>
        <v>FY 18/19</v>
      </c>
      <c r="B2425" s="152">
        <v>2018</v>
      </c>
      <c r="C2425" s="152">
        <v>4</v>
      </c>
      <c r="D2425" s="33" t="str">
        <f t="shared" si="718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19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1"/>
        <v>508000</v>
      </c>
      <c r="AA2425" s="13">
        <v>1.23</v>
      </c>
      <c r="AB2425" s="21">
        <f t="shared" si="721"/>
        <v>534051.282051282</v>
      </c>
      <c r="AC2425" s="130">
        <f t="shared" si="722"/>
        <v>62323.784615384611</v>
      </c>
      <c r="AD2425" s="169">
        <v>0.1167</v>
      </c>
      <c r="AE2425" s="154">
        <f t="shared" si="723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3"/>
        <v>29288201.603076916</v>
      </c>
      <c r="AJ2425" s="19">
        <f t="shared" si="714"/>
        <v>3870159.1769246152</v>
      </c>
      <c r="AK2425" s="20">
        <f t="shared" si="724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25"/>
        <v>20184</v>
      </c>
      <c r="AQ2425" s="28" t="str">
        <f t="shared" si="726"/>
        <v>20184RMB</v>
      </c>
      <c r="AR2425" s="206" t="str">
        <f t="shared" si="727"/>
        <v>YAMAHA_Mounter</v>
      </c>
      <c r="AS2425" s="22">
        <f t="shared" si="728"/>
        <v>0</v>
      </c>
      <c r="AT2425" s="24" t="str">
        <f t="shared" si="729"/>
        <v>0-3 months</v>
      </c>
    </row>
    <row r="2426" spans="1:46" s="12" customFormat="1">
      <c r="A2426" s="33" t="str">
        <f t="shared" si="717"/>
        <v>FY 19/20</v>
      </c>
      <c r="B2426" s="152">
        <v>2019</v>
      </c>
      <c r="C2426" s="152">
        <v>9</v>
      </c>
      <c r="D2426" s="33" t="str">
        <f t="shared" si="718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19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1"/>
        <v>515000</v>
      </c>
      <c r="AA2426" s="13">
        <v>1.095</v>
      </c>
      <c r="AB2426" s="21">
        <f t="shared" si="721"/>
        <v>499048.67256637168</v>
      </c>
      <c r="AC2426" s="130">
        <f t="shared" si="722"/>
        <v>63628.705752212387</v>
      </c>
      <c r="AD2426" s="169">
        <v>0.1275</v>
      </c>
      <c r="AE2426" s="154">
        <f t="shared" si="723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3"/>
        <v>28647263.974455759</v>
      </c>
      <c r="AJ2426" s="19">
        <f t="shared" si="714"/>
        <v>3219855.6912513468</v>
      </c>
      <c r="AK2426" s="20">
        <f t="shared" si="724"/>
        <v>0.11239662168514358</v>
      </c>
      <c r="AL2426" s="17"/>
      <c r="AM2426" s="17"/>
      <c r="AN2426" s="17"/>
      <c r="AO2426" s="17"/>
      <c r="AP2426" s="28" t="str">
        <f t="shared" si="725"/>
        <v>201910</v>
      </c>
      <c r="AQ2426" s="28" t="str">
        <f t="shared" si="726"/>
        <v>201910RMB</v>
      </c>
      <c r="AR2426" s="206" t="str">
        <f t="shared" si="727"/>
        <v>YAMAHA_Mounter</v>
      </c>
      <c r="AS2426" s="22">
        <f t="shared" si="728"/>
        <v>1</v>
      </c>
      <c r="AT2426" s="24" t="str">
        <f t="shared" si="729"/>
        <v>0-3 months</v>
      </c>
    </row>
    <row r="2427" spans="1:46" s="12" customFormat="1">
      <c r="A2427" s="33" t="str">
        <f t="shared" si="717"/>
        <v>FY 19/20</v>
      </c>
      <c r="B2427" s="152">
        <v>2019</v>
      </c>
      <c r="C2427" s="152">
        <v>6</v>
      </c>
      <c r="D2427" s="33" t="str">
        <f t="shared" si="718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19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1"/>
        <v>11022500</v>
      </c>
      <c r="AA2427" s="13">
        <v>7.3999999999999996E-2</v>
      </c>
      <c r="AB2427" s="21">
        <f t="shared" si="721"/>
        <v>815665</v>
      </c>
      <c r="AC2427" s="130">
        <f t="shared" si="722"/>
        <v>62398.372499999998</v>
      </c>
      <c r="AD2427" s="169">
        <v>7.6499999999999999E-2</v>
      </c>
      <c r="AE2427" s="154">
        <f t="shared" si="723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3"/>
        <v>34015877.71150443</v>
      </c>
      <c r="AJ2427" s="19">
        <f t="shared" si="714"/>
        <v>4446292.375441948</v>
      </c>
      <c r="AK2427" s="20">
        <f t="shared" si="724"/>
        <v>0.13071226364205143</v>
      </c>
      <c r="AL2427" s="17"/>
      <c r="AM2427" s="17"/>
      <c r="AN2427" s="17"/>
      <c r="AO2427" s="17"/>
      <c r="AP2427" s="28" t="str">
        <f t="shared" si="725"/>
        <v>20197</v>
      </c>
      <c r="AQ2427" s="28" t="str">
        <f t="shared" si="726"/>
        <v>20197JPY</v>
      </c>
      <c r="AR2427" s="206" t="str">
        <f t="shared" si="727"/>
        <v>YAMAHA_Mounter</v>
      </c>
      <c r="AS2427" s="22">
        <f t="shared" si="728"/>
        <v>1</v>
      </c>
      <c r="AT2427" s="24" t="str">
        <f t="shared" si="729"/>
        <v>0-3 months</v>
      </c>
    </row>
    <row r="2428" spans="1:46" s="12" customFormat="1">
      <c r="A2428" s="33" t="str">
        <f t="shared" si="717"/>
        <v>FY 19/20</v>
      </c>
      <c r="B2428" s="152">
        <v>2019</v>
      </c>
      <c r="C2428" s="152">
        <v>6</v>
      </c>
      <c r="D2428" s="33" t="str">
        <f t="shared" si="718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19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ref="Z2428:Z2475" si="731">IF(X2428="","",X2428*MAX(O2428,N2428))</f>
        <v>9000000</v>
      </c>
      <c r="AA2428" s="13">
        <v>7.3999999999999996E-2</v>
      </c>
      <c r="AB2428" s="21">
        <f t="shared" si="721"/>
        <v>666000</v>
      </c>
      <c r="AC2428" s="130">
        <f t="shared" si="722"/>
        <v>50949</v>
      </c>
      <c r="AD2428" s="169">
        <v>7.6499999999999999E-2</v>
      </c>
      <c r="AE2428" s="154">
        <f t="shared" si="723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3"/>
        <v>34015877.71150443</v>
      </c>
      <c r="AJ2428" s="19">
        <f t="shared" si="714"/>
        <v>4446292.375441948</v>
      </c>
      <c r="AK2428" s="20">
        <f t="shared" si="724"/>
        <v>0.13071226364205143</v>
      </c>
      <c r="AL2428" s="17"/>
      <c r="AM2428" s="17"/>
      <c r="AN2428" s="17"/>
      <c r="AO2428" s="17"/>
      <c r="AP2428" s="28" t="str">
        <f t="shared" si="725"/>
        <v>20197</v>
      </c>
      <c r="AQ2428" s="28" t="str">
        <f t="shared" si="726"/>
        <v>20197JPY</v>
      </c>
      <c r="AR2428" s="206" t="str">
        <f t="shared" si="727"/>
        <v>YAMAHA_Mounter</v>
      </c>
      <c r="AS2428" s="22">
        <f t="shared" si="728"/>
        <v>1</v>
      </c>
      <c r="AT2428" s="24" t="str">
        <f t="shared" si="729"/>
        <v>0-3 months</v>
      </c>
    </row>
    <row r="2429" spans="1:46" s="12" customFormat="1">
      <c r="A2429" s="33" t="str">
        <f t="shared" si="717"/>
        <v>FY 19/20</v>
      </c>
      <c r="B2429" s="152">
        <v>2019</v>
      </c>
      <c r="C2429" s="152">
        <v>6</v>
      </c>
      <c r="D2429" s="33" t="str">
        <f t="shared" si="718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19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31"/>
        <v>9000000</v>
      </c>
      <c r="AA2429" s="13">
        <v>7.3999999999999996E-2</v>
      </c>
      <c r="AB2429" s="21">
        <f t="shared" si="721"/>
        <v>666000</v>
      </c>
      <c r="AC2429" s="130">
        <f t="shared" si="722"/>
        <v>50949</v>
      </c>
      <c r="AD2429" s="169">
        <v>7.6499999999999999E-2</v>
      </c>
      <c r="AE2429" s="154">
        <f t="shared" si="723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3"/>
        <v>34015877.71150443</v>
      </c>
      <c r="AJ2429" s="19">
        <f t="shared" si="714"/>
        <v>4446292.375441948</v>
      </c>
      <c r="AK2429" s="20">
        <f t="shared" si="724"/>
        <v>0.13071226364205143</v>
      </c>
      <c r="AL2429" s="17"/>
      <c r="AM2429" s="17"/>
      <c r="AN2429" s="17"/>
      <c r="AO2429" s="17"/>
      <c r="AP2429" s="28" t="str">
        <f t="shared" si="725"/>
        <v>20197</v>
      </c>
      <c r="AQ2429" s="28" t="str">
        <f t="shared" si="726"/>
        <v>20197JPY</v>
      </c>
      <c r="AR2429" s="206" t="str">
        <f t="shared" si="727"/>
        <v>YAMAHA_Mounter</v>
      </c>
      <c r="AS2429" s="22">
        <f t="shared" si="728"/>
        <v>1</v>
      </c>
      <c r="AT2429" s="24" t="str">
        <f t="shared" si="729"/>
        <v>0-3 months</v>
      </c>
    </row>
    <row r="2430" spans="1:46" s="12" customFormat="1">
      <c r="A2430" s="33" t="str">
        <f t="shared" si="717"/>
        <v>FY 19/20</v>
      </c>
      <c r="B2430" s="152">
        <v>2019</v>
      </c>
      <c r="C2430" s="152">
        <v>6</v>
      </c>
      <c r="D2430" s="33" t="str">
        <f t="shared" si="718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19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31"/>
        <v>9000000</v>
      </c>
      <c r="AA2430" s="13">
        <v>7.3999999999999996E-2</v>
      </c>
      <c r="AB2430" s="21">
        <f t="shared" si="721"/>
        <v>666000</v>
      </c>
      <c r="AC2430" s="130">
        <f t="shared" si="722"/>
        <v>50949</v>
      </c>
      <c r="AD2430" s="169">
        <v>7.6499999999999999E-2</v>
      </c>
      <c r="AE2430" s="154">
        <f t="shared" si="723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3"/>
        <v>34015877.71150443</v>
      </c>
      <c r="AJ2430" s="19">
        <f t="shared" si="714"/>
        <v>4446292.375441948</v>
      </c>
      <c r="AK2430" s="20">
        <f t="shared" si="724"/>
        <v>0.13071226364205143</v>
      </c>
      <c r="AL2430" s="17"/>
      <c r="AM2430" s="17"/>
      <c r="AN2430" s="17"/>
      <c r="AO2430" s="17"/>
      <c r="AP2430" s="28" t="str">
        <f t="shared" si="725"/>
        <v>20197</v>
      </c>
      <c r="AQ2430" s="28" t="str">
        <f t="shared" si="726"/>
        <v>20197JPY</v>
      </c>
      <c r="AR2430" s="206" t="str">
        <f t="shared" si="727"/>
        <v>YAMAHA_Mounter</v>
      </c>
      <c r="AS2430" s="22">
        <f t="shared" si="728"/>
        <v>1</v>
      </c>
      <c r="AT2430" s="24" t="str">
        <f t="shared" si="729"/>
        <v>0-3 months</v>
      </c>
    </row>
    <row r="2431" spans="1:46" s="12" customFormat="1">
      <c r="A2431" s="33" t="str">
        <f t="shared" si="717"/>
        <v>FY 19/20</v>
      </c>
      <c r="B2431" s="152">
        <v>2019</v>
      </c>
      <c r="C2431" s="152">
        <v>6</v>
      </c>
      <c r="D2431" s="33" t="str">
        <f t="shared" si="718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19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31"/>
        <v>11022500</v>
      </c>
      <c r="AA2431" s="13">
        <v>7.3999999999999996E-2</v>
      </c>
      <c r="AB2431" s="21">
        <f t="shared" si="721"/>
        <v>815665</v>
      </c>
      <c r="AC2431" s="130">
        <f t="shared" si="722"/>
        <v>62398.372499999998</v>
      </c>
      <c r="AD2431" s="169">
        <v>7.6499999999999999E-2</v>
      </c>
      <c r="AE2431" s="154">
        <f t="shared" si="723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3"/>
        <v>34015877.71150443</v>
      </c>
      <c r="AJ2431" s="19">
        <f t="shared" si="714"/>
        <v>4446292.375441948</v>
      </c>
      <c r="AK2431" s="20">
        <f t="shared" si="724"/>
        <v>0.13071226364205143</v>
      </c>
      <c r="AL2431" s="17"/>
      <c r="AM2431" s="17"/>
      <c r="AN2431" s="17"/>
      <c r="AO2431" s="17"/>
      <c r="AP2431" s="28" t="str">
        <f t="shared" si="725"/>
        <v>20197</v>
      </c>
      <c r="AQ2431" s="28" t="str">
        <f t="shared" si="726"/>
        <v>20197JPY</v>
      </c>
      <c r="AR2431" s="206" t="str">
        <f t="shared" si="727"/>
        <v>YAMAHA_Mounter</v>
      </c>
      <c r="AS2431" s="22">
        <f t="shared" si="728"/>
        <v>1</v>
      </c>
      <c r="AT2431" s="24" t="str">
        <f t="shared" si="729"/>
        <v>0-3 months</v>
      </c>
    </row>
    <row r="2432" spans="1:46" s="12" customFormat="1">
      <c r="A2432" s="33" t="str">
        <f t="shared" si="717"/>
        <v>FY 19/20</v>
      </c>
      <c r="B2432" s="152">
        <v>2020</v>
      </c>
      <c r="C2432" s="152">
        <v>3</v>
      </c>
      <c r="D2432" s="33" t="str">
        <f t="shared" si="718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19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31"/>
        <v>15100000</v>
      </c>
      <c r="AA2432" s="13">
        <v>7.3599999999999999E-2</v>
      </c>
      <c r="AB2432" s="21">
        <f t="shared" si="721"/>
        <v>1111360</v>
      </c>
      <c r="AC2432" s="130">
        <f t="shared" si="722"/>
        <v>180929.408</v>
      </c>
      <c r="AD2432" s="169">
        <v>0.1628</v>
      </c>
      <c r="AE2432" s="154">
        <f t="shared" si="723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3"/>
        <v>33477255.428389374</v>
      </c>
      <c r="AJ2432" s="19">
        <f t="shared" si="714"/>
        <v>4578663.362915583</v>
      </c>
      <c r="AK2432" s="20">
        <f t="shared" si="724"/>
        <v>0.13676937682988152</v>
      </c>
      <c r="AL2432" s="17"/>
      <c r="AM2432" s="17"/>
      <c r="AN2432" s="17"/>
      <c r="AO2432" s="17"/>
      <c r="AP2432" s="28" t="str">
        <f t="shared" si="725"/>
        <v>20204</v>
      </c>
      <c r="AQ2432" s="28" t="str">
        <f t="shared" si="726"/>
        <v>20204JPY</v>
      </c>
      <c r="AR2432" s="206" t="str">
        <f t="shared" si="727"/>
        <v>YAMAHA_Mounter</v>
      </c>
      <c r="AS2432" s="22">
        <f t="shared" si="728"/>
        <v>1</v>
      </c>
      <c r="AT2432" s="24" t="str">
        <f t="shared" si="729"/>
        <v>0-3 months</v>
      </c>
    </row>
    <row r="2433" spans="1:46" s="12" customFormat="1">
      <c r="A2433" s="33" t="str">
        <f t="shared" si="717"/>
        <v>FY 20/21</v>
      </c>
      <c r="B2433" s="152">
        <v>2020</v>
      </c>
      <c r="C2433" s="152">
        <v>7</v>
      </c>
      <c r="D2433" s="33" t="str">
        <f t="shared" si="718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19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31"/>
        <v>21400000</v>
      </c>
      <c r="AA2433" s="13">
        <v>7.3400000000000007E-2</v>
      </c>
      <c r="AB2433" s="21">
        <f t="shared" si="721"/>
        <v>1570760.0000000002</v>
      </c>
      <c r="AC2433" s="130">
        <f t="shared" si="722"/>
        <v>171212.84000000003</v>
      </c>
      <c r="AD2433" s="169">
        <v>0.109</v>
      </c>
      <c r="AE2433" s="154">
        <f t="shared" si="723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3"/>
        <v>35384300.169380538</v>
      </c>
      <c r="AJ2433" s="19">
        <f t="shared" si="714"/>
        <v>5044538.8896988509</v>
      </c>
      <c r="AK2433" s="20">
        <f t="shared" si="724"/>
        <v>0.14256432557804533</v>
      </c>
      <c r="AL2433" s="17"/>
      <c r="AM2433" s="17"/>
      <c r="AN2433" s="17"/>
      <c r="AO2433" s="17"/>
      <c r="AP2433" s="28" t="str">
        <f t="shared" si="725"/>
        <v>20207</v>
      </c>
      <c r="AQ2433" s="28" t="str">
        <f t="shared" si="726"/>
        <v>20207JPY</v>
      </c>
      <c r="AR2433" s="206" t="str">
        <f t="shared" si="727"/>
        <v>YAMAHA_Mounter</v>
      </c>
      <c r="AS2433" s="22">
        <f t="shared" si="728"/>
        <v>0</v>
      </c>
      <c r="AT2433" s="24" t="str">
        <f t="shared" si="729"/>
        <v>0-3 months</v>
      </c>
    </row>
    <row r="2434" spans="1:46" s="12" customFormat="1">
      <c r="A2434" s="33" t="str">
        <f t="shared" si="717"/>
        <v>FY 20/21</v>
      </c>
      <c r="B2434" s="152">
        <v>2020</v>
      </c>
      <c r="C2434" s="152">
        <v>7</v>
      </c>
      <c r="D2434" s="33" t="str">
        <f t="shared" si="718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19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31"/>
        <v>13000000</v>
      </c>
      <c r="AA2434" s="13">
        <v>7.4899999999999994E-2</v>
      </c>
      <c r="AB2434" s="21">
        <f t="shared" si="721"/>
        <v>973699.99999999988</v>
      </c>
      <c r="AC2434" s="130">
        <f t="shared" si="722"/>
        <v>104867.48999999999</v>
      </c>
      <c r="AD2434" s="169">
        <v>0.1077</v>
      </c>
      <c r="AE2434" s="154">
        <f t="shared" si="723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32">IF(P2434="C66 SERVICE","",SUMIFS(AB:AB,F:F,F2434,G:G,G2434,E:E,E2434))</f>
        <v>47907808.356810622</v>
      </c>
      <c r="AJ2434" s="19">
        <f t="shared" ref="AJ2434:AJ2497" si="733">IF(P2434="C66 SERVICE","",SUMIFS(AC:AC,F:F,F2434,G:G,G2434,E:E,E2434))</f>
        <v>6027384.8806384448</v>
      </c>
      <c r="AK2434" s="20">
        <f t="shared" si="724"/>
        <v>0.12581216063459488</v>
      </c>
      <c r="AL2434" s="17"/>
      <c r="AM2434" s="17"/>
      <c r="AN2434" s="17"/>
      <c r="AO2434" s="17"/>
      <c r="AP2434" s="28" t="str">
        <f t="shared" si="725"/>
        <v>20209</v>
      </c>
      <c r="AQ2434" s="28" t="str">
        <f t="shared" si="726"/>
        <v>20209JPY</v>
      </c>
      <c r="AR2434" s="206" t="str">
        <f t="shared" si="727"/>
        <v>YAMAHA_Mounter</v>
      </c>
      <c r="AS2434" s="22">
        <f t="shared" si="728"/>
        <v>2</v>
      </c>
      <c r="AT2434" s="24" t="str">
        <f t="shared" si="729"/>
        <v>0-3 months</v>
      </c>
    </row>
    <row r="2435" spans="1:46" s="12" customFormat="1">
      <c r="A2435" s="33" t="str">
        <f t="shared" si="717"/>
        <v>FY 20/21</v>
      </c>
      <c r="B2435" s="152">
        <v>2020</v>
      </c>
      <c r="C2435" s="152">
        <v>7</v>
      </c>
      <c r="D2435" s="33" t="str">
        <f t="shared" si="718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19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31"/>
        <v>13000000</v>
      </c>
      <c r="AA2435" s="13">
        <v>7.4899999999999994E-2</v>
      </c>
      <c r="AB2435" s="21">
        <f t="shared" si="721"/>
        <v>973699.99999999988</v>
      </c>
      <c r="AC2435" s="130">
        <f t="shared" si="722"/>
        <v>104867.48999999999</v>
      </c>
      <c r="AD2435" s="169">
        <v>0.1077</v>
      </c>
      <c r="AE2435" s="154">
        <f t="shared" si="723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32"/>
        <v>47907808.356810622</v>
      </c>
      <c r="AJ2435" s="19">
        <f t="shared" si="733"/>
        <v>6027384.8806384448</v>
      </c>
      <c r="AK2435" s="20">
        <f t="shared" si="724"/>
        <v>0.12581216063459488</v>
      </c>
      <c r="AL2435" s="17"/>
      <c r="AM2435" s="17"/>
      <c r="AN2435" s="17"/>
      <c r="AO2435" s="17"/>
      <c r="AP2435" s="28" t="str">
        <f t="shared" si="725"/>
        <v>20209</v>
      </c>
      <c r="AQ2435" s="28" t="str">
        <f t="shared" si="726"/>
        <v>20209JPY</v>
      </c>
      <c r="AR2435" s="206" t="str">
        <f t="shared" si="727"/>
        <v>YAMAHA_Mounter</v>
      </c>
      <c r="AS2435" s="22">
        <f t="shared" si="728"/>
        <v>2</v>
      </c>
      <c r="AT2435" s="24" t="str">
        <f t="shared" si="729"/>
        <v>0-3 months</v>
      </c>
    </row>
    <row r="2436" spans="1:46" s="12" customFormat="1">
      <c r="A2436" s="33" t="str">
        <f t="shared" si="717"/>
        <v>FY 20/21</v>
      </c>
      <c r="B2436" s="152">
        <v>2020</v>
      </c>
      <c r="C2436" s="152">
        <v>7</v>
      </c>
      <c r="D2436" s="33" t="str">
        <f t="shared" si="718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19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31"/>
        <v>9240000</v>
      </c>
      <c r="AA2436" s="13">
        <v>7.4899999999999994E-2</v>
      </c>
      <c r="AB2436" s="21">
        <f t="shared" si="721"/>
        <v>692076</v>
      </c>
      <c r="AC2436" s="130">
        <f t="shared" si="722"/>
        <v>74536.585200000001</v>
      </c>
      <c r="AD2436" s="169">
        <v>0.1077</v>
      </c>
      <c r="AE2436" s="154">
        <f t="shared" si="723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32"/>
        <v>47907808.356810622</v>
      </c>
      <c r="AJ2436" s="19">
        <f t="shared" si="733"/>
        <v>6027384.8806384448</v>
      </c>
      <c r="AK2436" s="20">
        <f t="shared" si="724"/>
        <v>0.12581216063459488</v>
      </c>
      <c r="AL2436" s="17"/>
      <c r="AM2436" s="17"/>
      <c r="AN2436" s="17"/>
      <c r="AO2436" s="17"/>
      <c r="AP2436" s="28" t="str">
        <f t="shared" si="725"/>
        <v>20209</v>
      </c>
      <c r="AQ2436" s="28" t="str">
        <f t="shared" si="726"/>
        <v>20209JPY</v>
      </c>
      <c r="AR2436" s="206" t="str">
        <f t="shared" si="727"/>
        <v>YAMAHA_Mounter</v>
      </c>
      <c r="AS2436" s="22">
        <f t="shared" si="728"/>
        <v>2</v>
      </c>
      <c r="AT2436" s="24" t="str">
        <f t="shared" si="729"/>
        <v>0-3 months</v>
      </c>
    </row>
    <row r="2437" spans="1:46" s="12" customFormat="1">
      <c r="A2437" s="33" t="str">
        <f t="shared" si="717"/>
        <v>FY 20/21</v>
      </c>
      <c r="B2437" s="152">
        <v>2020</v>
      </c>
      <c r="C2437" s="152">
        <v>7</v>
      </c>
      <c r="D2437" s="33" t="str">
        <f t="shared" si="718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19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31"/>
        <v>9240000</v>
      </c>
      <c r="AA2437" s="13">
        <v>7.4899999999999994E-2</v>
      </c>
      <c r="AB2437" s="21">
        <f t="shared" si="721"/>
        <v>692076</v>
      </c>
      <c r="AC2437" s="130">
        <f t="shared" si="722"/>
        <v>74536.585200000001</v>
      </c>
      <c r="AD2437" s="169">
        <v>0.1077</v>
      </c>
      <c r="AE2437" s="154">
        <f t="shared" si="723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32"/>
        <v>47907808.356810622</v>
      </c>
      <c r="AJ2437" s="19">
        <f t="shared" si="733"/>
        <v>6027384.8806384448</v>
      </c>
      <c r="AK2437" s="20">
        <f t="shared" si="724"/>
        <v>0.12581216063459488</v>
      </c>
      <c r="AL2437" s="17"/>
      <c r="AM2437" s="17"/>
      <c r="AN2437" s="17"/>
      <c r="AO2437" s="17"/>
      <c r="AP2437" s="28" t="str">
        <f t="shared" si="725"/>
        <v>20209</v>
      </c>
      <c r="AQ2437" s="28" t="str">
        <f t="shared" si="726"/>
        <v>20209JPY</v>
      </c>
      <c r="AR2437" s="206" t="str">
        <f t="shared" si="727"/>
        <v>YAMAHA_Mounter</v>
      </c>
      <c r="AS2437" s="22">
        <f t="shared" si="728"/>
        <v>2</v>
      </c>
      <c r="AT2437" s="24" t="str">
        <f t="shared" si="729"/>
        <v>0-3 months</v>
      </c>
    </row>
    <row r="2438" spans="1:46" s="12" customFormat="1">
      <c r="A2438" s="33" t="str">
        <f t="shared" si="717"/>
        <v>FY 20/21</v>
      </c>
      <c r="B2438" s="152">
        <v>2020</v>
      </c>
      <c r="C2438" s="152">
        <v>11</v>
      </c>
      <c r="D2438" s="33" t="str">
        <f t="shared" si="718"/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si="719"/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34">IF(W2438="RMB","1.13", "1")</f>
        <v>1</v>
      </c>
      <c r="Z2438" s="18">
        <f t="shared" si="731"/>
        <v>14760000</v>
      </c>
      <c r="AA2438" s="13">
        <v>7.6799999999999993E-2</v>
      </c>
      <c r="AB2438" s="21">
        <f t="shared" si="721"/>
        <v>1133568</v>
      </c>
      <c r="AC2438" s="130">
        <f t="shared" si="722"/>
        <v>118117.7856</v>
      </c>
      <c r="AD2438" s="169">
        <v>0.1042</v>
      </c>
      <c r="AE2438" s="154">
        <f t="shared" si="723"/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32"/>
        <v>45803245.025628321</v>
      </c>
      <c r="AJ2438" s="19">
        <f t="shared" si="733"/>
        <v>5664636.2584379362</v>
      </c>
      <c r="AK2438" s="20">
        <f t="shared" si="724"/>
        <v>0.12367325186825515</v>
      </c>
      <c r="AL2438" s="17"/>
      <c r="AM2438" s="17"/>
      <c r="AN2438" s="17"/>
      <c r="AO2438" s="17"/>
      <c r="AP2438" s="28" t="str">
        <f t="shared" si="725"/>
        <v>20211</v>
      </c>
      <c r="AQ2438" s="28" t="str">
        <f t="shared" si="726"/>
        <v>20211JPY</v>
      </c>
      <c r="AR2438" s="206" t="str">
        <f t="shared" si="727"/>
        <v>YAMAHA_Mounter</v>
      </c>
      <c r="AS2438" s="22">
        <f t="shared" si="728"/>
        <v>2</v>
      </c>
      <c r="AT2438" s="24" t="str">
        <f t="shared" si="729"/>
        <v>0-3 months</v>
      </c>
    </row>
    <row r="2439" spans="1:46" s="12" customFormat="1">
      <c r="A2439" s="33" t="str">
        <f t="shared" si="717"/>
        <v>FY 20/21</v>
      </c>
      <c r="B2439" s="152">
        <v>2020</v>
      </c>
      <c r="C2439" s="152">
        <v>11</v>
      </c>
      <c r="D2439" s="33" t="str">
        <f t="shared" si="718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19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34"/>
        <v>1</v>
      </c>
      <c r="Z2439" s="18">
        <f t="shared" si="731"/>
        <v>8250000</v>
      </c>
      <c r="AA2439" s="13">
        <v>7.6799999999999993E-2</v>
      </c>
      <c r="AB2439" s="21">
        <f t="shared" si="721"/>
        <v>633600</v>
      </c>
      <c r="AC2439" s="130">
        <f t="shared" si="722"/>
        <v>66021.119999999995</v>
      </c>
      <c r="AD2439" s="169">
        <v>0.1042</v>
      </c>
      <c r="AE2439" s="154">
        <f t="shared" si="723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2"/>
        <v>45803245.025628321</v>
      </c>
      <c r="AJ2439" s="19">
        <f t="shared" si="733"/>
        <v>5664636.2584379362</v>
      </c>
      <c r="AK2439" s="20">
        <f t="shared" si="724"/>
        <v>0.12367325186825515</v>
      </c>
      <c r="AL2439" s="17"/>
      <c r="AM2439" s="17"/>
      <c r="AN2439" s="17"/>
      <c r="AO2439" s="17"/>
      <c r="AP2439" s="28" t="str">
        <f t="shared" si="725"/>
        <v>20211</v>
      </c>
      <c r="AQ2439" s="28" t="str">
        <f t="shared" si="726"/>
        <v>20211JPY</v>
      </c>
      <c r="AR2439" s="206" t="str">
        <f t="shared" si="727"/>
        <v>YAMAHA_Mounter</v>
      </c>
      <c r="AS2439" s="22">
        <f t="shared" si="728"/>
        <v>2</v>
      </c>
      <c r="AT2439" s="24" t="str">
        <f t="shared" si="729"/>
        <v>0-3 months</v>
      </c>
    </row>
    <row r="2440" spans="1:46" s="12" customFormat="1">
      <c r="A2440" s="33" t="str">
        <f t="shared" si="717"/>
        <v>FY 20/21</v>
      </c>
      <c r="B2440" s="152">
        <v>2020</v>
      </c>
      <c r="C2440" s="152">
        <v>11</v>
      </c>
      <c r="D2440" s="33" t="str">
        <f t="shared" si="718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19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34"/>
        <v>1</v>
      </c>
      <c r="Z2440" s="18">
        <f t="shared" si="731"/>
        <v>8250000</v>
      </c>
      <c r="AA2440" s="13">
        <v>7.6799999999999993E-2</v>
      </c>
      <c r="AB2440" s="21">
        <f t="shared" si="721"/>
        <v>633600</v>
      </c>
      <c r="AC2440" s="130">
        <f t="shared" si="722"/>
        <v>66021.119999999995</v>
      </c>
      <c r="AD2440" s="169">
        <v>0.1042</v>
      </c>
      <c r="AE2440" s="154">
        <f t="shared" si="723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2"/>
        <v>45803245.025628321</v>
      </c>
      <c r="AJ2440" s="19">
        <f t="shared" si="733"/>
        <v>5664636.2584379362</v>
      </c>
      <c r="AK2440" s="20">
        <f t="shared" si="724"/>
        <v>0.12367325186825515</v>
      </c>
      <c r="AL2440" s="17"/>
      <c r="AM2440" s="17"/>
      <c r="AN2440" s="17"/>
      <c r="AO2440" s="17"/>
      <c r="AP2440" s="28" t="str">
        <f t="shared" si="725"/>
        <v>20211</v>
      </c>
      <c r="AQ2440" s="28" t="str">
        <f t="shared" si="726"/>
        <v>20211JPY</v>
      </c>
      <c r="AR2440" s="206" t="str">
        <f t="shared" si="727"/>
        <v>YAMAHA_Mounter</v>
      </c>
      <c r="AS2440" s="22">
        <f t="shared" si="728"/>
        <v>2</v>
      </c>
      <c r="AT2440" s="24" t="str">
        <f t="shared" si="729"/>
        <v>0-3 months</v>
      </c>
    </row>
    <row r="2441" spans="1:46" s="12" customFormat="1">
      <c r="A2441" s="33" t="str">
        <f t="shared" si="717"/>
        <v>FY 20/21</v>
      </c>
      <c r="B2441" s="152">
        <v>2020</v>
      </c>
      <c r="C2441" s="152">
        <v>11</v>
      </c>
      <c r="D2441" s="33" t="str">
        <f t="shared" si="718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19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34"/>
        <v>1</v>
      </c>
      <c r="Z2441" s="18">
        <f t="shared" si="731"/>
        <v>14760000</v>
      </c>
      <c r="AA2441" s="13">
        <v>7.6799999999999993E-2</v>
      </c>
      <c r="AB2441" s="21">
        <f t="shared" si="721"/>
        <v>1133568</v>
      </c>
      <c r="AC2441" s="130">
        <f t="shared" si="722"/>
        <v>142489.4976</v>
      </c>
      <c r="AD2441" s="169">
        <v>0.12570000000000001</v>
      </c>
      <c r="AE2441" s="154">
        <f t="shared" si="723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2"/>
        <v>45803245.025628321</v>
      </c>
      <c r="AJ2441" s="19">
        <f t="shared" si="733"/>
        <v>5664636.2584379362</v>
      </c>
      <c r="AK2441" s="20">
        <f t="shared" si="724"/>
        <v>0.12367325186825515</v>
      </c>
      <c r="AL2441" s="17"/>
      <c r="AM2441" s="17"/>
      <c r="AN2441" s="17"/>
      <c r="AO2441" s="17" t="s">
        <v>1524</v>
      </c>
      <c r="AP2441" s="28" t="str">
        <f t="shared" si="725"/>
        <v>20211</v>
      </c>
      <c r="AQ2441" s="28" t="str">
        <f t="shared" si="726"/>
        <v>20211JPY</v>
      </c>
      <c r="AR2441" s="206" t="str">
        <f t="shared" si="727"/>
        <v>YAMAHA_Mounter</v>
      </c>
      <c r="AS2441" s="22">
        <f t="shared" si="728"/>
        <v>2</v>
      </c>
      <c r="AT2441" s="24" t="str">
        <f t="shared" si="729"/>
        <v>0-3 months</v>
      </c>
    </row>
    <row r="2442" spans="1:46" s="12" customFormat="1">
      <c r="A2442" s="33" t="str">
        <f t="shared" si="717"/>
        <v>FY 20/21</v>
      </c>
      <c r="B2442" s="152">
        <v>2020</v>
      </c>
      <c r="C2442" s="152">
        <v>11</v>
      </c>
      <c r="D2442" s="33" t="str">
        <f t="shared" si="718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19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34"/>
        <v>1</v>
      </c>
      <c r="Z2442" s="18">
        <f t="shared" si="731"/>
        <v>14760000</v>
      </c>
      <c r="AA2442" s="13">
        <v>7.6799999999999993E-2</v>
      </c>
      <c r="AB2442" s="21">
        <f t="shared" si="721"/>
        <v>1133568</v>
      </c>
      <c r="AC2442" s="130">
        <f t="shared" si="722"/>
        <v>142489.4976</v>
      </c>
      <c r="AD2442" s="169">
        <v>0.12570000000000001</v>
      </c>
      <c r="AE2442" s="154">
        <f t="shared" si="723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2"/>
        <v>45803245.025628321</v>
      </c>
      <c r="AJ2442" s="19">
        <f t="shared" si="733"/>
        <v>5664636.2584379362</v>
      </c>
      <c r="AK2442" s="20">
        <f t="shared" si="724"/>
        <v>0.12367325186825515</v>
      </c>
      <c r="AL2442" s="17"/>
      <c r="AM2442" s="17"/>
      <c r="AN2442" s="17"/>
      <c r="AO2442" s="17" t="s">
        <v>1524</v>
      </c>
      <c r="AP2442" s="28" t="str">
        <f t="shared" si="725"/>
        <v>20211</v>
      </c>
      <c r="AQ2442" s="28" t="str">
        <f t="shared" si="726"/>
        <v>20211JPY</v>
      </c>
      <c r="AR2442" s="206" t="str">
        <f t="shared" si="727"/>
        <v>YAMAHA_Mounter</v>
      </c>
      <c r="AS2442" s="22">
        <f t="shared" si="728"/>
        <v>2</v>
      </c>
      <c r="AT2442" s="24" t="str">
        <f t="shared" si="729"/>
        <v>0-3 months</v>
      </c>
    </row>
    <row r="2443" spans="1:46" s="12" customFormat="1">
      <c r="A2443" s="33" t="str">
        <f t="shared" si="717"/>
        <v>FY 20/21</v>
      </c>
      <c r="B2443" s="152">
        <v>2020</v>
      </c>
      <c r="C2443" s="152">
        <v>11</v>
      </c>
      <c r="D2443" s="33" t="str">
        <f t="shared" si="718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19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34"/>
        <v>1</v>
      </c>
      <c r="Z2443" s="18">
        <f t="shared" si="731"/>
        <v>8250000</v>
      </c>
      <c r="AA2443" s="13">
        <v>7.6799999999999993E-2</v>
      </c>
      <c r="AB2443" s="21">
        <f t="shared" si="721"/>
        <v>633600</v>
      </c>
      <c r="AC2443" s="130">
        <f t="shared" si="722"/>
        <v>79643.520000000004</v>
      </c>
      <c r="AD2443" s="169">
        <v>0.12570000000000001</v>
      </c>
      <c r="AE2443" s="154">
        <f t="shared" si="723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2"/>
        <v>45803245.025628321</v>
      </c>
      <c r="AJ2443" s="19">
        <f t="shared" si="733"/>
        <v>5664636.2584379362</v>
      </c>
      <c r="AK2443" s="20">
        <f t="shared" si="724"/>
        <v>0.12367325186825515</v>
      </c>
      <c r="AL2443" s="17"/>
      <c r="AM2443" s="17"/>
      <c r="AN2443" s="17"/>
      <c r="AO2443" s="17" t="s">
        <v>1513</v>
      </c>
      <c r="AP2443" s="28" t="str">
        <f t="shared" si="725"/>
        <v>20211</v>
      </c>
      <c r="AQ2443" s="28" t="str">
        <f t="shared" si="726"/>
        <v>20211JPY</v>
      </c>
      <c r="AR2443" s="206" t="str">
        <f t="shared" si="727"/>
        <v>YAMAHA_Mounter</v>
      </c>
      <c r="AS2443" s="22">
        <f t="shared" si="728"/>
        <v>2</v>
      </c>
      <c r="AT2443" s="24" t="str">
        <f t="shared" si="729"/>
        <v>0-3 months</v>
      </c>
    </row>
    <row r="2444" spans="1:46" s="12" customFormat="1">
      <c r="A2444" s="33" t="str">
        <f t="shared" si="717"/>
        <v>FY 20/21</v>
      </c>
      <c r="B2444" s="152">
        <v>2020</v>
      </c>
      <c r="C2444" s="152">
        <v>11</v>
      </c>
      <c r="D2444" s="33" t="str">
        <f t="shared" si="718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19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34"/>
        <v>1</v>
      </c>
      <c r="Z2444" s="18">
        <f t="shared" si="731"/>
        <v>8250000</v>
      </c>
      <c r="AA2444" s="13">
        <v>7.6799999999999993E-2</v>
      </c>
      <c r="AB2444" s="21">
        <f t="shared" si="721"/>
        <v>633600</v>
      </c>
      <c r="AC2444" s="130">
        <f t="shared" si="722"/>
        <v>79643.520000000004</v>
      </c>
      <c r="AD2444" s="169">
        <v>0.12570000000000001</v>
      </c>
      <c r="AE2444" s="154">
        <f t="shared" si="723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2"/>
        <v>45803245.025628321</v>
      </c>
      <c r="AJ2444" s="19">
        <f t="shared" si="733"/>
        <v>5664636.2584379362</v>
      </c>
      <c r="AK2444" s="20">
        <f t="shared" si="724"/>
        <v>0.12367325186825515</v>
      </c>
      <c r="AL2444" s="17"/>
      <c r="AM2444" s="17"/>
      <c r="AN2444" s="17"/>
      <c r="AO2444" s="17" t="s">
        <v>1513</v>
      </c>
      <c r="AP2444" s="28" t="str">
        <f t="shared" si="725"/>
        <v>20211</v>
      </c>
      <c r="AQ2444" s="28" t="str">
        <f t="shared" si="726"/>
        <v>20211JPY</v>
      </c>
      <c r="AR2444" s="206" t="str">
        <f t="shared" si="727"/>
        <v>YAMAHA_Mounter</v>
      </c>
      <c r="AS2444" s="22">
        <f t="shared" si="728"/>
        <v>2</v>
      </c>
      <c r="AT2444" s="24" t="str">
        <f t="shared" si="729"/>
        <v>0-3 months</v>
      </c>
    </row>
    <row r="2445" spans="1:46" s="12" customFormat="1">
      <c r="A2445" s="33" t="str">
        <f t="shared" si="717"/>
        <v>FY 20/21</v>
      </c>
      <c r="B2445" s="152">
        <v>2020</v>
      </c>
      <c r="C2445" s="152">
        <v>12</v>
      </c>
      <c r="D2445" s="33" t="str">
        <f t="shared" si="718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19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34"/>
        <v>1</v>
      </c>
      <c r="Z2445" s="18">
        <f t="shared" si="731"/>
        <v>11500000</v>
      </c>
      <c r="AA2445" s="13">
        <v>7.4499999999999997E-2</v>
      </c>
      <c r="AB2445" s="21">
        <f t="shared" si="721"/>
        <v>856750</v>
      </c>
      <c r="AC2445" s="130">
        <f t="shared" si="722"/>
        <v>117460.425</v>
      </c>
      <c r="AD2445" s="169">
        <v>0.1371</v>
      </c>
      <c r="AE2445" s="154">
        <f t="shared" si="723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2"/>
        <v>57778307.282035396</v>
      </c>
      <c r="AJ2445" s="19">
        <f t="shared" si="733"/>
        <v>7259860.7225420559</v>
      </c>
      <c r="AK2445" s="20">
        <f t="shared" si="724"/>
        <v>0.12565028406083667</v>
      </c>
      <c r="AL2445" s="17"/>
      <c r="AM2445" s="17"/>
      <c r="AN2445" s="17"/>
      <c r="AO2445" s="17"/>
      <c r="AP2445" s="28" t="str">
        <f t="shared" si="725"/>
        <v>20213</v>
      </c>
      <c r="AQ2445" s="28" t="str">
        <f t="shared" si="726"/>
        <v>20213JPY</v>
      </c>
      <c r="AR2445" s="206" t="str">
        <f t="shared" si="727"/>
        <v>YAMAHA_Mounter</v>
      </c>
      <c r="AS2445" s="22">
        <f t="shared" si="728"/>
        <v>3</v>
      </c>
      <c r="AT2445" s="24" t="str">
        <f t="shared" si="729"/>
        <v>0-3 months</v>
      </c>
    </row>
    <row r="2446" spans="1:46" s="12" customFormat="1">
      <c r="A2446" s="33" t="str">
        <f t="shared" si="717"/>
        <v>FY 20/21</v>
      </c>
      <c r="B2446" s="152">
        <v>2021</v>
      </c>
      <c r="C2446" s="152">
        <v>3</v>
      </c>
      <c r="D2446" s="33" t="str">
        <f t="shared" si="718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19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34"/>
        <v>1</v>
      </c>
      <c r="Z2446" s="18">
        <f t="shared" si="731"/>
        <v>14500000</v>
      </c>
      <c r="AA2446" s="13">
        <v>7.2099999999999997E-2</v>
      </c>
      <c r="AB2446" s="21">
        <f t="shared" si="721"/>
        <v>1045450</v>
      </c>
      <c r="AC2446" s="130">
        <f t="shared" si="722"/>
        <v>109249.52499999999</v>
      </c>
      <c r="AD2446" s="169">
        <v>0.1045</v>
      </c>
      <c r="AE2446" s="154">
        <f t="shared" si="723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2"/>
        <v>54700260.692079648</v>
      </c>
      <c r="AJ2446" s="19">
        <f t="shared" si="733"/>
        <v>7482899.5749188727</v>
      </c>
      <c r="AK2446" s="20">
        <f t="shared" si="724"/>
        <v>0.13679824337660537</v>
      </c>
      <c r="AL2446" s="17"/>
      <c r="AM2446" s="17"/>
      <c r="AN2446" s="17"/>
      <c r="AO2446" s="17"/>
      <c r="AP2446" s="28" t="str">
        <f t="shared" si="725"/>
        <v>20216</v>
      </c>
      <c r="AQ2446" s="28" t="str">
        <f t="shared" si="726"/>
        <v>20216JPY</v>
      </c>
      <c r="AR2446" s="206" t="str">
        <f t="shared" si="727"/>
        <v>YAMAHA_Mounter</v>
      </c>
      <c r="AS2446" s="22">
        <f t="shared" si="728"/>
        <v>3</v>
      </c>
      <c r="AT2446" s="24" t="str">
        <f t="shared" si="729"/>
        <v>0-3 months</v>
      </c>
    </row>
    <row r="2447" spans="1:46" s="12" customFormat="1">
      <c r="A2447" s="33" t="str">
        <f t="shared" si="717"/>
        <v>FY 20/21</v>
      </c>
      <c r="B2447" s="152">
        <v>2021</v>
      </c>
      <c r="C2447" s="152">
        <v>3</v>
      </c>
      <c r="D2447" s="33" t="str">
        <f t="shared" si="718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19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34"/>
        <v>1</v>
      </c>
      <c r="Z2447" s="18">
        <f t="shared" si="731"/>
        <v>14500000</v>
      </c>
      <c r="AA2447" s="13">
        <v>7.2099999999999997E-2</v>
      </c>
      <c r="AB2447" s="21">
        <f t="shared" si="721"/>
        <v>1045450</v>
      </c>
      <c r="AC2447" s="130">
        <f t="shared" si="722"/>
        <v>109249.52499999999</v>
      </c>
      <c r="AD2447" s="169">
        <v>0.1045</v>
      </c>
      <c r="AE2447" s="154">
        <f t="shared" si="723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2"/>
        <v>54700260.692079648</v>
      </c>
      <c r="AJ2447" s="19">
        <f t="shared" si="733"/>
        <v>7482899.5749188727</v>
      </c>
      <c r="AK2447" s="20">
        <f t="shared" si="724"/>
        <v>0.13679824337660537</v>
      </c>
      <c r="AL2447" s="17"/>
      <c r="AM2447" s="17"/>
      <c r="AN2447" s="17"/>
      <c r="AO2447" s="17"/>
      <c r="AP2447" s="28" t="str">
        <f t="shared" si="725"/>
        <v>20216</v>
      </c>
      <c r="AQ2447" s="28" t="str">
        <f t="shared" si="726"/>
        <v>20216JPY</v>
      </c>
      <c r="AR2447" s="206" t="str">
        <f t="shared" si="727"/>
        <v>YAMAHA_Mounter</v>
      </c>
      <c r="AS2447" s="22">
        <f t="shared" si="728"/>
        <v>3</v>
      </c>
      <c r="AT2447" s="24" t="str">
        <f t="shared" si="729"/>
        <v>0-3 months</v>
      </c>
    </row>
    <row r="2448" spans="1:46" s="12" customFormat="1">
      <c r="A2448" s="33" t="str">
        <f t="shared" si="717"/>
        <v>FY 20/21</v>
      </c>
      <c r="B2448" s="152">
        <v>2021</v>
      </c>
      <c r="C2448" s="152">
        <v>3</v>
      </c>
      <c r="D2448" s="33" t="str">
        <f t="shared" si="718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19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34"/>
        <v>1</v>
      </c>
      <c r="Z2448" s="18">
        <f t="shared" si="731"/>
        <v>7340000</v>
      </c>
      <c r="AA2448" s="13">
        <v>7.2099999999999997E-2</v>
      </c>
      <c r="AB2448" s="21">
        <f t="shared" si="721"/>
        <v>529214</v>
      </c>
      <c r="AC2448" s="130">
        <f t="shared" si="722"/>
        <v>55302.862999999998</v>
      </c>
      <c r="AD2448" s="169">
        <v>0.1045</v>
      </c>
      <c r="AE2448" s="154">
        <f t="shared" si="723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2"/>
        <v>54700260.692079648</v>
      </c>
      <c r="AJ2448" s="19">
        <f t="shared" si="733"/>
        <v>7482899.5749188727</v>
      </c>
      <c r="AK2448" s="20">
        <f t="shared" si="724"/>
        <v>0.13679824337660537</v>
      </c>
      <c r="AL2448" s="17"/>
      <c r="AM2448" s="17"/>
      <c r="AN2448" s="17"/>
      <c r="AO2448" s="17"/>
      <c r="AP2448" s="28" t="str">
        <f t="shared" si="725"/>
        <v>20216</v>
      </c>
      <c r="AQ2448" s="28" t="str">
        <f t="shared" si="726"/>
        <v>20216JPY</v>
      </c>
      <c r="AR2448" s="206" t="str">
        <f t="shared" si="727"/>
        <v>YAMAHA_Mounter</v>
      </c>
      <c r="AS2448" s="22">
        <f t="shared" si="728"/>
        <v>3</v>
      </c>
      <c r="AT2448" s="24" t="str">
        <f t="shared" si="729"/>
        <v>0-3 months</v>
      </c>
    </row>
    <row r="2449" spans="1:46" s="12" customFormat="1">
      <c r="A2449" s="33" t="str">
        <f t="shared" si="717"/>
        <v>FY 20/21</v>
      </c>
      <c r="B2449" s="152">
        <v>2021</v>
      </c>
      <c r="C2449" s="152">
        <v>3</v>
      </c>
      <c r="D2449" s="33" t="str">
        <f t="shared" si="718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19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34"/>
        <v>1</v>
      </c>
      <c r="Z2449" s="18">
        <f t="shared" si="731"/>
        <v>7340000</v>
      </c>
      <c r="AA2449" s="13">
        <v>7.17E-2</v>
      </c>
      <c r="AB2449" s="21">
        <f t="shared" si="721"/>
        <v>526278</v>
      </c>
      <c r="AC2449" s="130">
        <f t="shared" si="722"/>
        <v>42996.912599999996</v>
      </c>
      <c r="AD2449" s="169">
        <v>8.1699999999999995E-2</v>
      </c>
      <c r="AE2449" s="154">
        <f t="shared" si="723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2"/>
        <v>41443303.53761062</v>
      </c>
      <c r="AJ2449" s="19">
        <f t="shared" si="733"/>
        <v>6194988.76643031</v>
      </c>
      <c r="AK2449" s="20">
        <f t="shared" si="724"/>
        <v>0.1494810557466355</v>
      </c>
      <c r="AL2449" s="17"/>
      <c r="AM2449" s="17"/>
      <c r="AN2449" s="17"/>
      <c r="AO2449" s="17"/>
      <c r="AP2449" s="28" t="str">
        <f t="shared" si="725"/>
        <v>20217</v>
      </c>
      <c r="AQ2449" s="28" t="str">
        <f t="shared" si="726"/>
        <v>20217JPY</v>
      </c>
      <c r="AR2449" s="206" t="str">
        <f t="shared" si="727"/>
        <v>YAMAHA_Mounter</v>
      </c>
      <c r="AS2449" s="22">
        <f t="shared" si="728"/>
        <v>4</v>
      </c>
      <c r="AT2449" s="24" t="str">
        <f t="shared" si="729"/>
        <v>4-6 months</v>
      </c>
    </row>
    <row r="2450" spans="1:46" s="12" customFormat="1">
      <c r="A2450" s="33" t="str">
        <f t="shared" si="717"/>
        <v>FY 20/21</v>
      </c>
      <c r="B2450" s="152">
        <v>2021</v>
      </c>
      <c r="C2450" s="152">
        <v>3</v>
      </c>
      <c r="D2450" s="33" t="str">
        <f t="shared" si="718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19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34"/>
        <v>1</v>
      </c>
      <c r="Z2450" s="18">
        <f t="shared" si="731"/>
        <v>14500000</v>
      </c>
      <c r="AA2450" s="13">
        <v>7.17E-2</v>
      </c>
      <c r="AB2450" s="21">
        <f t="shared" si="721"/>
        <v>1039650</v>
      </c>
      <c r="AC2450" s="130">
        <f t="shared" si="722"/>
        <v>119871.645</v>
      </c>
      <c r="AD2450" s="169">
        <v>0.1153</v>
      </c>
      <c r="AE2450" s="154">
        <f t="shared" si="723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2"/>
        <v>41443303.53761062</v>
      </c>
      <c r="AJ2450" s="19">
        <f t="shared" si="733"/>
        <v>6194988.76643031</v>
      </c>
      <c r="AK2450" s="20">
        <f t="shared" si="724"/>
        <v>0.1494810557466355</v>
      </c>
      <c r="AL2450" s="17"/>
      <c r="AM2450" s="17"/>
      <c r="AN2450" s="17"/>
      <c r="AO2450" s="17"/>
      <c r="AP2450" s="28" t="str">
        <f t="shared" si="725"/>
        <v>20217</v>
      </c>
      <c r="AQ2450" s="28" t="str">
        <f t="shared" si="726"/>
        <v>20217JPY</v>
      </c>
      <c r="AR2450" s="206" t="str">
        <f t="shared" si="727"/>
        <v>YAMAHA_Mounter</v>
      </c>
      <c r="AS2450" s="22">
        <f t="shared" si="728"/>
        <v>4</v>
      </c>
      <c r="AT2450" s="24" t="str">
        <f t="shared" si="729"/>
        <v>4-6 months</v>
      </c>
    </row>
    <row r="2451" spans="1:46" s="12" customFormat="1">
      <c r="A2451" s="33" t="str">
        <f t="shared" si="717"/>
        <v>FY 20/21</v>
      </c>
      <c r="B2451" s="152">
        <v>2021</v>
      </c>
      <c r="C2451" s="152">
        <v>3</v>
      </c>
      <c r="D2451" s="33" t="str">
        <f t="shared" si="718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19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34"/>
        <v>1</v>
      </c>
      <c r="Z2451" s="18">
        <f t="shared" si="731"/>
        <v>14500000</v>
      </c>
      <c r="AA2451" s="13">
        <v>7.17E-2</v>
      </c>
      <c r="AB2451" s="21">
        <f t="shared" si="721"/>
        <v>1039650</v>
      </c>
      <c r="AC2451" s="130">
        <f t="shared" si="722"/>
        <v>119871.645</v>
      </c>
      <c r="AD2451" s="169">
        <v>0.1153</v>
      </c>
      <c r="AE2451" s="154">
        <f t="shared" si="723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2"/>
        <v>41443303.53761062</v>
      </c>
      <c r="AJ2451" s="19">
        <f t="shared" si="733"/>
        <v>6194988.76643031</v>
      </c>
      <c r="AK2451" s="20">
        <f t="shared" si="724"/>
        <v>0.1494810557466355</v>
      </c>
      <c r="AL2451" s="17"/>
      <c r="AM2451" s="17"/>
      <c r="AN2451" s="17"/>
      <c r="AO2451" s="17"/>
      <c r="AP2451" s="28" t="str">
        <f t="shared" si="725"/>
        <v>20217</v>
      </c>
      <c r="AQ2451" s="28" t="str">
        <f t="shared" si="726"/>
        <v>20217JPY</v>
      </c>
      <c r="AR2451" s="206" t="str">
        <f t="shared" si="727"/>
        <v>YAMAHA_Mounter</v>
      </c>
      <c r="AS2451" s="22">
        <f t="shared" si="728"/>
        <v>4</v>
      </c>
      <c r="AT2451" s="24" t="str">
        <f t="shared" si="729"/>
        <v>4-6 months</v>
      </c>
    </row>
    <row r="2452" spans="1:46" s="12" customFormat="1">
      <c r="A2452" s="33" t="str">
        <f t="shared" si="717"/>
        <v>FY 20/21</v>
      </c>
      <c r="B2452" s="152">
        <v>2021</v>
      </c>
      <c r="C2452" s="152">
        <v>3</v>
      </c>
      <c r="D2452" s="33" t="str">
        <f t="shared" si="718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19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34"/>
        <v>1</v>
      </c>
      <c r="Z2452" s="18">
        <f t="shared" si="731"/>
        <v>14500000</v>
      </c>
      <c r="AA2452" s="13">
        <v>7.17E-2</v>
      </c>
      <c r="AB2452" s="21">
        <f t="shared" si="721"/>
        <v>1039650</v>
      </c>
      <c r="AC2452" s="130">
        <f t="shared" si="722"/>
        <v>119871.645</v>
      </c>
      <c r="AD2452" s="169">
        <v>0.1153</v>
      </c>
      <c r="AE2452" s="154">
        <f t="shared" si="723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2"/>
        <v>41443303.53761062</v>
      </c>
      <c r="AJ2452" s="19">
        <f t="shared" si="733"/>
        <v>6194988.76643031</v>
      </c>
      <c r="AK2452" s="20">
        <f t="shared" si="724"/>
        <v>0.1494810557466355</v>
      </c>
      <c r="AL2452" s="17"/>
      <c r="AM2452" s="17"/>
      <c r="AN2452" s="17"/>
      <c r="AO2452" s="17"/>
      <c r="AP2452" s="28" t="str">
        <f t="shared" si="725"/>
        <v>20217</v>
      </c>
      <c r="AQ2452" s="28" t="str">
        <f t="shared" si="726"/>
        <v>20217JPY</v>
      </c>
      <c r="AR2452" s="206" t="str">
        <f t="shared" si="727"/>
        <v>YAMAHA_Mounter</v>
      </c>
      <c r="AS2452" s="22">
        <f t="shared" si="728"/>
        <v>4</v>
      </c>
      <c r="AT2452" s="24" t="str">
        <f t="shared" si="729"/>
        <v>4-6 months</v>
      </c>
    </row>
    <row r="2453" spans="1:46" s="12" customFormat="1">
      <c r="A2453" s="33" t="str">
        <f t="shared" si="717"/>
        <v>FY 20/21</v>
      </c>
      <c r="B2453" s="152">
        <v>2021</v>
      </c>
      <c r="C2453" s="152">
        <v>3</v>
      </c>
      <c r="D2453" s="33" t="str">
        <f t="shared" si="718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19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34"/>
        <v>1</v>
      </c>
      <c r="Z2453" s="18">
        <f t="shared" si="731"/>
        <v>14500000</v>
      </c>
      <c r="AA2453" s="13">
        <v>7.17E-2</v>
      </c>
      <c r="AB2453" s="21">
        <f t="shared" si="721"/>
        <v>1039650</v>
      </c>
      <c r="AC2453" s="130">
        <f t="shared" si="722"/>
        <v>119871.645</v>
      </c>
      <c r="AD2453" s="169">
        <v>0.1153</v>
      </c>
      <c r="AE2453" s="154">
        <f t="shared" si="723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2"/>
        <v>41443303.53761062</v>
      </c>
      <c r="AJ2453" s="19">
        <f t="shared" si="733"/>
        <v>6194988.76643031</v>
      </c>
      <c r="AK2453" s="20">
        <f t="shared" si="724"/>
        <v>0.1494810557466355</v>
      </c>
      <c r="AL2453" s="17"/>
      <c r="AM2453" s="17"/>
      <c r="AN2453" s="17"/>
      <c r="AO2453" s="17"/>
      <c r="AP2453" s="28" t="str">
        <f t="shared" si="725"/>
        <v>20217</v>
      </c>
      <c r="AQ2453" s="28" t="str">
        <f t="shared" si="726"/>
        <v>20217JPY</v>
      </c>
      <c r="AR2453" s="206" t="str">
        <f t="shared" si="727"/>
        <v>YAMAHA_Mounter</v>
      </c>
      <c r="AS2453" s="22">
        <f t="shared" si="728"/>
        <v>4</v>
      </c>
      <c r="AT2453" s="24" t="str">
        <f t="shared" si="729"/>
        <v>4-6 months</v>
      </c>
    </row>
    <row r="2454" spans="1:46" s="12" customFormat="1" ht="28">
      <c r="A2454" s="33" t="str">
        <f t="shared" si="717"/>
        <v>FY 20/21</v>
      </c>
      <c r="B2454" s="152">
        <v>2020</v>
      </c>
      <c r="C2454" s="152">
        <v>11</v>
      </c>
      <c r="D2454" s="33" t="str">
        <f t="shared" si="718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19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si="720"/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34"/>
        <v>1.13</v>
      </c>
      <c r="Z2454" s="18">
        <f t="shared" si="731"/>
        <v>15300</v>
      </c>
      <c r="AA2454" s="13">
        <v>1.155</v>
      </c>
      <c r="AB2454" s="21">
        <f t="shared" si="721"/>
        <v>15638.495575221241</v>
      </c>
      <c r="AC2454" s="130">
        <f t="shared" si="722"/>
        <v>2137.7823451327436</v>
      </c>
      <c r="AD2454" s="169">
        <v>0.13669999999999999</v>
      </c>
      <c r="AE2454" s="154">
        <f t="shared" si="723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2"/>
        <v>44078731.611185849</v>
      </c>
      <c r="AJ2454" s="19">
        <f t="shared" si="733"/>
        <v>5508173.2163771465</v>
      </c>
      <c r="AK2454" s="20">
        <f t="shared" si="724"/>
        <v>0.12496215328889679</v>
      </c>
      <c r="AL2454" s="17"/>
      <c r="AM2454" s="17"/>
      <c r="AN2454" s="17"/>
      <c r="AO2454" s="17"/>
      <c r="AP2454" s="28" t="str">
        <f t="shared" si="725"/>
        <v>202011</v>
      </c>
      <c r="AQ2454" s="28" t="str">
        <f t="shared" si="726"/>
        <v>202011RMB</v>
      </c>
      <c r="AR2454" s="206" t="str">
        <f t="shared" si="727"/>
        <v>YAMAHA_Mounter</v>
      </c>
      <c r="AS2454" s="22">
        <f t="shared" si="728"/>
        <v>0</v>
      </c>
      <c r="AT2454" s="24" t="str">
        <f t="shared" si="729"/>
        <v>0-3 months</v>
      </c>
    </row>
    <row r="2455" spans="1:46" s="12" customFormat="1" ht="28">
      <c r="A2455" s="33" t="str">
        <f t="shared" si="717"/>
        <v>FY 20/21</v>
      </c>
      <c r="B2455" s="152">
        <v>2020</v>
      </c>
      <c r="C2455" s="152">
        <v>11</v>
      </c>
      <c r="D2455" s="33" t="str">
        <f t="shared" si="718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19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20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34"/>
        <v>1.13</v>
      </c>
      <c r="Z2455" s="18">
        <f t="shared" si="731"/>
        <v>122999.99799999999</v>
      </c>
      <c r="AA2455" s="13">
        <v>1.175</v>
      </c>
      <c r="AB2455" s="21">
        <f t="shared" si="721"/>
        <v>127898.22800884958</v>
      </c>
      <c r="AC2455" s="130">
        <f t="shared" si="722"/>
        <v>17816.223161632748</v>
      </c>
      <c r="AD2455" s="169">
        <v>0.13930000000000001</v>
      </c>
      <c r="AE2455" s="154">
        <f t="shared" si="723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2"/>
        <v>48763143.537654862</v>
      </c>
      <c r="AJ2455" s="19">
        <f t="shared" si="733"/>
        <v>5924029.9702154724</v>
      </c>
      <c r="AK2455" s="20">
        <f t="shared" si="724"/>
        <v>0.1214858095774925</v>
      </c>
      <c r="AL2455" s="17"/>
      <c r="AM2455" s="17"/>
      <c r="AN2455" s="17"/>
      <c r="AO2455" s="17"/>
      <c r="AP2455" s="28" t="str">
        <f t="shared" si="725"/>
        <v>202012</v>
      </c>
      <c r="AQ2455" s="28" t="str">
        <f t="shared" si="726"/>
        <v>202012RMB</v>
      </c>
      <c r="AR2455" s="206" t="str">
        <f t="shared" si="727"/>
        <v>YAMAHA_Mounter</v>
      </c>
      <c r="AS2455" s="22">
        <f t="shared" si="728"/>
        <v>1</v>
      </c>
      <c r="AT2455" s="24" t="str">
        <f t="shared" si="729"/>
        <v>0-3 months</v>
      </c>
    </row>
    <row r="2456" spans="1:46" s="12" customFormat="1">
      <c r="A2456" s="33" t="str">
        <f t="shared" si="717"/>
        <v>FY 21/22</v>
      </c>
      <c r="B2456" s="152">
        <v>2021</v>
      </c>
      <c r="C2456" s="152">
        <v>6</v>
      </c>
      <c r="D2456" s="33" t="str">
        <f t="shared" si="718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19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20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34"/>
        <v>1.13</v>
      </c>
      <c r="Z2456" s="18">
        <f t="shared" si="731"/>
        <v>630000</v>
      </c>
      <c r="AA2456" s="13">
        <v>1.175</v>
      </c>
      <c r="AB2456" s="21">
        <f t="shared" si="721"/>
        <v>655088.49557522126</v>
      </c>
      <c r="AC2456" s="130">
        <f t="shared" si="722"/>
        <v>78610.619469026555</v>
      </c>
      <c r="AD2456" s="169">
        <v>0.12</v>
      </c>
      <c r="AE2456" s="154">
        <f t="shared" si="723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2"/>
        <v>477651199.57437885</v>
      </c>
      <c r="AJ2456" s="19">
        <f t="shared" si="733"/>
        <v>56918800.518691957</v>
      </c>
      <c r="AK2456" s="20">
        <f t="shared" si="724"/>
        <v>0.11916394341605475</v>
      </c>
      <c r="AL2456" s="17"/>
      <c r="AM2456" s="17"/>
      <c r="AN2456" s="17"/>
      <c r="AO2456" s="17"/>
      <c r="AP2456" s="28" t="str">
        <f t="shared" si="725"/>
        <v>CancelCANCEL</v>
      </c>
      <c r="AQ2456" s="28" t="str">
        <f t="shared" si="726"/>
        <v>CancelCANCELRMB</v>
      </c>
      <c r="AR2456" s="206" t="str">
        <f t="shared" si="727"/>
        <v>YAMAHA_Mounter</v>
      </c>
      <c r="AS2456" s="22" t="str">
        <f t="shared" si="728"/>
        <v/>
      </c>
      <c r="AT2456" s="24" t="str">
        <f t="shared" si="729"/>
        <v/>
      </c>
    </row>
    <row r="2457" spans="1:46" s="12" customFormat="1">
      <c r="A2457" s="33" t="str">
        <f t="shared" si="717"/>
        <v>FY 20/21</v>
      </c>
      <c r="B2457" s="152">
        <v>2020</v>
      </c>
      <c r="C2457" s="152">
        <v>5</v>
      </c>
      <c r="D2457" s="33" t="str">
        <f t="shared" si="718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19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20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1"/>
        <v>636550</v>
      </c>
      <c r="AA2457" s="13">
        <v>1.105</v>
      </c>
      <c r="AB2457" s="21">
        <f t="shared" si="721"/>
        <v>622467.03539823007</v>
      </c>
      <c r="AC2457" s="130">
        <f t="shared" si="722"/>
        <v>83286.089336283185</v>
      </c>
      <c r="AD2457" s="169">
        <v>0.1338</v>
      </c>
      <c r="AE2457" s="154">
        <f t="shared" si="723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2"/>
        <v>37969334.083628319</v>
      </c>
      <c r="AJ2457" s="19">
        <f t="shared" si="733"/>
        <v>5097226.4551657084</v>
      </c>
      <c r="AK2457" s="20">
        <f t="shared" si="724"/>
        <v>0.13424587441904964</v>
      </c>
      <c r="AL2457" s="17"/>
      <c r="AM2457" s="17"/>
      <c r="AN2457" s="17"/>
      <c r="AO2457" s="17"/>
      <c r="AP2457" s="28" t="str">
        <f t="shared" si="725"/>
        <v>20208</v>
      </c>
      <c r="AQ2457" s="28" t="str">
        <f t="shared" si="726"/>
        <v>20208RMB</v>
      </c>
      <c r="AR2457" s="206" t="str">
        <f t="shared" si="727"/>
        <v>YAMAHA_Mounter</v>
      </c>
      <c r="AS2457" s="22">
        <f t="shared" si="728"/>
        <v>3</v>
      </c>
      <c r="AT2457" s="24" t="str">
        <f t="shared" si="729"/>
        <v>0-3 months</v>
      </c>
    </row>
    <row r="2458" spans="1:46" s="12" customFormat="1" ht="28">
      <c r="A2458" s="33" t="str">
        <f t="shared" si="717"/>
        <v>FY 20/21</v>
      </c>
      <c r="B2458" s="152">
        <v>2020</v>
      </c>
      <c r="C2458" s="152">
        <v>8</v>
      </c>
      <c r="D2458" s="33" t="str">
        <f t="shared" si="718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19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20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1"/>
        <v>10100</v>
      </c>
      <c r="AA2458" s="13">
        <v>1.1299999999999999</v>
      </c>
      <c r="AB2458" s="21">
        <f t="shared" si="721"/>
        <v>10100</v>
      </c>
      <c r="AC2458" s="130">
        <f t="shared" si="722"/>
        <v>1361.48</v>
      </c>
      <c r="AD2458" s="169">
        <v>0.1348</v>
      </c>
      <c r="AE2458" s="154">
        <f t="shared" si="723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2"/>
        <v>47907808.356810622</v>
      </c>
      <c r="AJ2458" s="19">
        <f t="shared" si="733"/>
        <v>6027384.8806384448</v>
      </c>
      <c r="AK2458" s="20">
        <f t="shared" si="724"/>
        <v>0.12581216063459488</v>
      </c>
      <c r="AL2458" s="17"/>
      <c r="AM2458" s="17"/>
      <c r="AN2458" s="17"/>
      <c r="AO2458" s="17"/>
      <c r="AP2458" s="28" t="str">
        <f t="shared" si="725"/>
        <v>20209</v>
      </c>
      <c r="AQ2458" s="28" t="str">
        <f t="shared" si="726"/>
        <v>20209RMB</v>
      </c>
      <c r="AR2458" s="206" t="str">
        <f t="shared" si="727"/>
        <v>YAMAHA_Mounter</v>
      </c>
      <c r="AS2458" s="22">
        <f t="shared" si="728"/>
        <v>1</v>
      </c>
      <c r="AT2458" s="24" t="str">
        <f t="shared" si="729"/>
        <v>0-3 months</v>
      </c>
    </row>
    <row r="2459" spans="1:46" s="12" customFormat="1" ht="28">
      <c r="A2459" s="33" t="str">
        <f t="shared" si="717"/>
        <v>FY 20/21</v>
      </c>
      <c r="B2459" s="152">
        <v>2020</v>
      </c>
      <c r="C2459" s="152">
        <v>8</v>
      </c>
      <c r="D2459" s="33" t="str">
        <f t="shared" si="718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19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20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1"/>
        <v>4960</v>
      </c>
      <c r="AA2459" s="13">
        <v>1.1299999999999999</v>
      </c>
      <c r="AB2459" s="21">
        <f t="shared" si="721"/>
        <v>4960</v>
      </c>
      <c r="AC2459" s="130">
        <f t="shared" si="722"/>
        <v>668.60800000000006</v>
      </c>
      <c r="AD2459" s="169">
        <v>0.1348</v>
      </c>
      <c r="AE2459" s="154">
        <f t="shared" si="723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2"/>
        <v>47907808.356810622</v>
      </c>
      <c r="AJ2459" s="19">
        <f t="shared" si="733"/>
        <v>6027384.8806384448</v>
      </c>
      <c r="AK2459" s="20">
        <f t="shared" si="724"/>
        <v>0.12581216063459488</v>
      </c>
      <c r="AL2459" s="17"/>
      <c r="AM2459" s="17"/>
      <c r="AN2459" s="17"/>
      <c r="AO2459" s="17"/>
      <c r="AP2459" s="28" t="str">
        <f t="shared" si="725"/>
        <v>20209</v>
      </c>
      <c r="AQ2459" s="28" t="str">
        <f t="shared" si="726"/>
        <v>20209RMB</v>
      </c>
      <c r="AR2459" s="206" t="str">
        <f t="shared" si="727"/>
        <v>LOCAL SUPPLIER</v>
      </c>
      <c r="AS2459" s="22">
        <f t="shared" si="728"/>
        <v>1</v>
      </c>
      <c r="AT2459" s="24" t="str">
        <f t="shared" si="729"/>
        <v>0-3 months</v>
      </c>
    </row>
    <row r="2460" spans="1:46" s="12" customFormat="1">
      <c r="A2460" s="33" t="str">
        <f t="shared" si="717"/>
        <v>FY 20/21</v>
      </c>
      <c r="B2460" s="152">
        <v>2020</v>
      </c>
      <c r="C2460" s="152">
        <v>5</v>
      </c>
      <c r="D2460" s="33" t="str">
        <f t="shared" si="718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19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20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1"/>
        <v>1663450</v>
      </c>
      <c r="AA2460" s="13">
        <v>1.105</v>
      </c>
      <c r="AB2460" s="21">
        <f t="shared" si="721"/>
        <v>1626648.0088495577</v>
      </c>
      <c r="AC2460" s="130">
        <f t="shared" si="722"/>
        <v>164942.10809734516</v>
      </c>
      <c r="AD2460" s="169">
        <v>0.1014</v>
      </c>
      <c r="AE2460" s="154">
        <f t="shared" si="723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2"/>
        <v>37969334.083628319</v>
      </c>
      <c r="AJ2460" s="19">
        <f t="shared" si="733"/>
        <v>5097226.4551657084</v>
      </c>
      <c r="AK2460" s="20">
        <f t="shared" si="724"/>
        <v>0.13424587441904964</v>
      </c>
      <c r="AL2460" s="17"/>
      <c r="AM2460" s="17"/>
      <c r="AN2460" s="17"/>
      <c r="AO2460" s="17"/>
      <c r="AP2460" s="28" t="str">
        <f t="shared" si="725"/>
        <v>20208</v>
      </c>
      <c r="AQ2460" s="28" t="str">
        <f t="shared" si="726"/>
        <v>20208RMB</v>
      </c>
      <c r="AR2460" s="206" t="str">
        <f t="shared" si="727"/>
        <v>HELLER</v>
      </c>
      <c r="AS2460" s="22">
        <f t="shared" si="728"/>
        <v>3</v>
      </c>
      <c r="AT2460" s="24" t="str">
        <f t="shared" si="729"/>
        <v>0-3 months</v>
      </c>
    </row>
    <row r="2461" spans="1:46" s="12" customFormat="1">
      <c r="A2461" s="33" t="str">
        <f t="shared" si="717"/>
        <v>FY 22/23</v>
      </c>
      <c r="B2461" s="152">
        <v>2023</v>
      </c>
      <c r="C2461" s="152">
        <v>3</v>
      </c>
      <c r="D2461" s="33" t="str">
        <f t="shared" si="718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19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20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1"/>
        <v>490000</v>
      </c>
      <c r="AA2461" s="13">
        <v>1.1299999999999999</v>
      </c>
      <c r="AB2461" s="21">
        <f t="shared" si="721"/>
        <v>490000</v>
      </c>
      <c r="AC2461" s="130">
        <f t="shared" si="722"/>
        <v>57036</v>
      </c>
      <c r="AD2461" s="169">
        <v>0.1164</v>
      </c>
      <c r="AE2461" s="154">
        <f t="shared" si="723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2"/>
        <v>33543315.897345133</v>
      </c>
      <c r="AJ2461" s="19">
        <f t="shared" si="733"/>
        <v>4706169.3252984071</v>
      </c>
      <c r="AK2461" s="20">
        <f t="shared" si="724"/>
        <v>0.14030125523967318</v>
      </c>
      <c r="AL2461" s="17"/>
      <c r="AM2461" s="17"/>
      <c r="AN2461" s="17"/>
      <c r="AO2461" s="17"/>
      <c r="AP2461" s="28" t="str">
        <f t="shared" si="725"/>
        <v>20233</v>
      </c>
      <c r="AQ2461" s="28" t="str">
        <f t="shared" si="726"/>
        <v>20233RMB</v>
      </c>
      <c r="AR2461" s="206" t="str">
        <f t="shared" si="727"/>
        <v>YAMAHA_Mounter</v>
      </c>
      <c r="AS2461" s="22">
        <f t="shared" si="728"/>
        <v>0</v>
      </c>
      <c r="AT2461" s="24" t="str">
        <f t="shared" si="729"/>
        <v>0-3 months</v>
      </c>
    </row>
    <row r="2462" spans="1:46" s="12" customFormat="1">
      <c r="A2462" s="33" t="str">
        <f t="shared" si="717"/>
        <v>FY 24/25</v>
      </c>
      <c r="B2462" s="23">
        <v>2024</v>
      </c>
      <c r="C2462" s="152">
        <v>4</v>
      </c>
      <c r="D2462" s="33" t="str">
        <f t="shared" si="718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8</v>
      </c>
      <c r="H2462" s="29"/>
      <c r="I2462" s="33" t="str">
        <f t="shared" si="719"/>
        <v>Q2</v>
      </c>
      <c r="J2462" s="188" t="s">
        <v>3415</v>
      </c>
      <c r="K2462" s="29" t="s">
        <v>1449</v>
      </c>
      <c r="L2462" s="17" t="s">
        <v>68</v>
      </c>
      <c r="M2462" s="22" t="s">
        <v>61</v>
      </c>
      <c r="N2462" s="22">
        <v>1</v>
      </c>
      <c r="O2462" s="22"/>
      <c r="P2462" s="33" t="str">
        <f t="shared" si="720"/>
        <v>MAIN UNIT</v>
      </c>
      <c r="Q2462" s="13" t="s">
        <v>62</v>
      </c>
      <c r="R2462" s="22" t="s">
        <v>63</v>
      </c>
      <c r="S2462" s="22" t="s">
        <v>51</v>
      </c>
      <c r="T2462" s="22" t="s">
        <v>2375</v>
      </c>
      <c r="U2462" s="22" t="s">
        <v>71</v>
      </c>
      <c r="V2462" s="22" t="s">
        <v>2124</v>
      </c>
      <c r="W2462" s="22" t="s">
        <v>110</v>
      </c>
      <c r="X2462" s="30">
        <v>7923395</v>
      </c>
      <c r="Y2462" s="31" t="str">
        <f>IF(W2462="","",IF(W2462="RMB","1.13", "1"))</f>
        <v>1</v>
      </c>
      <c r="Z2462" s="18">
        <f t="shared" si="731"/>
        <v>7923395</v>
      </c>
      <c r="AA2462" s="22">
        <v>5.2299999999999999E-2</v>
      </c>
      <c r="AB2462" s="21">
        <f t="shared" si="721"/>
        <v>414393.55849999998</v>
      </c>
      <c r="AC2462" s="25">
        <f t="shared" si="722"/>
        <v>27640.050351949998</v>
      </c>
      <c r="AD2462" s="170">
        <v>6.6699999999999995E-2</v>
      </c>
      <c r="AE2462" s="26">
        <f t="shared" si="723"/>
        <v>0</v>
      </c>
      <c r="AF2462" s="26" t="str">
        <f>IF(AND(COUNTIFS($J$18:J2462,J2462)=1,AE2462=1),1,"")</f>
        <v/>
      </c>
      <c r="AG2462" s="26" t="str">
        <f>IF(C2462="","",IF(AND(COUNTIFS($J$18:J2462,J2462)=1,C2462&lt;&gt;""),1,""))</f>
        <v/>
      </c>
      <c r="AH2462" s="26" t="str">
        <f>IF(G2462="","",IF(AND(COUNTIFS($J$18:J2462,J2462)=1,G2462&lt;&gt;""),1,""))</f>
        <v/>
      </c>
      <c r="AI2462" s="27">
        <f t="shared" si="732"/>
        <v>25354039.366920356</v>
      </c>
      <c r="AJ2462" s="27">
        <f t="shared" si="733"/>
        <v>3027878.5311884549</v>
      </c>
      <c r="AK2462" s="28">
        <f t="shared" si="724"/>
        <v>0.11942391061910851</v>
      </c>
      <c r="AL2462" s="24"/>
      <c r="AM2462" s="24"/>
      <c r="AN2462" s="24"/>
      <c r="AO2462" s="24"/>
      <c r="AP2462" s="28" t="str">
        <f t="shared" si="725"/>
        <v>20248</v>
      </c>
      <c r="AQ2462" s="28" t="str">
        <f t="shared" si="726"/>
        <v>20248JPY</v>
      </c>
      <c r="AR2462" s="206" t="str">
        <f t="shared" si="727"/>
        <v>YAMAHA_Mounter</v>
      </c>
      <c r="AS2462" s="22">
        <f t="shared" si="728"/>
        <v>4</v>
      </c>
      <c r="AT2462" s="24" t="str">
        <f t="shared" si="729"/>
        <v>4-6 months</v>
      </c>
    </row>
    <row r="2463" spans="1:46" s="12" customFormat="1">
      <c r="A2463" s="33" t="str">
        <f t="shared" si="717"/>
        <v>FY 18/19</v>
      </c>
      <c r="B2463" s="152">
        <v>2018</v>
      </c>
      <c r="C2463" s="152">
        <v>10</v>
      </c>
      <c r="D2463" s="33" t="str">
        <f t="shared" si="718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19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20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1"/>
        <v>763500</v>
      </c>
      <c r="AA2463" s="13">
        <v>1.125</v>
      </c>
      <c r="AB2463" s="21">
        <f t="shared" si="721"/>
        <v>740463.36206896557</v>
      </c>
      <c r="AC2463" s="130">
        <f t="shared" si="722"/>
        <v>82857.850215517246</v>
      </c>
      <c r="AD2463" s="169">
        <v>0.1119</v>
      </c>
      <c r="AE2463" s="154">
        <f t="shared" si="723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2"/>
        <v>29840797.698275864</v>
      </c>
      <c r="AJ2463" s="19">
        <f t="shared" si="733"/>
        <v>3940167.6555448272</v>
      </c>
      <c r="AK2463" s="20">
        <f t="shared" si="724"/>
        <v>0.13203962224416277</v>
      </c>
      <c r="AL2463" s="17"/>
      <c r="AM2463" s="17"/>
      <c r="AN2463" s="17"/>
      <c r="AO2463" s="17"/>
      <c r="AP2463" s="28" t="str">
        <f t="shared" si="725"/>
        <v>201812</v>
      </c>
      <c r="AQ2463" s="28" t="str">
        <f t="shared" si="726"/>
        <v>201812RMB</v>
      </c>
      <c r="AR2463" s="206" t="str">
        <f t="shared" si="727"/>
        <v>YAMAHA_Mounter</v>
      </c>
      <c r="AS2463" s="22">
        <f t="shared" si="728"/>
        <v>2</v>
      </c>
      <c r="AT2463" s="24" t="str">
        <f t="shared" si="729"/>
        <v>0-3 months</v>
      </c>
    </row>
    <row r="2464" spans="1:46" s="12" customFormat="1">
      <c r="A2464" s="33" t="str">
        <f t="shared" ref="A2464:A2475" si="735">IF(C2464="cancel","cancel",IFERROR(IF(D2464="Q4","FY "&amp;RIGHT(B2464,2)-1&amp;"/"&amp;RIGHT(B2464,2),"FY "&amp;RIGHT(B2464,2)&amp;"/"&amp;RIGHT(B2464,2)+1),""))</f>
        <v>FY 20/21</v>
      </c>
      <c r="B2464" s="152">
        <v>2020</v>
      </c>
      <c r="C2464" s="152">
        <v>5</v>
      </c>
      <c r="D2464" s="33" t="str">
        <f t="shared" ref="D2464:D2475" si="736">IF(B2464="","",IF(AND(C2464&gt;=10,C2464&lt;=12),"Q3",IF(AND(C2464&gt;=1,C2464&lt;=3),"Q4",IF(AND(C2464&gt;=7,C2464&lt;=9),"Q2",IF(AND(C2464&gt;=4,C2464&lt;=6),"Q1")))))</f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ref="I2464:I2475" si="737">IFERROR(IF(F2464="","",IF(F2464="TBA","TBA",IF(F2464="Cancel","Cancel",IF(AND(G2464&gt;=10,G2464&lt;=12),"Q3",IF(AND(G2464&gt;=1,G2464&lt;=3),"Q4",IF(AND(G2464&gt;=7,G2464&lt;=9),"Q2",IF(AND(G2464&gt;=4,G2464&lt;=6),"Q1"))))))),"")</f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ref="P2464:P2475" si="738">IF(M2464="","",IF(AND(N2464&gt;0,L2464&lt;&gt;""),"MAIN UNIT",IF(AND(O2464&gt;0,L2464&lt;&gt;""),"SERVICE/ PARTS","C66 SERVICE/OTHERS")))</f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1"/>
        <v>1120652</v>
      </c>
      <c r="AA2464" s="13">
        <v>1.095</v>
      </c>
      <c r="AB2464" s="21">
        <f t="shared" ref="AB2464:AB2475" si="739">IF(AND(R2464&lt;&gt;"C66",R2464&lt;&gt;""),Z2464/Y2464*AA2464,"")</f>
        <v>1085941.5398230089</v>
      </c>
      <c r="AC2464" s="130">
        <f t="shared" ref="AC2464:AC2475" si="740">IF(R2464&lt;&gt;"",AB2464*AD2464,"")</f>
        <v>144104.4423345133</v>
      </c>
      <c r="AD2464" s="169">
        <v>0.13270000000000001</v>
      </c>
      <c r="AE2464" s="154">
        <f t="shared" ref="AE2464:AE2475" si="741">IF(Q2464="","",IF(Q2464="Yes",1,0))</f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2"/>
        <v>28065694.408805311</v>
      </c>
      <c r="AJ2464" s="19">
        <f t="shared" si="733"/>
        <v>4157433.2906989697</v>
      </c>
      <c r="AK2464" s="20">
        <f t="shared" ref="AK2464:AK2475" si="742">IF(AJ2464&gt;0,AJ2464/AI2464,"")</f>
        <v>0.14813220831602228</v>
      </c>
      <c r="AL2464" s="17"/>
      <c r="AM2464" s="17"/>
      <c r="AN2464" s="17"/>
      <c r="AO2464" s="17"/>
      <c r="AP2464" s="28" t="str">
        <f t="shared" ref="AP2464:AP2475" si="743">IF(F2464="","",F2464&amp;G2464)</f>
        <v>20205</v>
      </c>
      <c r="AQ2464" s="28" t="str">
        <f t="shared" ref="AQ2464:AQ2475" si="744">IF(W2464="","",F2464&amp;G2464&amp;W2464)</f>
        <v>20205RMB</v>
      </c>
      <c r="AR2464" s="206" t="str">
        <f t="shared" ref="AR2464:AR2475" si="745">IFERROR(IF(AND(M2464="YAMAHA", R2464="C28"), "YAMAHA_Non_Mounter", IF(AND(M2464="YAMAHA", R2464="C49"), "YAMAHA_Mounter", M2464)),"")</f>
        <v>YAMAHA_Mounter</v>
      </c>
      <c r="AS2464" s="22">
        <f t="shared" ref="AS2464:AS2475" si="746">IFERROR(IF(OR(G2464="TBA", G2464=""), "", DATEDIF(DATE(B2464, C2464, 1), DATE(F2464, G2464, 1), "M")),"")</f>
        <v>0</v>
      </c>
      <c r="AT2464" s="24" t="str">
        <f t="shared" ref="AT2464:AT2475" si="747">IF(ISNUMBER(AS2464), IF(AS2464&gt;=0, IF(AS2464&lt;=3, "0-3 months", IF(AS2464&lt;=6, "4-6 months", "&gt; 6 months"))), "")</f>
        <v>0-3 months</v>
      </c>
    </row>
    <row r="2465" spans="1:46" s="12" customFormat="1">
      <c r="A2465" s="33" t="str">
        <f t="shared" si="735"/>
        <v>FY 21/22</v>
      </c>
      <c r="B2465" s="152">
        <v>2021</v>
      </c>
      <c r="C2465" s="152">
        <v>11</v>
      </c>
      <c r="D2465" s="33" t="str">
        <f t="shared" si="736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37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8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1"/>
        <v>1155000</v>
      </c>
      <c r="AA2465" s="13">
        <v>1.2150000000000001</v>
      </c>
      <c r="AB2465" s="21">
        <f t="shared" si="739"/>
        <v>1241880.5309734514</v>
      </c>
      <c r="AC2465" s="130">
        <f t="shared" si="740"/>
        <v>219688.66592920356</v>
      </c>
      <c r="AD2465" s="169">
        <v>0.1769</v>
      </c>
      <c r="AE2465" s="154">
        <f t="shared" si="741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2"/>
        <v>25380121.402654871</v>
      </c>
      <c r="AJ2465" s="19">
        <f t="shared" si="733"/>
        <v>3850343.1237796471</v>
      </c>
      <c r="AK2465" s="20">
        <f t="shared" si="742"/>
        <v>0.1517070412191521</v>
      </c>
      <c r="AL2465" s="17"/>
      <c r="AM2465" s="17"/>
      <c r="AN2465" s="17"/>
      <c r="AO2465" s="17"/>
      <c r="AP2465" s="28" t="str">
        <f t="shared" si="743"/>
        <v>202112</v>
      </c>
      <c r="AQ2465" s="28" t="str">
        <f t="shared" si="744"/>
        <v>202112RMB</v>
      </c>
      <c r="AR2465" s="206" t="str">
        <f t="shared" si="745"/>
        <v>YAMAHA_Mounter</v>
      </c>
      <c r="AS2465" s="22">
        <f t="shared" si="746"/>
        <v>1</v>
      </c>
      <c r="AT2465" s="24" t="str">
        <f t="shared" si="747"/>
        <v>0-3 months</v>
      </c>
    </row>
    <row r="2466" spans="1:46" s="12" customFormat="1">
      <c r="A2466" s="33" t="str">
        <f t="shared" si="735"/>
        <v>FY 21/22</v>
      </c>
      <c r="B2466" s="152">
        <v>2021</v>
      </c>
      <c r="C2466" s="152">
        <v>11</v>
      </c>
      <c r="D2466" s="33" t="str">
        <f t="shared" si="736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37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8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1"/>
        <v>1155000</v>
      </c>
      <c r="AA2466" s="13">
        <v>1.22</v>
      </c>
      <c r="AB2466" s="21">
        <f t="shared" si="739"/>
        <v>1246991.150442478</v>
      </c>
      <c r="AC2466" s="130">
        <f t="shared" si="740"/>
        <v>220592.73451327436</v>
      </c>
      <c r="AD2466" s="169">
        <v>0.1769</v>
      </c>
      <c r="AE2466" s="154">
        <f t="shared" si="741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2"/>
        <v>26407088.359292038</v>
      </c>
      <c r="AJ2466" s="19">
        <f t="shared" si="733"/>
        <v>3424510.6998470789</v>
      </c>
      <c r="AK2466" s="20">
        <f t="shared" si="742"/>
        <v>0.12968149510667554</v>
      </c>
      <c r="AL2466" s="17"/>
      <c r="AM2466" s="17"/>
      <c r="AN2466" s="17"/>
      <c r="AO2466" s="17"/>
      <c r="AP2466" s="28" t="str">
        <f t="shared" si="743"/>
        <v>20221</v>
      </c>
      <c r="AQ2466" s="28" t="str">
        <f t="shared" si="744"/>
        <v>20221RMB</v>
      </c>
      <c r="AR2466" s="206" t="str">
        <f t="shared" si="745"/>
        <v>YAMAHA_Mounter</v>
      </c>
      <c r="AS2466" s="22">
        <f t="shared" si="746"/>
        <v>2</v>
      </c>
      <c r="AT2466" s="24" t="str">
        <f t="shared" si="747"/>
        <v>0-3 months</v>
      </c>
    </row>
    <row r="2467" spans="1:46" s="12" customFormat="1">
      <c r="A2467" s="33" t="str">
        <f t="shared" si="735"/>
        <v>FY 21/22</v>
      </c>
      <c r="B2467" s="152">
        <v>2021</v>
      </c>
      <c r="C2467" s="152">
        <v>9</v>
      </c>
      <c r="D2467" s="33" t="str">
        <f t="shared" si="736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37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8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1"/>
        <v>756000</v>
      </c>
      <c r="AA2467" s="13">
        <v>1.175</v>
      </c>
      <c r="AB2467" s="21">
        <f t="shared" si="739"/>
        <v>786106.19469026558</v>
      </c>
      <c r="AC2467" s="130">
        <f t="shared" si="740"/>
        <v>163745.92035398234</v>
      </c>
      <c r="AD2467" s="169">
        <v>0.20830000000000001</v>
      </c>
      <c r="AE2467" s="154">
        <f t="shared" si="741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2"/>
        <v>35682787.057522126</v>
      </c>
      <c r="AJ2467" s="19">
        <f t="shared" si="733"/>
        <v>5833368.3789623892</v>
      </c>
      <c r="AK2467" s="20">
        <f t="shared" si="742"/>
        <v>0.16347849649632912</v>
      </c>
      <c r="AL2467" s="17"/>
      <c r="AM2467" s="17"/>
      <c r="AN2467" s="17"/>
      <c r="AO2467" s="17"/>
      <c r="AP2467" s="28" t="str">
        <f t="shared" si="743"/>
        <v>20226</v>
      </c>
      <c r="AQ2467" s="28" t="str">
        <f t="shared" si="744"/>
        <v>20226RMB</v>
      </c>
      <c r="AR2467" s="206" t="str">
        <f t="shared" si="745"/>
        <v>YAMAHA_Mounter</v>
      </c>
      <c r="AS2467" s="22">
        <f t="shared" si="746"/>
        <v>9</v>
      </c>
      <c r="AT2467" s="24" t="str">
        <f t="shared" si="747"/>
        <v>&gt; 6 months</v>
      </c>
    </row>
    <row r="2468" spans="1:46" s="12" customFormat="1">
      <c r="A2468" s="33" t="str">
        <f t="shared" si="735"/>
        <v>FY 18/19</v>
      </c>
      <c r="B2468" s="152">
        <v>2018</v>
      </c>
      <c r="C2468" s="152">
        <v>10</v>
      </c>
      <c r="D2468" s="33" t="str">
        <f t="shared" si="736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37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8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1"/>
        <v>532300</v>
      </c>
      <c r="AA2468" s="13">
        <v>1.125</v>
      </c>
      <c r="AB2468" s="21">
        <f t="shared" si="739"/>
        <v>516239.22413793101</v>
      </c>
      <c r="AC2468" s="130">
        <f t="shared" si="740"/>
        <v>57767.169181034478</v>
      </c>
      <c r="AD2468" s="169">
        <v>0.1119</v>
      </c>
      <c r="AE2468" s="154">
        <f t="shared" si="741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2"/>
        <v>29840797.698275864</v>
      </c>
      <c r="AJ2468" s="19">
        <f t="shared" si="733"/>
        <v>3940167.6555448272</v>
      </c>
      <c r="AK2468" s="20">
        <f t="shared" si="742"/>
        <v>0.13203962224416277</v>
      </c>
      <c r="AL2468" s="17"/>
      <c r="AM2468" s="17"/>
      <c r="AN2468" s="17"/>
      <c r="AO2468" s="17"/>
      <c r="AP2468" s="28" t="str">
        <f t="shared" si="743"/>
        <v>201812</v>
      </c>
      <c r="AQ2468" s="28" t="str">
        <f t="shared" si="744"/>
        <v>201812RMB</v>
      </c>
      <c r="AR2468" s="206" t="str">
        <f t="shared" si="745"/>
        <v>YAMAHA_Non_Mounter</v>
      </c>
      <c r="AS2468" s="22">
        <f t="shared" si="746"/>
        <v>2</v>
      </c>
      <c r="AT2468" s="24" t="str">
        <f t="shared" si="747"/>
        <v>0-3 months</v>
      </c>
    </row>
    <row r="2469" spans="1:46" s="12" customFormat="1">
      <c r="A2469" s="33" t="str">
        <f t="shared" si="735"/>
        <v>FY 18/19</v>
      </c>
      <c r="B2469" s="152">
        <v>2018</v>
      </c>
      <c r="C2469" s="152">
        <v>10</v>
      </c>
      <c r="D2469" s="33" t="str">
        <f t="shared" si="736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37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8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1"/>
        <v>420000</v>
      </c>
      <c r="AA2469" s="13">
        <v>1.125</v>
      </c>
      <c r="AB2469" s="21">
        <f t="shared" si="739"/>
        <v>407327.58620689658</v>
      </c>
      <c r="AC2469" s="130">
        <f t="shared" si="740"/>
        <v>45579.956896551725</v>
      </c>
      <c r="AD2469" s="169">
        <v>0.1119</v>
      </c>
      <c r="AE2469" s="154">
        <f t="shared" si="741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2"/>
        <v>29840797.698275864</v>
      </c>
      <c r="AJ2469" s="19">
        <f t="shared" si="733"/>
        <v>3940167.6555448272</v>
      </c>
      <c r="AK2469" s="20">
        <f t="shared" si="742"/>
        <v>0.13203962224416277</v>
      </c>
      <c r="AL2469" s="17"/>
      <c r="AM2469" s="17"/>
      <c r="AN2469" s="17"/>
      <c r="AO2469" s="17"/>
      <c r="AP2469" s="28" t="str">
        <f t="shared" si="743"/>
        <v>201812</v>
      </c>
      <c r="AQ2469" s="28" t="str">
        <f t="shared" si="744"/>
        <v>201812RMB</v>
      </c>
      <c r="AR2469" s="206" t="str">
        <f t="shared" si="745"/>
        <v>HELLER</v>
      </c>
      <c r="AS2469" s="22">
        <f t="shared" si="746"/>
        <v>2</v>
      </c>
      <c r="AT2469" s="24" t="str">
        <f t="shared" si="747"/>
        <v>0-3 months</v>
      </c>
    </row>
    <row r="2470" spans="1:46" s="12" customFormat="1">
      <c r="A2470" s="33" t="str">
        <f t="shared" si="735"/>
        <v>FY 21/22</v>
      </c>
      <c r="B2470" s="152">
        <v>2021</v>
      </c>
      <c r="C2470" s="152">
        <v>11</v>
      </c>
      <c r="D2470" s="33" t="str">
        <f t="shared" si="736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37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8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1"/>
        <v>465000</v>
      </c>
      <c r="AA2470" s="13">
        <v>1.22</v>
      </c>
      <c r="AB2470" s="21">
        <f t="shared" si="739"/>
        <v>502035.39823008853</v>
      </c>
      <c r="AC2470" s="130">
        <f t="shared" si="740"/>
        <v>117275.46902654869</v>
      </c>
      <c r="AD2470" s="169">
        <v>0.2336</v>
      </c>
      <c r="AE2470" s="154">
        <f t="shared" si="741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2"/>
        <v>26407088.359292038</v>
      </c>
      <c r="AJ2470" s="19">
        <f t="shared" si="733"/>
        <v>3424510.6998470789</v>
      </c>
      <c r="AK2470" s="20">
        <f t="shared" si="742"/>
        <v>0.12968149510667554</v>
      </c>
      <c r="AL2470" s="17"/>
      <c r="AM2470" s="17"/>
      <c r="AN2470" s="17"/>
      <c r="AO2470" s="17"/>
      <c r="AP2470" s="28" t="str">
        <f t="shared" si="743"/>
        <v>20221</v>
      </c>
      <c r="AQ2470" s="28" t="str">
        <f t="shared" si="744"/>
        <v>20221RMB</v>
      </c>
      <c r="AR2470" s="206" t="str">
        <f t="shared" si="745"/>
        <v>YAMAHA_Non_Mounter</v>
      </c>
      <c r="AS2470" s="22">
        <f t="shared" si="746"/>
        <v>2</v>
      </c>
      <c r="AT2470" s="24" t="str">
        <f t="shared" si="747"/>
        <v>0-3 months</v>
      </c>
    </row>
    <row r="2471" spans="1:46" s="12" customFormat="1">
      <c r="A2471" s="33" t="str">
        <f t="shared" si="735"/>
        <v>FY 21/22</v>
      </c>
      <c r="B2471" s="152">
        <v>2021</v>
      </c>
      <c r="C2471" s="152">
        <v>11</v>
      </c>
      <c r="D2471" s="33" t="str">
        <f t="shared" si="736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37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8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1"/>
        <v>360000</v>
      </c>
      <c r="AA2471" s="13">
        <v>1.22</v>
      </c>
      <c r="AB2471" s="21">
        <f t="shared" si="739"/>
        <v>388672.56637168146</v>
      </c>
      <c r="AC2471" s="130">
        <f t="shared" si="740"/>
        <v>90793.911504424788</v>
      </c>
      <c r="AD2471" s="169">
        <v>0.2336</v>
      </c>
      <c r="AE2471" s="154">
        <f t="shared" si="741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2"/>
        <v>26407088.359292038</v>
      </c>
      <c r="AJ2471" s="19">
        <f t="shared" si="733"/>
        <v>3424510.6998470789</v>
      </c>
      <c r="AK2471" s="20">
        <f t="shared" si="742"/>
        <v>0.12968149510667554</v>
      </c>
      <c r="AL2471" s="17"/>
      <c r="AM2471" s="17"/>
      <c r="AN2471" s="17"/>
      <c r="AO2471" s="17"/>
      <c r="AP2471" s="28" t="str">
        <f t="shared" si="743"/>
        <v>20221</v>
      </c>
      <c r="AQ2471" s="28" t="str">
        <f t="shared" si="744"/>
        <v>20221RMB</v>
      </c>
      <c r="AR2471" s="206" t="str">
        <f t="shared" si="745"/>
        <v>HELLER</v>
      </c>
      <c r="AS2471" s="22">
        <f t="shared" si="746"/>
        <v>2</v>
      </c>
      <c r="AT2471" s="24" t="str">
        <f t="shared" si="747"/>
        <v>0-3 months</v>
      </c>
    </row>
    <row r="2472" spans="1:46" s="12" customFormat="1">
      <c r="A2472" s="33" t="str">
        <f t="shared" si="735"/>
        <v>FY 18/19</v>
      </c>
      <c r="B2472" s="152">
        <v>2018</v>
      </c>
      <c r="C2472" s="152">
        <v>7</v>
      </c>
      <c r="D2472" s="33" t="str">
        <f t="shared" si="736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37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8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1"/>
        <v>100000</v>
      </c>
      <c r="AA2472" s="13">
        <v>1.1499999999999999</v>
      </c>
      <c r="AB2472" s="21">
        <f t="shared" si="739"/>
        <v>99137.931034482754</v>
      </c>
      <c r="AC2472" s="130">
        <f t="shared" si="740"/>
        <v>33716.810344827587</v>
      </c>
      <c r="AD2472" s="169">
        <v>0.34010000000000001</v>
      </c>
      <c r="AE2472" s="154">
        <f t="shared" si="741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2"/>
        <v>26492741.106427077</v>
      </c>
      <c r="AJ2472" s="19">
        <f t="shared" si="733"/>
        <v>3348032.1325698122</v>
      </c>
      <c r="AK2472" s="20">
        <f t="shared" si="742"/>
        <v>0.12637545201985867</v>
      </c>
      <c r="AL2472" s="17"/>
      <c r="AM2472" s="17"/>
      <c r="AN2472" s="17"/>
      <c r="AO2472" s="17"/>
      <c r="AP2472" s="28" t="str">
        <f t="shared" si="743"/>
        <v>20189</v>
      </c>
      <c r="AQ2472" s="28" t="str">
        <f t="shared" si="744"/>
        <v>20189RMB</v>
      </c>
      <c r="AR2472" s="206" t="str">
        <f t="shared" si="745"/>
        <v>LOCAL SUPPLIER</v>
      </c>
      <c r="AS2472" s="22">
        <f t="shared" si="746"/>
        <v>2</v>
      </c>
      <c r="AT2472" s="24" t="str">
        <f t="shared" si="747"/>
        <v>0-3 months</v>
      </c>
    </row>
    <row r="2473" spans="1:46" s="12" customFormat="1">
      <c r="A2473" s="33" t="str">
        <f t="shared" si="735"/>
        <v>FY 21/22</v>
      </c>
      <c r="B2473" s="152">
        <v>2021</v>
      </c>
      <c r="C2473" s="152">
        <v>4</v>
      </c>
      <c r="D2473" s="33" t="str">
        <f t="shared" si="736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37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8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1"/>
        <v>1000000</v>
      </c>
      <c r="AA2473" s="13">
        <v>1.2</v>
      </c>
      <c r="AB2473" s="21">
        <f t="shared" si="739"/>
        <v>1061946.9026548674</v>
      </c>
      <c r="AC2473" s="130">
        <f t="shared" si="740"/>
        <v>163327.4336283186</v>
      </c>
      <c r="AD2473" s="169">
        <v>0.15379999999999999</v>
      </c>
      <c r="AE2473" s="154">
        <f t="shared" si="741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2"/>
        <v>41443303.53761062</v>
      </c>
      <c r="AJ2473" s="19">
        <f t="shared" si="733"/>
        <v>6194988.76643031</v>
      </c>
      <c r="AK2473" s="20">
        <f t="shared" si="742"/>
        <v>0.1494810557466355</v>
      </c>
      <c r="AL2473" s="17"/>
      <c r="AM2473" s="17"/>
      <c r="AN2473" s="17"/>
      <c r="AO2473" s="17"/>
      <c r="AP2473" s="28" t="str">
        <f t="shared" si="743"/>
        <v>20217</v>
      </c>
      <c r="AQ2473" s="28" t="str">
        <f t="shared" si="744"/>
        <v>20217RMB</v>
      </c>
      <c r="AR2473" s="206" t="str">
        <f t="shared" si="745"/>
        <v>YAMAHA_Mounter</v>
      </c>
      <c r="AS2473" s="22">
        <f t="shared" si="746"/>
        <v>3</v>
      </c>
      <c r="AT2473" s="24" t="str">
        <f t="shared" si="747"/>
        <v>0-3 months</v>
      </c>
    </row>
    <row r="2474" spans="1:46" s="12" customFormat="1">
      <c r="A2474" s="33" t="str">
        <f t="shared" si="735"/>
        <v>FY 21/22</v>
      </c>
      <c r="B2474" s="152">
        <v>2021</v>
      </c>
      <c r="C2474" s="152">
        <v>4</v>
      </c>
      <c r="D2474" s="33" t="str">
        <f t="shared" si="736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37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8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1"/>
        <v>1000000</v>
      </c>
      <c r="AA2474" s="13">
        <v>1.2</v>
      </c>
      <c r="AB2474" s="21">
        <f t="shared" si="739"/>
        <v>1061946.9026548674</v>
      </c>
      <c r="AC2474" s="130">
        <f t="shared" si="740"/>
        <v>163327.4336283186</v>
      </c>
      <c r="AD2474" s="169">
        <v>0.15379999999999999</v>
      </c>
      <c r="AE2474" s="154">
        <f t="shared" si="741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2"/>
        <v>41443303.53761062</v>
      </c>
      <c r="AJ2474" s="19">
        <f t="shared" si="733"/>
        <v>6194988.76643031</v>
      </c>
      <c r="AK2474" s="20">
        <f t="shared" si="742"/>
        <v>0.1494810557466355</v>
      </c>
      <c r="AL2474" s="17"/>
      <c r="AM2474" s="17"/>
      <c r="AN2474" s="17"/>
      <c r="AO2474" s="17"/>
      <c r="AP2474" s="28" t="str">
        <f t="shared" si="743"/>
        <v>20217</v>
      </c>
      <c r="AQ2474" s="28" t="str">
        <f t="shared" si="744"/>
        <v>20217RMB</v>
      </c>
      <c r="AR2474" s="206" t="str">
        <f t="shared" si="745"/>
        <v>YAMAHA_Mounter</v>
      </c>
      <c r="AS2474" s="22">
        <f t="shared" si="746"/>
        <v>3</v>
      </c>
      <c r="AT2474" s="24" t="str">
        <f t="shared" si="747"/>
        <v>0-3 months</v>
      </c>
    </row>
    <row r="2475" spans="1:46" s="12" customFormat="1">
      <c r="A2475" s="33" t="str">
        <f t="shared" si="735"/>
        <v>FY 23/24</v>
      </c>
      <c r="B2475" s="23">
        <v>2023</v>
      </c>
      <c r="C2475" s="152">
        <v>12</v>
      </c>
      <c r="D2475" s="33" t="str">
        <f t="shared" si="736"/>
        <v>Q3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152">
        <v>2024</v>
      </c>
      <c r="G2475" s="152">
        <v>7</v>
      </c>
      <c r="H2475" s="29"/>
      <c r="I2475" s="33" t="str">
        <f t="shared" si="737"/>
        <v>Q2</v>
      </c>
      <c r="J2475" s="188" t="s">
        <v>3516</v>
      </c>
      <c r="K2475" s="29" t="s">
        <v>412</v>
      </c>
      <c r="L2475" s="17" t="s">
        <v>2621</v>
      </c>
      <c r="M2475" s="22" t="s">
        <v>61</v>
      </c>
      <c r="N2475" s="22">
        <v>1</v>
      </c>
      <c r="O2475" s="22"/>
      <c r="P2475" s="33" t="str">
        <f t="shared" si="738"/>
        <v>MAIN UNIT</v>
      </c>
      <c r="Q2475" s="13" t="s">
        <v>62</v>
      </c>
      <c r="R2475" s="22" t="s">
        <v>2056</v>
      </c>
      <c r="S2475" s="22" t="s">
        <v>53</v>
      </c>
      <c r="T2475" s="22" t="s">
        <v>413</v>
      </c>
      <c r="U2475" s="22" t="s">
        <v>1078</v>
      </c>
      <c r="V2475" s="22" t="s">
        <v>144</v>
      </c>
      <c r="W2475" s="22" t="s">
        <v>65</v>
      </c>
      <c r="X2475" s="30">
        <v>350000</v>
      </c>
      <c r="Y2475" s="31" t="str">
        <f t="shared" ref="Y2475" si="748">IF(W2475="","",IF(W2475="RMB","1.13", "1"))</f>
        <v>1.13</v>
      </c>
      <c r="Z2475" s="18">
        <f t="shared" si="731"/>
        <v>350000</v>
      </c>
      <c r="AA2475" s="22">
        <v>1.075</v>
      </c>
      <c r="AB2475" s="21">
        <f t="shared" si="739"/>
        <v>332964.60176991147</v>
      </c>
      <c r="AC2475" s="25">
        <f t="shared" si="740"/>
        <v>60100.110619469022</v>
      </c>
      <c r="AD2475" s="169">
        <v>0.18049999999999999</v>
      </c>
      <c r="AE2475" s="26">
        <f t="shared" si="741"/>
        <v>0</v>
      </c>
      <c r="AF2475" s="26" t="str">
        <f>IF(AND(COUNTIFS($J$18:J2474,#REF!)=1,AE2475=1),1,"")</f>
        <v/>
      </c>
      <c r="AG2475" s="26" t="str">
        <f>IF(C2475="","",IF(AND(COUNTIFS($J$18:J2474,#REF!)=1,C2475&lt;&gt;""),1,""))</f>
        <v/>
      </c>
      <c r="AH2475" s="26" t="str">
        <f>IF(G2475="","",IF(AND(COUNTIFS($J$18:J2474,#REF!)=1,G2475&lt;&gt;""),1,""))</f>
        <v/>
      </c>
      <c r="AI2475" s="27">
        <f t="shared" si="732"/>
        <v>25458266.694690265</v>
      </c>
      <c r="AJ2475" s="27">
        <f t="shared" si="733"/>
        <v>4116526.778578762</v>
      </c>
      <c r="AK2475" s="28">
        <f t="shared" si="742"/>
        <v>0.16169705612508689</v>
      </c>
      <c r="AL2475" s="24"/>
      <c r="AM2475" s="24"/>
      <c r="AN2475" s="24"/>
      <c r="AO2475" s="24"/>
      <c r="AP2475" s="28" t="str">
        <f t="shared" si="743"/>
        <v>20247</v>
      </c>
      <c r="AQ2475" s="28" t="str">
        <f t="shared" si="744"/>
        <v>20247RMB</v>
      </c>
      <c r="AR2475" s="206" t="str">
        <f t="shared" si="745"/>
        <v>YAMAHA_Non_Mounter</v>
      </c>
      <c r="AS2475" s="22">
        <f t="shared" si="746"/>
        <v>7</v>
      </c>
      <c r="AT2475" s="24" t="str">
        <f t="shared" si="747"/>
        <v>&gt; 6 months</v>
      </c>
    </row>
    <row r="2476" spans="1:46" s="12" customFormat="1">
      <c r="A2476" s="33" t="str">
        <f t="shared" ref="A2476:A2539" si="749">IF(C2476="cancel","cancel",IFERROR(IF(D2476="Q4","FY "&amp;RIGHT(B2476,2)-1&amp;"/"&amp;RIGHT(B2476,2),"FY "&amp;RIGHT(B2476,2)&amp;"/"&amp;RIGHT(B2476,2)+1),""))</f>
        <v>FY 24/25</v>
      </c>
      <c r="B2476" s="23">
        <v>2024</v>
      </c>
      <c r="C2476" s="23">
        <v>7</v>
      </c>
      <c r="D2476" s="202" t="str">
        <f t="shared" ref="D2476:D2539" si="750">IF(B2476="","",IF(AND(C2476&gt;=10,C2476&lt;=12),"Q3",IF(AND(C2476&gt;=1,C2476&lt;=3),"Q4",IF(AND(C2476&gt;=7,C2476&lt;=9),"Q2",IF(AND(C2476&gt;=4,C2476&lt;=6),"Q1")))))</f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ref="I2476:I2539" si="751">IFERROR(IF(F2476="","",IF(F2476="TBA","TBA",IF(F2476="Cancel","Cancel",IF(AND(G2476&gt;=10,G2476&lt;=12),"Q3",IF(AND(G2476&gt;=1,G2476&lt;=3),"Q4",IF(AND(G2476&gt;=7,G2476&lt;=9),"Q2",IF(AND(G2476&gt;=4,G2476&lt;=6),"Q1"))))))),"")</f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ref="P2476:P2539" si="752">IF(M2476="","",IF(AND(N2476&gt;0,L2476&lt;&gt;""),"MAIN UNIT",IF(AND(O2476&gt;0,L2476&lt;&gt;""),"SERVICE/ PARTS","C66 SERVICE/OTHERS")))</f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>IF(W2476="","",IF(W2476="RMB","1.13", "1"))</f>
        <v>1.13</v>
      </c>
      <c r="Z2476" s="196">
        <f t="shared" ref="Z2476:Z2507" si="753">IF(X2476="","",X2476*MAX(O2476,N2476))</f>
        <v>358000</v>
      </c>
      <c r="AA2476" s="22">
        <v>1.1080000000000001</v>
      </c>
      <c r="AB2476" s="197">
        <f t="shared" ref="AB2476:AB2539" si="754">IF(AND(R2476&lt;&gt;"C66",R2476&lt;&gt;""),Z2476/Y2476*AA2476,"")</f>
        <v>351030.0884955753</v>
      </c>
      <c r="AC2476" s="198">
        <f t="shared" ref="AC2476:AC2539" si="755">IF(R2476&lt;&gt;"",AB2476*AD2476,"")</f>
        <v>58902.848849557537</v>
      </c>
      <c r="AD2476" s="173">
        <v>0.1678</v>
      </c>
      <c r="AE2476" s="199">
        <f t="shared" ref="AE2476:AE2539" si="756">IF(Q2476="","",IF(Q2476="Yes",1,0))</f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2"/>
        <v>25860689.500884958</v>
      </c>
      <c r="AJ2476" s="200">
        <f t="shared" si="733"/>
        <v>3153620.4547964605</v>
      </c>
      <c r="AK2476" s="201">
        <f t="shared" ref="AK2476:AK2539" si="757">IF(AJ2476&gt;0,AJ2476/AI2476,"")</f>
        <v>0.1219464954593938</v>
      </c>
      <c r="AL2476" s="24"/>
      <c r="AM2476" s="24"/>
      <c r="AN2476" s="24"/>
      <c r="AO2476" s="24"/>
      <c r="AP2476" s="105" t="str">
        <f t="shared" ref="AP2476:AP2539" si="758">IF(F2476="","",F2476&amp;G2476)</f>
        <v>202410</v>
      </c>
      <c r="AQ2476" s="28" t="str">
        <f t="shared" ref="AQ2476:AQ2539" si="759">IF(W2476="","",F2476&amp;G2476&amp;W2476)</f>
        <v>202410RMB</v>
      </c>
      <c r="AR2476" s="206" t="str">
        <f t="shared" ref="AR2476:AR2539" si="760">IFERROR(IF(AND(M2476="YAMAHA", R2476="C28"), "YAMAHA_Non_Mounter", IF(AND(M2476="YAMAHA", R2476="C49"), "YAMAHA_Mounter", M2476)),"")</f>
        <v>YAMAHA_Non_Mounter</v>
      </c>
      <c r="AS2476" s="22">
        <f t="shared" ref="AS2476:AS2539" si="761">IFERROR(IF(OR(G2476="TBA", G2476=""), "", DATEDIF(DATE(B2476, C2476, 1), DATE(F2476, G2476, 1), "M")),"")</f>
        <v>3</v>
      </c>
      <c r="AT2476" s="24" t="str">
        <f t="shared" ref="AT2476:AT2539" si="762">IF(ISNUMBER(AS2476), IF(AS2476&gt;=0, IF(AS2476&lt;=3, "0-3 months", IF(AS2476&lt;=6, "4-6 months", "&gt; 6 months"))), "")</f>
        <v>0-3 months</v>
      </c>
    </row>
    <row r="2477" spans="1:46" s="12" customFormat="1">
      <c r="A2477" s="33" t="str">
        <f t="shared" si="749"/>
        <v>FY 24/25</v>
      </c>
      <c r="B2477" s="23">
        <v>2024</v>
      </c>
      <c r="C2477" s="152">
        <v>4</v>
      </c>
      <c r="D2477" s="33" t="str">
        <f t="shared" si="750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8</v>
      </c>
      <c r="H2477" s="29"/>
      <c r="I2477" s="33" t="str">
        <f t="shared" si="751"/>
        <v>Q2</v>
      </c>
      <c r="J2477" s="188" t="s">
        <v>3404</v>
      </c>
      <c r="K2477" s="29" t="s">
        <v>1971</v>
      </c>
      <c r="L2477" s="17" t="s">
        <v>93</v>
      </c>
      <c r="M2477" s="22" t="s">
        <v>61</v>
      </c>
      <c r="N2477" s="22">
        <v>1</v>
      </c>
      <c r="O2477" s="22"/>
      <c r="P2477" s="33" t="str">
        <f t="shared" si="752"/>
        <v>MAIN UNIT</v>
      </c>
      <c r="Q2477" s="13" t="s">
        <v>62</v>
      </c>
      <c r="R2477" s="22" t="s">
        <v>63</v>
      </c>
      <c r="S2477" s="22" t="s">
        <v>50</v>
      </c>
      <c r="T2477" s="22" t="s">
        <v>79</v>
      </c>
      <c r="U2477" s="22" t="s">
        <v>3407</v>
      </c>
      <c r="V2477" s="22" t="s">
        <v>122</v>
      </c>
      <c r="W2477" s="22" t="s">
        <v>110</v>
      </c>
      <c r="X2477" s="30">
        <v>15000000</v>
      </c>
      <c r="Y2477" s="31" t="str">
        <f>IF(W2477="","",IF(W2477="RMB","1.13", "1"))</f>
        <v>1</v>
      </c>
      <c r="Z2477" s="18">
        <f t="shared" si="753"/>
        <v>15000000</v>
      </c>
      <c r="AA2477" s="22">
        <v>5.2299999999999999E-2</v>
      </c>
      <c r="AB2477" s="21">
        <f t="shared" si="754"/>
        <v>784500</v>
      </c>
      <c r="AC2477" s="25">
        <f t="shared" si="755"/>
        <v>121283.7</v>
      </c>
      <c r="AD2477" s="170">
        <v>0.15459999999999999</v>
      </c>
      <c r="AE2477" s="26">
        <f t="shared" si="756"/>
        <v>0</v>
      </c>
      <c r="AF2477" s="26" t="str">
        <f>IF(AND(COUNTIFS($J$18:J2477,J2477)=1,AE2477=1),1,"")</f>
        <v/>
      </c>
      <c r="AG2477" s="26">
        <f>IF(C2477="","",IF(AND(COUNTIFS($J$18:J2477,J2477)=1,C2477&lt;&gt;""),1,""))</f>
        <v>1</v>
      </c>
      <c r="AH2477" s="26">
        <f>IF(G2477="","",IF(AND(COUNTIFS($J$18:J2477,J2477)=1,G2477&lt;&gt;""),1,""))</f>
        <v>1</v>
      </c>
      <c r="AI2477" s="27">
        <f t="shared" si="732"/>
        <v>25354039.366920356</v>
      </c>
      <c r="AJ2477" s="27">
        <f t="shared" si="733"/>
        <v>3027878.5311884549</v>
      </c>
      <c r="AK2477" s="28">
        <f t="shared" si="757"/>
        <v>0.11942391061910851</v>
      </c>
      <c r="AL2477" s="24"/>
      <c r="AM2477" s="24"/>
      <c r="AN2477" s="24"/>
      <c r="AO2477" s="24"/>
      <c r="AP2477" s="28" t="str">
        <f t="shared" si="758"/>
        <v>20248</v>
      </c>
      <c r="AQ2477" s="28" t="str">
        <f t="shared" si="759"/>
        <v>20248JPY</v>
      </c>
      <c r="AR2477" s="206" t="str">
        <f t="shared" si="760"/>
        <v>YAMAHA_Mounter</v>
      </c>
      <c r="AS2477" s="22">
        <f t="shared" si="761"/>
        <v>4</v>
      </c>
      <c r="AT2477" s="24" t="str">
        <f t="shared" si="762"/>
        <v>4-6 months</v>
      </c>
    </row>
    <row r="2478" spans="1:46" s="12" customFormat="1">
      <c r="A2478" s="33" t="str">
        <f t="shared" si="749"/>
        <v>FY 24/25</v>
      </c>
      <c r="B2478" s="23">
        <v>2024</v>
      </c>
      <c r="C2478" s="152">
        <v>4</v>
      </c>
      <c r="D2478" s="33" t="str">
        <f t="shared" si="750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8</v>
      </c>
      <c r="H2478" s="29"/>
      <c r="I2478" s="33" t="str">
        <f t="shared" si="751"/>
        <v>Q2</v>
      </c>
      <c r="J2478" s="188" t="s">
        <v>3404</v>
      </c>
      <c r="K2478" s="29" t="s">
        <v>1971</v>
      </c>
      <c r="L2478" s="17" t="s">
        <v>68</v>
      </c>
      <c r="M2478" s="22" t="s">
        <v>61</v>
      </c>
      <c r="N2478" s="22">
        <v>1</v>
      </c>
      <c r="O2478" s="22"/>
      <c r="P2478" s="33" t="str">
        <f t="shared" si="752"/>
        <v>MAIN UNIT</v>
      </c>
      <c r="Q2478" s="13" t="s">
        <v>62</v>
      </c>
      <c r="R2478" s="22" t="s">
        <v>63</v>
      </c>
      <c r="S2478" s="22" t="s">
        <v>50</v>
      </c>
      <c r="T2478" s="22" t="s">
        <v>79</v>
      </c>
      <c r="U2478" s="22" t="s">
        <v>3407</v>
      </c>
      <c r="V2478" s="22" t="s">
        <v>122</v>
      </c>
      <c r="W2478" s="22" t="s">
        <v>110</v>
      </c>
      <c r="X2478" s="30">
        <v>11200000</v>
      </c>
      <c r="Y2478" s="31" t="str">
        <f>IF(W2478="","",IF(W2478="RMB","1.13", "1"))</f>
        <v>1</v>
      </c>
      <c r="Z2478" s="18">
        <f t="shared" si="753"/>
        <v>11200000</v>
      </c>
      <c r="AA2478" s="22">
        <v>5.2299999999999999E-2</v>
      </c>
      <c r="AB2478" s="21">
        <f t="shared" si="754"/>
        <v>585760</v>
      </c>
      <c r="AC2478" s="25">
        <f t="shared" si="755"/>
        <v>90558.495999999999</v>
      </c>
      <c r="AD2478" s="170">
        <v>0.15459999999999999</v>
      </c>
      <c r="AE2478" s="26">
        <f t="shared" si="756"/>
        <v>0</v>
      </c>
      <c r="AF2478" s="26" t="str">
        <f>IF(AND(COUNTIFS($J$18:J2478,J2478)=1,AE2478=1),1,"")</f>
        <v/>
      </c>
      <c r="AG2478" s="26" t="str">
        <f>IF(C2478="","",IF(AND(COUNTIFS($J$18:J2478,J2478)=1,C2478&lt;&gt;""),1,""))</f>
        <v/>
      </c>
      <c r="AH2478" s="26" t="str">
        <f>IF(G2478="","",IF(AND(COUNTIFS($J$18:J2478,J2478)=1,G2478&lt;&gt;""),1,""))</f>
        <v/>
      </c>
      <c r="AI2478" s="27">
        <f t="shared" si="732"/>
        <v>25354039.366920356</v>
      </c>
      <c r="AJ2478" s="27">
        <f t="shared" si="733"/>
        <v>3027878.5311884549</v>
      </c>
      <c r="AK2478" s="28">
        <f t="shared" si="757"/>
        <v>0.11942391061910851</v>
      </c>
      <c r="AL2478" s="24"/>
      <c r="AM2478" s="24"/>
      <c r="AN2478" s="24"/>
      <c r="AO2478" s="24"/>
      <c r="AP2478" s="28" t="str">
        <f t="shared" si="758"/>
        <v>20248</v>
      </c>
      <c r="AQ2478" s="28" t="str">
        <f t="shared" si="759"/>
        <v>20248JPY</v>
      </c>
      <c r="AR2478" s="206" t="str">
        <f t="shared" si="760"/>
        <v>YAMAHA_Mounter</v>
      </c>
      <c r="AS2478" s="22">
        <f t="shared" si="761"/>
        <v>4</v>
      </c>
      <c r="AT2478" s="24" t="str">
        <f t="shared" si="762"/>
        <v>4-6 months</v>
      </c>
    </row>
    <row r="2479" spans="1:46" s="12" customFormat="1">
      <c r="A2479" s="33" t="str">
        <f t="shared" si="749"/>
        <v>FY 24/25</v>
      </c>
      <c r="B2479" s="23">
        <v>2024</v>
      </c>
      <c r="C2479" s="152">
        <v>5</v>
      </c>
      <c r="D2479" s="202" t="str">
        <f t="shared" si="750"/>
        <v>Q1</v>
      </c>
      <c r="E2479" s="33" t="s">
        <v>3173</v>
      </c>
      <c r="F2479" s="152">
        <v>2024</v>
      </c>
      <c r="G2479" s="23">
        <v>9</v>
      </c>
      <c r="H2479" s="29"/>
      <c r="I2479" s="202" t="str">
        <f t="shared" si="751"/>
        <v>Q2</v>
      </c>
      <c r="J2479" s="188" t="s">
        <v>3438</v>
      </c>
      <c r="K2479" s="29" t="s">
        <v>1000</v>
      </c>
      <c r="L2479" s="17" t="s">
        <v>2621</v>
      </c>
      <c r="M2479" s="22" t="s">
        <v>61</v>
      </c>
      <c r="N2479" s="22">
        <v>1</v>
      </c>
      <c r="O2479" s="22"/>
      <c r="P2479" s="33" t="str">
        <f t="shared" si="752"/>
        <v>MAIN UNIT</v>
      </c>
      <c r="Q2479" s="22" t="s">
        <v>62</v>
      </c>
      <c r="R2479" s="22" t="s">
        <v>2056</v>
      </c>
      <c r="S2479" s="22" t="s">
        <v>50</v>
      </c>
      <c r="T2479" s="22" t="s">
        <v>79</v>
      </c>
      <c r="U2479" s="22" t="s">
        <v>79</v>
      </c>
      <c r="V2479" s="22" t="s">
        <v>312</v>
      </c>
      <c r="W2479" s="22" t="s">
        <v>110</v>
      </c>
      <c r="X2479" s="104">
        <v>7400000</v>
      </c>
      <c r="Y2479" s="195" t="str">
        <f>IF(W2479="","",IF(W2479="RMB","1.13", "1"))</f>
        <v>1</v>
      </c>
      <c r="Z2479" s="196">
        <f t="shared" si="753"/>
        <v>7400000</v>
      </c>
      <c r="AA2479" s="22">
        <v>5.5100000000000003E-2</v>
      </c>
      <c r="AB2479" s="197">
        <f t="shared" si="754"/>
        <v>407740</v>
      </c>
      <c r="AC2479" s="198">
        <f t="shared" si="755"/>
        <v>50029.698000000004</v>
      </c>
      <c r="AD2479" s="170">
        <v>0.1227</v>
      </c>
      <c r="AE2479" s="199">
        <f t="shared" si="756"/>
        <v>0</v>
      </c>
      <c r="AF2479" s="199" t="str">
        <f>IF(AND(COUNTIFS($J$18:J2479,J2479)=1,AE2479=1),1,"")</f>
        <v/>
      </c>
      <c r="AG2479" s="199">
        <f>IF(C2479="","",IF(AND(COUNTIFS($J$18:J2479,J2479)=1,C2479&lt;&gt;""),1,""))</f>
        <v>1</v>
      </c>
      <c r="AH2479" s="199">
        <f>IF(G2479="","",IF(AND(COUNTIFS($J$18:J2479,J2479)=1,G2479&lt;&gt;""),1,""))</f>
        <v>1</v>
      </c>
      <c r="AI2479" s="200">
        <f t="shared" si="732"/>
        <v>35931087.732566379</v>
      </c>
      <c r="AJ2479" s="200">
        <f t="shared" si="733"/>
        <v>4346699.6584161064</v>
      </c>
      <c r="AK2479" s="201">
        <f t="shared" si="757"/>
        <v>0.12097322771769156</v>
      </c>
      <c r="AL2479" s="24"/>
      <c r="AM2479" s="24"/>
      <c r="AN2479" s="24"/>
      <c r="AO2479" s="24"/>
      <c r="AP2479" s="105" t="str">
        <f t="shared" si="758"/>
        <v>20249</v>
      </c>
      <c r="AQ2479" s="28" t="str">
        <f t="shared" si="759"/>
        <v>20249JPY</v>
      </c>
      <c r="AR2479" s="206" t="str">
        <f t="shared" si="760"/>
        <v>YAMAHA_Non_Mounter</v>
      </c>
      <c r="AS2479" s="22">
        <f t="shared" si="761"/>
        <v>4</v>
      </c>
      <c r="AT2479" s="24" t="str">
        <f t="shared" si="762"/>
        <v>4-6 months</v>
      </c>
    </row>
    <row r="2480" spans="1:46" s="12" customFormat="1">
      <c r="A2480" s="33" t="str">
        <f t="shared" si="749"/>
        <v>FY 24/25</v>
      </c>
      <c r="B2480" s="23">
        <v>2024</v>
      </c>
      <c r="C2480" s="152">
        <v>5</v>
      </c>
      <c r="D2480" s="202" t="str">
        <f t="shared" si="750"/>
        <v>Q1</v>
      </c>
      <c r="E2480" s="33" t="s">
        <v>3173</v>
      </c>
      <c r="F2480" s="152">
        <v>2024</v>
      </c>
      <c r="G2480" s="23">
        <v>9</v>
      </c>
      <c r="H2480" s="29"/>
      <c r="I2480" s="202" t="str">
        <f t="shared" si="751"/>
        <v>Q2</v>
      </c>
      <c r="J2480" s="188" t="s">
        <v>3438</v>
      </c>
      <c r="K2480" s="29" t="s">
        <v>1000</v>
      </c>
      <c r="L2480" s="17" t="s">
        <v>2621</v>
      </c>
      <c r="M2480" s="22" t="s">
        <v>61</v>
      </c>
      <c r="N2480" s="22">
        <v>1</v>
      </c>
      <c r="O2480" s="22"/>
      <c r="P2480" s="33" t="str">
        <f t="shared" si="752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312</v>
      </c>
      <c r="W2480" s="22" t="s">
        <v>110</v>
      </c>
      <c r="X2480" s="104">
        <v>7400000</v>
      </c>
      <c r="Y2480" s="195" t="str">
        <f>IF(W2480="","",IF(W2480="RMB","1.13", "1"))</f>
        <v>1</v>
      </c>
      <c r="Z2480" s="196">
        <f t="shared" si="753"/>
        <v>7400000</v>
      </c>
      <c r="AA2480" s="22">
        <v>5.5100000000000003E-2</v>
      </c>
      <c r="AB2480" s="197">
        <f t="shared" si="754"/>
        <v>407740</v>
      </c>
      <c r="AC2480" s="198">
        <f t="shared" si="755"/>
        <v>50029.698000000004</v>
      </c>
      <c r="AD2480" s="170">
        <v>0.1227</v>
      </c>
      <c r="AE2480" s="199">
        <f t="shared" si="756"/>
        <v>0</v>
      </c>
      <c r="AF2480" s="199" t="str">
        <f>IF(AND(COUNTIFS($J$18:J2480,J2480)=1,AE2480=1),1,"")</f>
        <v/>
      </c>
      <c r="AG2480" s="199" t="str">
        <f>IF(C2480="","",IF(AND(COUNTIFS($J$18:J2480,J2480)=1,C2480&lt;&gt;""),1,""))</f>
        <v/>
      </c>
      <c r="AH2480" s="199" t="str">
        <f>IF(G2480="","",IF(AND(COUNTIFS($J$18:J2480,J2480)=1,G2480&lt;&gt;""),1,""))</f>
        <v/>
      </c>
      <c r="AI2480" s="200">
        <f t="shared" si="732"/>
        <v>35931087.732566379</v>
      </c>
      <c r="AJ2480" s="200">
        <f t="shared" si="733"/>
        <v>4346699.6584161064</v>
      </c>
      <c r="AK2480" s="201">
        <f t="shared" si="757"/>
        <v>0.12097322771769156</v>
      </c>
      <c r="AL2480" s="24"/>
      <c r="AM2480" s="24"/>
      <c r="AN2480" s="24"/>
      <c r="AO2480" s="24"/>
      <c r="AP2480" s="105" t="str">
        <f t="shared" si="758"/>
        <v>20249</v>
      </c>
      <c r="AQ2480" s="28" t="str">
        <f t="shared" si="759"/>
        <v>20249JPY</v>
      </c>
      <c r="AR2480" s="206" t="str">
        <f t="shared" si="760"/>
        <v>YAMAHA_Non_Mounter</v>
      </c>
      <c r="AS2480" s="22">
        <f t="shared" si="761"/>
        <v>4</v>
      </c>
      <c r="AT2480" s="24" t="str">
        <f t="shared" si="762"/>
        <v>4-6 months</v>
      </c>
    </row>
    <row r="2481" spans="1:46" s="12" customFormat="1">
      <c r="A2481" s="33" t="str">
        <f t="shared" si="749"/>
        <v>FY 22/23</v>
      </c>
      <c r="B2481" s="152">
        <v>2022</v>
      </c>
      <c r="C2481" s="152">
        <v>5</v>
      </c>
      <c r="D2481" s="33" t="str">
        <f t="shared" si="750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51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52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63">IF(W2481="RMB","1.13", "1")</f>
        <v>1.13</v>
      </c>
      <c r="Z2481" s="18">
        <f t="shared" si="753"/>
        <v>968760</v>
      </c>
      <c r="AA2481" s="13">
        <v>1.163</v>
      </c>
      <c r="AB2481" s="21">
        <f t="shared" si="754"/>
        <v>997051.22123893816</v>
      </c>
      <c r="AC2481" s="130">
        <f t="shared" si="755"/>
        <v>197017.32131681417</v>
      </c>
      <c r="AD2481" s="169">
        <v>0.1976</v>
      </c>
      <c r="AE2481" s="154">
        <f t="shared" si="756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2"/>
        <v>35073581.838938057</v>
      </c>
      <c r="AJ2481" s="19">
        <f t="shared" si="733"/>
        <v>5034113.9728989396</v>
      </c>
      <c r="AK2481" s="20">
        <f t="shared" si="757"/>
        <v>0.14353007902118958</v>
      </c>
      <c r="AL2481" s="17"/>
      <c r="AM2481" s="17"/>
      <c r="AN2481" s="17"/>
      <c r="AO2481" s="17"/>
      <c r="AP2481" s="28" t="str">
        <f t="shared" si="758"/>
        <v>20228</v>
      </c>
      <c r="AQ2481" s="28" t="str">
        <f t="shared" si="759"/>
        <v>20228RMB</v>
      </c>
      <c r="AR2481" s="206" t="str">
        <f t="shared" si="760"/>
        <v>YAMAHA_Mounter</v>
      </c>
      <c r="AS2481" s="22">
        <f t="shared" si="761"/>
        <v>3</v>
      </c>
      <c r="AT2481" s="24" t="str">
        <f t="shared" si="762"/>
        <v>0-3 months</v>
      </c>
    </row>
    <row r="2482" spans="1:46" s="12" customFormat="1">
      <c r="A2482" s="33" t="str">
        <f t="shared" si="749"/>
        <v>FY 22/23</v>
      </c>
      <c r="B2482" s="152">
        <v>2022</v>
      </c>
      <c r="C2482" s="152">
        <v>5</v>
      </c>
      <c r="D2482" s="33" t="str">
        <f t="shared" si="750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51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52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63"/>
        <v>1.13</v>
      </c>
      <c r="Z2482" s="18">
        <f t="shared" si="753"/>
        <v>968760</v>
      </c>
      <c r="AA2482" s="13">
        <v>1.163</v>
      </c>
      <c r="AB2482" s="21">
        <f t="shared" si="754"/>
        <v>997051.22123893816</v>
      </c>
      <c r="AC2482" s="130">
        <f t="shared" si="755"/>
        <v>197017.32131681417</v>
      </c>
      <c r="AD2482" s="169">
        <v>0.1976</v>
      </c>
      <c r="AE2482" s="154">
        <f t="shared" si="756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2"/>
        <v>35073581.838938057</v>
      </c>
      <c r="AJ2482" s="19">
        <f t="shared" si="733"/>
        <v>5034113.9728989396</v>
      </c>
      <c r="AK2482" s="20">
        <f t="shared" si="757"/>
        <v>0.14353007902118958</v>
      </c>
      <c r="AL2482" s="17"/>
      <c r="AM2482" s="17"/>
      <c r="AN2482" s="17"/>
      <c r="AO2482" s="17"/>
      <c r="AP2482" s="28" t="str">
        <f t="shared" si="758"/>
        <v>20228</v>
      </c>
      <c r="AQ2482" s="28" t="str">
        <f t="shared" si="759"/>
        <v>20228RMB</v>
      </c>
      <c r="AR2482" s="206" t="str">
        <f t="shared" si="760"/>
        <v>YAMAHA_Mounter</v>
      </c>
      <c r="AS2482" s="22">
        <f t="shared" si="761"/>
        <v>3</v>
      </c>
      <c r="AT2482" s="24" t="str">
        <f t="shared" si="762"/>
        <v>0-3 months</v>
      </c>
    </row>
    <row r="2483" spans="1:46" s="12" customFormat="1">
      <c r="A2483" s="33" t="str">
        <f t="shared" si="749"/>
        <v>FY 22/23</v>
      </c>
      <c r="B2483" s="152">
        <v>2022</v>
      </c>
      <c r="C2483" s="152">
        <v>5</v>
      </c>
      <c r="D2483" s="33" t="str">
        <f t="shared" si="750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51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52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63"/>
        <v>1.13</v>
      </c>
      <c r="Z2483" s="18">
        <f t="shared" si="753"/>
        <v>968760</v>
      </c>
      <c r="AA2483" s="13">
        <v>1.163</v>
      </c>
      <c r="AB2483" s="21">
        <f t="shared" si="754"/>
        <v>997051.22123893816</v>
      </c>
      <c r="AC2483" s="130">
        <f t="shared" si="755"/>
        <v>197017.32131681417</v>
      </c>
      <c r="AD2483" s="169">
        <v>0.1976</v>
      </c>
      <c r="AE2483" s="154">
        <f t="shared" si="756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2"/>
        <v>35073581.838938057</v>
      </c>
      <c r="AJ2483" s="19">
        <f t="shared" si="733"/>
        <v>5034113.9728989396</v>
      </c>
      <c r="AK2483" s="20">
        <f t="shared" si="757"/>
        <v>0.14353007902118958</v>
      </c>
      <c r="AL2483" s="17"/>
      <c r="AM2483" s="17"/>
      <c r="AN2483" s="17"/>
      <c r="AO2483" s="17"/>
      <c r="AP2483" s="28" t="str">
        <f t="shared" si="758"/>
        <v>20228</v>
      </c>
      <c r="AQ2483" s="28" t="str">
        <f t="shared" si="759"/>
        <v>20228RMB</v>
      </c>
      <c r="AR2483" s="206" t="str">
        <f t="shared" si="760"/>
        <v>YAMAHA_Mounter</v>
      </c>
      <c r="AS2483" s="22">
        <f t="shared" si="761"/>
        <v>3</v>
      </c>
      <c r="AT2483" s="24" t="str">
        <f t="shared" si="762"/>
        <v>0-3 months</v>
      </c>
    </row>
    <row r="2484" spans="1:46" s="12" customFormat="1">
      <c r="A2484" s="33" t="str">
        <f t="shared" si="749"/>
        <v>FY 22/23</v>
      </c>
      <c r="B2484" s="152">
        <v>2022</v>
      </c>
      <c r="C2484" s="152">
        <v>5</v>
      </c>
      <c r="D2484" s="33" t="str">
        <f t="shared" si="750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51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52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63"/>
        <v>1.13</v>
      </c>
      <c r="Z2484" s="18">
        <f t="shared" si="753"/>
        <v>621860</v>
      </c>
      <c r="AA2484" s="13">
        <v>1.163</v>
      </c>
      <c r="AB2484" s="21">
        <f t="shared" si="754"/>
        <v>640020.51327433635</v>
      </c>
      <c r="AC2484" s="130">
        <f t="shared" si="755"/>
        <v>94595.031861946904</v>
      </c>
      <c r="AD2484" s="169">
        <v>0.14779999999999999</v>
      </c>
      <c r="AE2484" s="154">
        <f t="shared" si="756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2"/>
        <v>35073581.838938057</v>
      </c>
      <c r="AJ2484" s="19">
        <f t="shared" si="733"/>
        <v>5034113.9728989396</v>
      </c>
      <c r="AK2484" s="20">
        <f t="shared" si="757"/>
        <v>0.14353007902118958</v>
      </c>
      <c r="AL2484" s="17"/>
      <c r="AM2484" s="17"/>
      <c r="AN2484" s="17"/>
      <c r="AO2484" s="17"/>
      <c r="AP2484" s="28" t="str">
        <f t="shared" si="758"/>
        <v>20228</v>
      </c>
      <c r="AQ2484" s="28" t="str">
        <f t="shared" si="759"/>
        <v>20228RMB</v>
      </c>
      <c r="AR2484" s="206" t="str">
        <f t="shared" si="760"/>
        <v>HELLER</v>
      </c>
      <c r="AS2484" s="22">
        <f t="shared" si="761"/>
        <v>3</v>
      </c>
      <c r="AT2484" s="24" t="str">
        <f t="shared" si="762"/>
        <v>0-3 months</v>
      </c>
    </row>
    <row r="2485" spans="1:46" s="12" customFormat="1">
      <c r="A2485" s="33" t="str">
        <f t="shared" si="749"/>
        <v>FY 22/23</v>
      </c>
      <c r="B2485" s="152">
        <v>2022</v>
      </c>
      <c r="C2485" s="152">
        <v>5</v>
      </c>
      <c r="D2485" s="33" t="str">
        <f t="shared" si="750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51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52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63"/>
        <v>1.13</v>
      </c>
      <c r="Z2485" s="18">
        <f t="shared" si="753"/>
        <v>621860</v>
      </c>
      <c r="AA2485" s="13">
        <v>1.163</v>
      </c>
      <c r="AB2485" s="21">
        <f t="shared" si="754"/>
        <v>640020.51327433635</v>
      </c>
      <c r="AC2485" s="130">
        <f t="shared" si="755"/>
        <v>94595.031861946904</v>
      </c>
      <c r="AD2485" s="169">
        <v>0.14779999999999999</v>
      </c>
      <c r="AE2485" s="154">
        <f t="shared" si="756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2"/>
        <v>35073581.838938057</v>
      </c>
      <c r="AJ2485" s="19">
        <f t="shared" si="733"/>
        <v>5034113.9728989396</v>
      </c>
      <c r="AK2485" s="20">
        <f t="shared" si="757"/>
        <v>0.14353007902118958</v>
      </c>
      <c r="AL2485" s="17"/>
      <c r="AM2485" s="17"/>
      <c r="AN2485" s="17"/>
      <c r="AO2485" s="17"/>
      <c r="AP2485" s="28" t="str">
        <f t="shared" si="758"/>
        <v>20228</v>
      </c>
      <c r="AQ2485" s="28" t="str">
        <f t="shared" si="759"/>
        <v>20228RMB</v>
      </c>
      <c r="AR2485" s="206" t="str">
        <f t="shared" si="760"/>
        <v>HELLER</v>
      </c>
      <c r="AS2485" s="22">
        <f t="shared" si="761"/>
        <v>3</v>
      </c>
      <c r="AT2485" s="24" t="str">
        <f t="shared" si="762"/>
        <v>0-3 months</v>
      </c>
    </row>
    <row r="2486" spans="1:46" s="12" customFormat="1">
      <c r="A2486" s="33" t="str">
        <f t="shared" si="749"/>
        <v>FY 22/23</v>
      </c>
      <c r="B2486" s="152">
        <v>2022</v>
      </c>
      <c r="C2486" s="152">
        <v>8</v>
      </c>
      <c r="D2486" s="33" t="str">
        <f t="shared" si="750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51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52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63"/>
        <v>1.13</v>
      </c>
      <c r="Z2486" s="18">
        <f t="shared" si="753"/>
        <v>1162603</v>
      </c>
      <c r="AA2486" s="13">
        <v>1.163</v>
      </c>
      <c r="AB2486" s="21">
        <f t="shared" si="754"/>
        <v>1196555.1230088498</v>
      </c>
      <c r="AC2486" s="130">
        <f t="shared" si="755"/>
        <v>246011.73329061954</v>
      </c>
      <c r="AD2486" s="169">
        <v>0.2056</v>
      </c>
      <c r="AE2486" s="154">
        <f t="shared" si="756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2"/>
        <v>35073581.838938057</v>
      </c>
      <c r="AJ2486" s="19">
        <f t="shared" si="733"/>
        <v>5034113.9728989396</v>
      </c>
      <c r="AK2486" s="20">
        <f t="shared" si="757"/>
        <v>0.14353007902118958</v>
      </c>
      <c r="AL2486" s="17"/>
      <c r="AM2486" s="17"/>
      <c r="AN2486" s="17"/>
      <c r="AO2486" s="17"/>
      <c r="AP2486" s="28" t="str">
        <f t="shared" si="758"/>
        <v>20228</v>
      </c>
      <c r="AQ2486" s="28" t="str">
        <f t="shared" si="759"/>
        <v>20228RMB</v>
      </c>
      <c r="AR2486" s="206" t="str">
        <f t="shared" si="760"/>
        <v>YAMAHA_Mounter</v>
      </c>
      <c r="AS2486" s="22">
        <f t="shared" si="761"/>
        <v>0</v>
      </c>
      <c r="AT2486" s="24" t="str">
        <f t="shared" si="762"/>
        <v>0-3 months</v>
      </c>
    </row>
    <row r="2487" spans="1:46" s="12" customFormat="1">
      <c r="A2487" s="33" t="str">
        <f t="shared" si="749"/>
        <v>FY 22/23</v>
      </c>
      <c r="B2487" s="152">
        <v>2022</v>
      </c>
      <c r="C2487" s="152">
        <v>8</v>
      </c>
      <c r="D2487" s="33" t="str">
        <f t="shared" si="750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51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52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63"/>
        <v>1.13</v>
      </c>
      <c r="Z2487" s="18">
        <f t="shared" si="753"/>
        <v>1162603</v>
      </c>
      <c r="AA2487" s="13">
        <v>1.135</v>
      </c>
      <c r="AB2487" s="21">
        <f t="shared" si="754"/>
        <v>1167747.2610619471</v>
      </c>
      <c r="AC2487" s="130">
        <f t="shared" si="755"/>
        <v>271384.46347079647</v>
      </c>
      <c r="AD2487" s="169">
        <v>0.2324</v>
      </c>
      <c r="AE2487" s="154">
        <f t="shared" si="756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2"/>
        <v>15948576.102654871</v>
      </c>
      <c r="AJ2487" s="19">
        <f t="shared" si="733"/>
        <v>2739848.7004853105</v>
      </c>
      <c r="AK2487" s="20">
        <f t="shared" si="757"/>
        <v>0.17179268436567344</v>
      </c>
      <c r="AL2487" s="17"/>
      <c r="AM2487" s="17"/>
      <c r="AN2487" s="17"/>
      <c r="AO2487" s="17"/>
      <c r="AP2487" s="28" t="str">
        <f t="shared" si="758"/>
        <v>20229</v>
      </c>
      <c r="AQ2487" s="28" t="str">
        <f t="shared" si="759"/>
        <v>20229RMB</v>
      </c>
      <c r="AR2487" s="206" t="str">
        <f t="shared" si="760"/>
        <v>YAMAHA_Mounter</v>
      </c>
      <c r="AS2487" s="22">
        <f t="shared" si="761"/>
        <v>1</v>
      </c>
      <c r="AT2487" s="24" t="str">
        <f t="shared" si="762"/>
        <v>0-3 months</v>
      </c>
    </row>
    <row r="2488" spans="1:46" s="12" customFormat="1">
      <c r="A2488" s="33" t="str">
        <f t="shared" si="749"/>
        <v>FY 22/23</v>
      </c>
      <c r="B2488" s="152">
        <v>2022</v>
      </c>
      <c r="C2488" s="152">
        <v>8</v>
      </c>
      <c r="D2488" s="33" t="str">
        <f t="shared" si="750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51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52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63"/>
        <v>1.13</v>
      </c>
      <c r="Z2488" s="18">
        <f t="shared" si="753"/>
        <v>1162603</v>
      </c>
      <c r="AA2488" s="13">
        <v>1.135</v>
      </c>
      <c r="AB2488" s="21">
        <f t="shared" si="754"/>
        <v>1167747.2610619471</v>
      </c>
      <c r="AC2488" s="130">
        <f t="shared" si="755"/>
        <v>271384.46347079647</v>
      </c>
      <c r="AD2488" s="169">
        <v>0.2324</v>
      </c>
      <c r="AE2488" s="154">
        <f t="shared" si="756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2"/>
        <v>15948576.102654871</v>
      </c>
      <c r="AJ2488" s="19">
        <f t="shared" si="733"/>
        <v>2739848.7004853105</v>
      </c>
      <c r="AK2488" s="20">
        <f t="shared" si="757"/>
        <v>0.17179268436567344</v>
      </c>
      <c r="AL2488" s="17"/>
      <c r="AM2488" s="17"/>
      <c r="AN2488" s="17"/>
      <c r="AO2488" s="17"/>
      <c r="AP2488" s="28" t="str">
        <f t="shared" si="758"/>
        <v>20229</v>
      </c>
      <c r="AQ2488" s="28" t="str">
        <f t="shared" si="759"/>
        <v>20229RMB</v>
      </c>
      <c r="AR2488" s="206" t="str">
        <f t="shared" si="760"/>
        <v>YAMAHA_Mounter</v>
      </c>
      <c r="AS2488" s="22">
        <f t="shared" si="761"/>
        <v>1</v>
      </c>
      <c r="AT2488" s="24" t="str">
        <f t="shared" si="762"/>
        <v>0-3 months</v>
      </c>
    </row>
    <row r="2489" spans="1:46" s="12" customFormat="1">
      <c r="A2489" s="33" t="str">
        <f t="shared" si="749"/>
        <v>FY 22/23</v>
      </c>
      <c r="B2489" s="152">
        <v>2022</v>
      </c>
      <c r="C2489" s="152">
        <v>8</v>
      </c>
      <c r="D2489" s="33" t="str">
        <f t="shared" si="750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51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52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63"/>
        <v>1.13</v>
      </c>
      <c r="Z2489" s="18">
        <f t="shared" si="753"/>
        <v>1162603</v>
      </c>
      <c r="AA2489" s="13">
        <v>1.135</v>
      </c>
      <c r="AB2489" s="21">
        <f t="shared" si="754"/>
        <v>1167747.2610619471</v>
      </c>
      <c r="AC2489" s="130">
        <f t="shared" si="755"/>
        <v>271384.46347079647</v>
      </c>
      <c r="AD2489" s="169">
        <v>0.2324</v>
      </c>
      <c r="AE2489" s="154">
        <f t="shared" si="756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2"/>
        <v>15948576.102654871</v>
      </c>
      <c r="AJ2489" s="19">
        <f t="shared" si="733"/>
        <v>2739848.7004853105</v>
      </c>
      <c r="AK2489" s="20">
        <f t="shared" si="757"/>
        <v>0.17179268436567344</v>
      </c>
      <c r="AL2489" s="17"/>
      <c r="AM2489" s="17"/>
      <c r="AN2489" s="17"/>
      <c r="AO2489" s="17"/>
      <c r="AP2489" s="28" t="str">
        <f t="shared" si="758"/>
        <v>20229</v>
      </c>
      <c r="AQ2489" s="28" t="str">
        <f t="shared" si="759"/>
        <v>20229RMB</v>
      </c>
      <c r="AR2489" s="206" t="str">
        <f t="shared" si="760"/>
        <v>YAMAHA_Mounter</v>
      </c>
      <c r="AS2489" s="22">
        <f t="shared" si="761"/>
        <v>1</v>
      </c>
      <c r="AT2489" s="24" t="str">
        <f t="shared" si="762"/>
        <v>0-3 months</v>
      </c>
    </row>
    <row r="2490" spans="1:46" s="12" customFormat="1">
      <c r="A2490" s="33" t="str">
        <f t="shared" si="749"/>
        <v>FY 22/23</v>
      </c>
      <c r="B2490" s="152">
        <v>2022</v>
      </c>
      <c r="C2490" s="152">
        <v>8</v>
      </c>
      <c r="D2490" s="33" t="str">
        <f t="shared" si="750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51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52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63"/>
        <v>1.13</v>
      </c>
      <c r="Z2490" s="18">
        <f t="shared" si="753"/>
        <v>971079</v>
      </c>
      <c r="AA2490" s="13">
        <v>1.135</v>
      </c>
      <c r="AB2490" s="21">
        <f t="shared" si="754"/>
        <v>975375.8097345134</v>
      </c>
      <c r="AC2490" s="130">
        <f t="shared" si="755"/>
        <v>226677.33818230091</v>
      </c>
      <c r="AD2490" s="169">
        <v>0.2324</v>
      </c>
      <c r="AE2490" s="154">
        <f t="shared" si="756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2"/>
        <v>15948576.102654871</v>
      </c>
      <c r="AJ2490" s="19">
        <f t="shared" si="733"/>
        <v>2739848.7004853105</v>
      </c>
      <c r="AK2490" s="20">
        <f t="shared" si="757"/>
        <v>0.17179268436567344</v>
      </c>
      <c r="AL2490" s="17"/>
      <c r="AM2490" s="17"/>
      <c r="AN2490" s="17"/>
      <c r="AO2490" s="17"/>
      <c r="AP2490" s="28" t="str">
        <f t="shared" si="758"/>
        <v>20229</v>
      </c>
      <c r="AQ2490" s="28" t="str">
        <f t="shared" si="759"/>
        <v>20229RMB</v>
      </c>
      <c r="AR2490" s="206" t="str">
        <f t="shared" si="760"/>
        <v>YAMAHA_Mounter</v>
      </c>
      <c r="AS2490" s="22">
        <f t="shared" si="761"/>
        <v>1</v>
      </c>
      <c r="AT2490" s="24" t="str">
        <f t="shared" si="762"/>
        <v>0-3 months</v>
      </c>
    </row>
    <row r="2491" spans="1:46" s="12" customFormat="1">
      <c r="A2491" s="33" t="str">
        <f t="shared" si="749"/>
        <v>FY 17/18</v>
      </c>
      <c r="B2491" s="152">
        <v>2017</v>
      </c>
      <c r="C2491" s="152">
        <v>11</v>
      </c>
      <c r="D2491" s="33" t="str">
        <f t="shared" si="750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51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52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53"/>
        <v>852780</v>
      </c>
      <c r="AA2491" s="13">
        <v>1.23</v>
      </c>
      <c r="AB2491" s="21">
        <f t="shared" si="754"/>
        <v>896512.30769230763</v>
      </c>
      <c r="AC2491" s="130">
        <f t="shared" si="755"/>
        <v>133132.07769230768</v>
      </c>
      <c r="AD2491" s="169">
        <v>0.14849999999999999</v>
      </c>
      <c r="AE2491" s="154">
        <f t="shared" si="756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2"/>
        <v>29288201.603076916</v>
      </c>
      <c r="AJ2491" s="19">
        <f t="shared" si="733"/>
        <v>3870159.1769246152</v>
      </c>
      <c r="AK2491" s="20">
        <f t="shared" si="757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58"/>
        <v>20184</v>
      </c>
      <c r="AQ2491" s="28" t="str">
        <f t="shared" si="759"/>
        <v>20184RMB</v>
      </c>
      <c r="AR2491" s="206" t="str">
        <f t="shared" si="760"/>
        <v>YAMAHA_Mounter</v>
      </c>
      <c r="AS2491" s="22">
        <f t="shared" si="761"/>
        <v>5</v>
      </c>
      <c r="AT2491" s="24" t="str">
        <f t="shared" si="762"/>
        <v>4-6 months</v>
      </c>
    </row>
    <row r="2492" spans="1:46" s="12" customFormat="1">
      <c r="A2492" s="33" t="str">
        <f t="shared" si="749"/>
        <v>FY 20/21</v>
      </c>
      <c r="B2492" s="152">
        <v>2021</v>
      </c>
      <c r="C2492" s="152">
        <v>1</v>
      </c>
      <c r="D2492" s="33" t="str">
        <f t="shared" si="750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51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52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53"/>
        <v>1000000</v>
      </c>
      <c r="AA2492" s="13">
        <v>1.2</v>
      </c>
      <c r="AB2492" s="21">
        <f t="shared" si="754"/>
        <v>1061946.9026548674</v>
      </c>
      <c r="AC2492" s="130">
        <f t="shared" si="755"/>
        <v>194336.28318584073</v>
      </c>
      <c r="AD2492" s="169">
        <v>0.183</v>
      </c>
      <c r="AE2492" s="154">
        <f t="shared" si="756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2"/>
        <v>47458373.787610628</v>
      </c>
      <c r="AJ2492" s="19">
        <f t="shared" si="733"/>
        <v>7436880.1411522133</v>
      </c>
      <c r="AK2492" s="20">
        <f t="shared" si="757"/>
        <v>0.15670322321692506</v>
      </c>
      <c r="AL2492" s="17"/>
      <c r="AM2492" s="17"/>
      <c r="AN2492" s="17"/>
      <c r="AO2492" s="17"/>
      <c r="AP2492" s="28" t="str">
        <f t="shared" si="758"/>
        <v>20218</v>
      </c>
      <c r="AQ2492" s="28" t="str">
        <f t="shared" si="759"/>
        <v>20218RMB</v>
      </c>
      <c r="AR2492" s="206" t="str">
        <f t="shared" si="760"/>
        <v>YAMAHA_Mounter</v>
      </c>
      <c r="AS2492" s="22">
        <f t="shared" si="761"/>
        <v>7</v>
      </c>
      <c r="AT2492" s="24" t="str">
        <f t="shared" si="762"/>
        <v>&gt; 6 months</v>
      </c>
    </row>
    <row r="2493" spans="1:46" s="12" customFormat="1">
      <c r="A2493" s="33" t="str">
        <f t="shared" si="749"/>
        <v>FY 20/21</v>
      </c>
      <c r="B2493" s="152">
        <v>2021</v>
      </c>
      <c r="C2493" s="152">
        <v>1</v>
      </c>
      <c r="D2493" s="33" t="str">
        <f t="shared" si="750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51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52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53"/>
        <v>626000</v>
      </c>
      <c r="AA2493" s="13">
        <v>1.17</v>
      </c>
      <c r="AB2493" s="21">
        <f t="shared" si="754"/>
        <v>648159.29203539819</v>
      </c>
      <c r="AC2493" s="130">
        <f t="shared" si="755"/>
        <v>118613.15044247787</v>
      </c>
      <c r="AD2493" s="169">
        <v>0.183</v>
      </c>
      <c r="AE2493" s="154">
        <f t="shared" si="756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2"/>
        <v>36480247.665929198</v>
      </c>
      <c r="AJ2493" s="19">
        <f t="shared" si="733"/>
        <v>5330996.6372757526</v>
      </c>
      <c r="AK2493" s="20">
        <f t="shared" si="757"/>
        <v>0.14613378412599562</v>
      </c>
      <c r="AL2493" s="17"/>
      <c r="AM2493" s="17"/>
      <c r="AN2493" s="17"/>
      <c r="AO2493" s="17"/>
      <c r="AP2493" s="28" t="str">
        <f t="shared" si="758"/>
        <v>20227</v>
      </c>
      <c r="AQ2493" s="28" t="str">
        <f t="shared" si="759"/>
        <v>20227RMB</v>
      </c>
      <c r="AR2493" s="206" t="str">
        <f t="shared" si="760"/>
        <v>YAMAHA_Mounter</v>
      </c>
      <c r="AS2493" s="22">
        <f t="shared" si="761"/>
        <v>18</v>
      </c>
      <c r="AT2493" s="24" t="str">
        <f t="shared" si="762"/>
        <v>&gt; 6 months</v>
      </c>
    </row>
    <row r="2494" spans="1:46" s="12" customFormat="1">
      <c r="A2494" s="33" t="str">
        <f t="shared" si="749"/>
        <v>FY 23/24</v>
      </c>
      <c r="B2494" s="23">
        <v>2023</v>
      </c>
      <c r="C2494" s="152">
        <v>12</v>
      </c>
      <c r="D2494" s="33" t="str">
        <f t="shared" si="750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51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52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53"/>
        <v>358000</v>
      </c>
      <c r="AA2494" s="22">
        <v>1.0900000000000001</v>
      </c>
      <c r="AB2494" s="21">
        <f t="shared" si="754"/>
        <v>345327.43362831866</v>
      </c>
      <c r="AC2494" s="25">
        <f t="shared" si="755"/>
        <v>65819.408849557527</v>
      </c>
      <c r="AD2494" s="215">
        <v>0.19059999999999999</v>
      </c>
      <c r="AE2494" s="26">
        <f t="shared" si="756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2"/>
        <v>21194662.454867262</v>
      </c>
      <c r="AJ2494" s="27">
        <f t="shared" si="733"/>
        <v>2981431.5970757701</v>
      </c>
      <c r="AK2494" s="28">
        <f t="shared" si="757"/>
        <v>0.14066898226968919</v>
      </c>
      <c r="AL2494" s="24"/>
      <c r="AM2494" s="24"/>
      <c r="AN2494" s="24"/>
      <c r="AO2494" s="24"/>
      <c r="AP2494" s="28" t="str">
        <f t="shared" si="758"/>
        <v>20243</v>
      </c>
      <c r="AQ2494" s="28" t="str">
        <f t="shared" si="759"/>
        <v>20243RMB</v>
      </c>
      <c r="AR2494" s="206" t="str">
        <f t="shared" si="760"/>
        <v>YAMAHA_Non_Mounter</v>
      </c>
      <c r="AS2494" s="22">
        <f t="shared" si="761"/>
        <v>3</v>
      </c>
      <c r="AT2494" s="24" t="str">
        <f t="shared" si="762"/>
        <v>0-3 months</v>
      </c>
    </row>
    <row r="2495" spans="1:46" s="12" customFormat="1">
      <c r="A2495" s="33" t="str">
        <f t="shared" si="749"/>
        <v>FY 22/23</v>
      </c>
      <c r="B2495" s="152">
        <v>2022</v>
      </c>
      <c r="C2495" s="152">
        <v>9</v>
      </c>
      <c r="D2495" s="33" t="str">
        <f t="shared" si="750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51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52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64">IF(W2495="RMB","1.13", "1")</f>
        <v>1</v>
      </c>
      <c r="Z2495" s="18">
        <f t="shared" si="753"/>
        <v>98000</v>
      </c>
      <c r="AA2495" s="13">
        <v>7.8</v>
      </c>
      <c r="AB2495" s="21">
        <f t="shared" si="754"/>
        <v>764400</v>
      </c>
      <c r="AC2495" s="130">
        <f t="shared" si="755"/>
        <v>167632.91999999998</v>
      </c>
      <c r="AD2495" s="169">
        <v>0.21929999999999999</v>
      </c>
      <c r="AE2495" s="154">
        <f t="shared" si="756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2"/>
        <v>22717528.991150443</v>
      </c>
      <c r="AJ2495" s="19">
        <f t="shared" si="733"/>
        <v>3947747.192555753</v>
      </c>
      <c r="AK2495" s="20">
        <f t="shared" si="757"/>
        <v>0.1737753782153679</v>
      </c>
      <c r="AL2495" s="17"/>
      <c r="AM2495" s="17"/>
      <c r="AN2495" s="17"/>
      <c r="AO2495" s="17"/>
      <c r="AP2495" s="28" t="str">
        <f t="shared" si="758"/>
        <v>202210</v>
      </c>
      <c r="AQ2495" s="28" t="str">
        <f t="shared" si="759"/>
        <v>202210USD</v>
      </c>
      <c r="AR2495" s="206" t="str">
        <f t="shared" si="760"/>
        <v>YAMAHA_Mounter</v>
      </c>
      <c r="AS2495" s="22">
        <f t="shared" si="761"/>
        <v>1</v>
      </c>
      <c r="AT2495" s="24" t="str">
        <f t="shared" si="762"/>
        <v>0-3 months</v>
      </c>
    </row>
    <row r="2496" spans="1:46" s="12" customFormat="1">
      <c r="A2496" s="33" t="str">
        <f t="shared" si="749"/>
        <v>FY 22/23</v>
      </c>
      <c r="B2496" s="152">
        <v>2022</v>
      </c>
      <c r="C2496" s="152">
        <v>9</v>
      </c>
      <c r="D2496" s="33" t="str">
        <f t="shared" si="750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51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52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64"/>
        <v>1</v>
      </c>
      <c r="Z2496" s="18">
        <f t="shared" si="753"/>
        <v>126000</v>
      </c>
      <c r="AA2496" s="13">
        <v>7.8</v>
      </c>
      <c r="AB2496" s="21">
        <f t="shared" si="754"/>
        <v>982800</v>
      </c>
      <c r="AC2496" s="130">
        <f t="shared" si="755"/>
        <v>215528.04</v>
      </c>
      <c r="AD2496" s="169">
        <v>0.21929999999999999</v>
      </c>
      <c r="AE2496" s="154">
        <f t="shared" si="756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2"/>
        <v>22717528.991150443</v>
      </c>
      <c r="AJ2496" s="19">
        <f t="shared" si="733"/>
        <v>3947747.192555753</v>
      </c>
      <c r="AK2496" s="20">
        <f t="shared" si="757"/>
        <v>0.1737753782153679</v>
      </c>
      <c r="AL2496" s="17"/>
      <c r="AM2496" s="17"/>
      <c r="AN2496" s="17"/>
      <c r="AO2496" s="17"/>
      <c r="AP2496" s="28" t="str">
        <f t="shared" si="758"/>
        <v>202210</v>
      </c>
      <c r="AQ2496" s="28" t="str">
        <f t="shared" si="759"/>
        <v>202210USD</v>
      </c>
      <c r="AR2496" s="206" t="str">
        <f t="shared" si="760"/>
        <v>YAMAHA_Mounter</v>
      </c>
      <c r="AS2496" s="22">
        <f t="shared" si="761"/>
        <v>1</v>
      </c>
      <c r="AT2496" s="24" t="str">
        <f t="shared" si="762"/>
        <v>0-3 months</v>
      </c>
    </row>
    <row r="2497" spans="1:46" s="12" customFormat="1">
      <c r="A2497" s="33" t="str">
        <f t="shared" si="749"/>
        <v>FY 22/23</v>
      </c>
      <c r="B2497" s="152">
        <v>2022</v>
      </c>
      <c r="C2497" s="152">
        <v>9</v>
      </c>
      <c r="D2497" s="33" t="str">
        <f t="shared" si="750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51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52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64"/>
        <v>1</v>
      </c>
      <c r="Z2497" s="18">
        <f t="shared" si="753"/>
        <v>85000</v>
      </c>
      <c r="AA2497" s="13">
        <v>7.8</v>
      </c>
      <c r="AB2497" s="21">
        <f t="shared" si="754"/>
        <v>663000</v>
      </c>
      <c r="AC2497" s="130">
        <f t="shared" si="755"/>
        <v>138964.80000000002</v>
      </c>
      <c r="AD2497" s="169">
        <v>0.20960000000000001</v>
      </c>
      <c r="AE2497" s="154">
        <f t="shared" si="756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2"/>
        <v>22717528.991150443</v>
      </c>
      <c r="AJ2497" s="19">
        <f t="shared" si="733"/>
        <v>3947747.192555753</v>
      </c>
      <c r="AK2497" s="20">
        <f t="shared" si="757"/>
        <v>0.1737753782153679</v>
      </c>
      <c r="AL2497" s="17"/>
      <c r="AM2497" s="17"/>
      <c r="AN2497" s="17"/>
      <c r="AO2497" s="17"/>
      <c r="AP2497" s="28" t="str">
        <f t="shared" si="758"/>
        <v>202210</v>
      </c>
      <c r="AQ2497" s="28" t="str">
        <f t="shared" si="759"/>
        <v>202210USD</v>
      </c>
      <c r="AR2497" s="206" t="str">
        <f t="shared" si="760"/>
        <v>YAMAHA_Non_Mounter</v>
      </c>
      <c r="AS2497" s="22">
        <f t="shared" si="761"/>
        <v>1</v>
      </c>
      <c r="AT2497" s="24" t="str">
        <f t="shared" si="762"/>
        <v>0-3 months</v>
      </c>
    </row>
    <row r="2498" spans="1:46" s="12" customFormat="1">
      <c r="A2498" s="33" t="str">
        <f t="shared" si="749"/>
        <v>FY 22/23</v>
      </c>
      <c r="B2498" s="152">
        <v>2022</v>
      </c>
      <c r="C2498" s="152">
        <v>9</v>
      </c>
      <c r="D2498" s="33" t="str">
        <f t="shared" si="750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51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52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64"/>
        <v>1</v>
      </c>
      <c r="Z2498" s="18">
        <f t="shared" si="753"/>
        <v>58000</v>
      </c>
      <c r="AA2498" s="13">
        <v>7.8</v>
      </c>
      <c r="AB2498" s="21">
        <f t="shared" si="754"/>
        <v>452400</v>
      </c>
      <c r="AC2498" s="130">
        <f t="shared" si="755"/>
        <v>94823.040000000008</v>
      </c>
      <c r="AD2498" s="169">
        <v>0.20960000000000001</v>
      </c>
      <c r="AE2498" s="154">
        <f t="shared" si="756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65">IF(P2498="C66 SERVICE","",SUMIFS(AB:AB,F:F,F2498,G:G,G2498,E:E,E2498))</f>
        <v>22717528.991150443</v>
      </c>
      <c r="AJ2498" s="19">
        <f t="shared" ref="AJ2498:AJ2561" si="766">IF(P2498="C66 SERVICE","",SUMIFS(AC:AC,F:F,F2498,G:G,G2498,E:E,E2498))</f>
        <v>3947747.192555753</v>
      </c>
      <c r="AK2498" s="20">
        <f t="shared" si="757"/>
        <v>0.1737753782153679</v>
      </c>
      <c r="AL2498" s="17"/>
      <c r="AM2498" s="17"/>
      <c r="AN2498" s="17"/>
      <c r="AO2498" s="17"/>
      <c r="AP2498" s="28" t="str">
        <f t="shared" si="758"/>
        <v>202210</v>
      </c>
      <c r="AQ2498" s="28" t="str">
        <f t="shared" si="759"/>
        <v>202210USD</v>
      </c>
      <c r="AR2498" s="206" t="str">
        <f t="shared" si="760"/>
        <v>YAMAHA_Non_Mounter</v>
      </c>
      <c r="AS2498" s="22">
        <f t="shared" si="761"/>
        <v>1</v>
      </c>
      <c r="AT2498" s="24" t="str">
        <f t="shared" si="762"/>
        <v>0-3 months</v>
      </c>
    </row>
    <row r="2499" spans="1:46" s="12" customFormat="1">
      <c r="A2499" s="33" t="str">
        <f t="shared" si="749"/>
        <v>FY 22/23</v>
      </c>
      <c r="B2499" s="152">
        <v>2022</v>
      </c>
      <c r="C2499" s="152">
        <v>9</v>
      </c>
      <c r="D2499" s="33" t="str">
        <f t="shared" si="750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51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52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64"/>
        <v>1</v>
      </c>
      <c r="Z2499" s="18">
        <f t="shared" si="753"/>
        <v>51000</v>
      </c>
      <c r="AA2499" s="13">
        <v>7.8</v>
      </c>
      <c r="AB2499" s="21">
        <f t="shared" si="754"/>
        <v>397800</v>
      </c>
      <c r="AC2499" s="130">
        <f t="shared" si="755"/>
        <v>54816.840000000004</v>
      </c>
      <c r="AD2499" s="169">
        <v>0.13780000000000001</v>
      </c>
      <c r="AE2499" s="154">
        <f t="shared" si="756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65"/>
        <v>22717528.991150443</v>
      </c>
      <c r="AJ2499" s="19">
        <f t="shared" si="766"/>
        <v>3947747.192555753</v>
      </c>
      <c r="AK2499" s="20">
        <f t="shared" si="757"/>
        <v>0.1737753782153679</v>
      </c>
      <c r="AL2499" s="17"/>
      <c r="AM2499" s="17"/>
      <c r="AN2499" s="17"/>
      <c r="AO2499" s="17"/>
      <c r="AP2499" s="28" t="str">
        <f t="shared" si="758"/>
        <v>202210</v>
      </c>
      <c r="AQ2499" s="28" t="str">
        <f t="shared" si="759"/>
        <v>202210USD</v>
      </c>
      <c r="AR2499" s="206" t="str">
        <f t="shared" si="760"/>
        <v>HELLER</v>
      </c>
      <c r="AS2499" s="22">
        <f t="shared" si="761"/>
        <v>1</v>
      </c>
      <c r="AT2499" s="24" t="str">
        <f t="shared" si="762"/>
        <v>0-3 months</v>
      </c>
    </row>
    <row r="2500" spans="1:46" s="12" customFormat="1">
      <c r="A2500" s="33" t="str">
        <f t="shared" si="749"/>
        <v>FY 22/23</v>
      </c>
      <c r="B2500" s="152">
        <v>2022</v>
      </c>
      <c r="C2500" s="152">
        <v>9</v>
      </c>
      <c r="D2500" s="33" t="str">
        <f t="shared" si="750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51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52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64"/>
        <v>1</v>
      </c>
      <c r="Z2500" s="18">
        <f t="shared" si="753"/>
        <v>7500</v>
      </c>
      <c r="AA2500" s="13">
        <v>7.8</v>
      </c>
      <c r="AB2500" s="21">
        <f t="shared" si="754"/>
        <v>58500</v>
      </c>
      <c r="AC2500" s="130">
        <f t="shared" si="755"/>
        <v>8061.3</v>
      </c>
      <c r="AD2500" s="169">
        <v>0.13780000000000001</v>
      </c>
      <c r="AE2500" s="154">
        <f t="shared" si="756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65"/>
        <v>22717528.991150443</v>
      </c>
      <c r="AJ2500" s="19">
        <f t="shared" si="766"/>
        <v>3947747.192555753</v>
      </c>
      <c r="AK2500" s="20">
        <f t="shared" si="757"/>
        <v>0.1737753782153679</v>
      </c>
      <c r="AL2500" s="17"/>
      <c r="AM2500" s="17"/>
      <c r="AN2500" s="17"/>
      <c r="AO2500" s="17"/>
      <c r="AP2500" s="28" t="str">
        <f t="shared" si="758"/>
        <v>202210</v>
      </c>
      <c r="AQ2500" s="28" t="str">
        <f t="shared" si="759"/>
        <v>202210USD</v>
      </c>
      <c r="AR2500" s="206" t="str">
        <f t="shared" si="760"/>
        <v>LOCAL SUPPLIER</v>
      </c>
      <c r="AS2500" s="22">
        <f t="shared" si="761"/>
        <v>1</v>
      </c>
      <c r="AT2500" s="24" t="str">
        <f t="shared" si="762"/>
        <v>0-3 months</v>
      </c>
    </row>
    <row r="2501" spans="1:46" s="12" customFormat="1">
      <c r="A2501" s="33" t="str">
        <f t="shared" si="749"/>
        <v>FY 22/23</v>
      </c>
      <c r="B2501" s="152">
        <v>2022</v>
      </c>
      <c r="C2501" s="152">
        <v>9</v>
      </c>
      <c r="D2501" s="33" t="str">
        <f t="shared" si="750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51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52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64"/>
        <v>1</v>
      </c>
      <c r="Z2501" s="18">
        <f t="shared" si="753"/>
        <v>2500</v>
      </c>
      <c r="AA2501" s="13">
        <v>7.8</v>
      </c>
      <c r="AB2501" s="21">
        <f t="shared" si="754"/>
        <v>19500</v>
      </c>
      <c r="AC2501" s="130">
        <f t="shared" si="755"/>
        <v>2687.1</v>
      </c>
      <c r="AD2501" s="169">
        <v>0.13780000000000001</v>
      </c>
      <c r="AE2501" s="154">
        <f t="shared" si="756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65"/>
        <v>22717528.991150443</v>
      </c>
      <c r="AJ2501" s="19">
        <f t="shared" si="766"/>
        <v>3947747.192555753</v>
      </c>
      <c r="AK2501" s="20">
        <f t="shared" si="757"/>
        <v>0.1737753782153679</v>
      </c>
      <c r="AL2501" s="17"/>
      <c r="AM2501" s="17"/>
      <c r="AN2501" s="17"/>
      <c r="AO2501" s="17"/>
      <c r="AP2501" s="28" t="str">
        <f t="shared" si="758"/>
        <v>202210</v>
      </c>
      <c r="AQ2501" s="28" t="str">
        <f t="shared" si="759"/>
        <v>202210USD</v>
      </c>
      <c r="AR2501" s="206" t="str">
        <f t="shared" si="760"/>
        <v>LOCAL SUPPLIER</v>
      </c>
      <c r="AS2501" s="22">
        <f t="shared" si="761"/>
        <v>1</v>
      </c>
      <c r="AT2501" s="24" t="str">
        <f t="shared" si="762"/>
        <v>0-3 months</v>
      </c>
    </row>
    <row r="2502" spans="1:46" s="12" customFormat="1">
      <c r="A2502" s="33" t="str">
        <f t="shared" si="749"/>
        <v>FY 22/23</v>
      </c>
      <c r="B2502" s="152">
        <v>2022</v>
      </c>
      <c r="C2502" s="152">
        <v>9</v>
      </c>
      <c r="D2502" s="33" t="str">
        <f t="shared" si="750"/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si="751"/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52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64"/>
        <v>1</v>
      </c>
      <c r="Z2502" s="18">
        <f t="shared" si="753"/>
        <v>2500</v>
      </c>
      <c r="AA2502" s="13">
        <v>7.8</v>
      </c>
      <c r="AB2502" s="21">
        <f t="shared" si="754"/>
        <v>19500</v>
      </c>
      <c r="AC2502" s="130">
        <f t="shared" si="755"/>
        <v>2687.1</v>
      </c>
      <c r="AD2502" s="169">
        <v>0.13780000000000001</v>
      </c>
      <c r="AE2502" s="154">
        <f t="shared" si="756"/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65"/>
        <v>22717528.991150443</v>
      </c>
      <c r="AJ2502" s="19">
        <f t="shared" si="766"/>
        <v>3947747.192555753</v>
      </c>
      <c r="AK2502" s="20">
        <f t="shared" si="757"/>
        <v>0.1737753782153679</v>
      </c>
      <c r="AL2502" s="17"/>
      <c r="AM2502" s="17"/>
      <c r="AN2502" s="17"/>
      <c r="AO2502" s="17"/>
      <c r="AP2502" s="28" t="str">
        <f t="shared" si="758"/>
        <v>202210</v>
      </c>
      <c r="AQ2502" s="28" t="str">
        <f t="shared" si="759"/>
        <v>202210USD</v>
      </c>
      <c r="AR2502" s="206" t="str">
        <f t="shared" si="760"/>
        <v>LOCAL SUPPLIER</v>
      </c>
      <c r="AS2502" s="22">
        <f t="shared" si="761"/>
        <v>1</v>
      </c>
      <c r="AT2502" s="24" t="str">
        <f t="shared" si="762"/>
        <v>0-3 months</v>
      </c>
    </row>
    <row r="2503" spans="1:46" s="12" customFormat="1">
      <c r="A2503" s="33" t="str">
        <f t="shared" si="749"/>
        <v>FY 22/23</v>
      </c>
      <c r="B2503" s="152">
        <v>2022</v>
      </c>
      <c r="C2503" s="152">
        <v>9</v>
      </c>
      <c r="D2503" s="33" t="str">
        <f t="shared" si="750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51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52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64"/>
        <v>1</v>
      </c>
      <c r="Z2503" s="18">
        <f t="shared" si="753"/>
        <v>8500</v>
      </c>
      <c r="AA2503" s="13">
        <v>7.8</v>
      </c>
      <c r="AB2503" s="21">
        <f t="shared" si="754"/>
        <v>66300</v>
      </c>
      <c r="AC2503" s="130">
        <f t="shared" si="755"/>
        <v>9136.1400000000012</v>
      </c>
      <c r="AD2503" s="169">
        <v>0.13780000000000001</v>
      </c>
      <c r="AE2503" s="154">
        <f t="shared" si="756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65"/>
        <v>22717528.991150443</v>
      </c>
      <c r="AJ2503" s="19">
        <f t="shared" si="766"/>
        <v>3947747.192555753</v>
      </c>
      <c r="AK2503" s="20">
        <f t="shared" si="757"/>
        <v>0.1737753782153679</v>
      </c>
      <c r="AL2503" s="17"/>
      <c r="AM2503" s="17"/>
      <c r="AN2503" s="17"/>
      <c r="AO2503" s="17"/>
      <c r="AP2503" s="28" t="str">
        <f t="shared" si="758"/>
        <v>202210</v>
      </c>
      <c r="AQ2503" s="28" t="str">
        <f t="shared" si="759"/>
        <v>202210USD</v>
      </c>
      <c r="AR2503" s="206" t="str">
        <f t="shared" si="760"/>
        <v>LOCAL SUPPLIER</v>
      </c>
      <c r="AS2503" s="22">
        <f t="shared" si="761"/>
        <v>1</v>
      </c>
      <c r="AT2503" s="24" t="str">
        <f t="shared" si="762"/>
        <v>0-3 months</v>
      </c>
    </row>
    <row r="2504" spans="1:46" s="12" customFormat="1">
      <c r="A2504" s="33" t="str">
        <f t="shared" si="749"/>
        <v>FY 22/23</v>
      </c>
      <c r="B2504" s="152">
        <v>2022</v>
      </c>
      <c r="C2504" s="152">
        <v>9</v>
      </c>
      <c r="D2504" s="33" t="str">
        <f t="shared" si="750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51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52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64"/>
        <v>1</v>
      </c>
      <c r="Z2504" s="18">
        <f t="shared" si="753"/>
        <v>4500</v>
      </c>
      <c r="AA2504" s="13">
        <v>7.8</v>
      </c>
      <c r="AB2504" s="21">
        <f t="shared" si="754"/>
        <v>35100</v>
      </c>
      <c r="AC2504" s="130">
        <f t="shared" si="755"/>
        <v>4836.7800000000007</v>
      </c>
      <c r="AD2504" s="169">
        <v>0.13780000000000001</v>
      </c>
      <c r="AE2504" s="154">
        <f t="shared" si="756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65"/>
        <v>22717528.991150443</v>
      </c>
      <c r="AJ2504" s="19">
        <f t="shared" si="766"/>
        <v>3947747.192555753</v>
      </c>
      <c r="AK2504" s="20">
        <f t="shared" si="757"/>
        <v>0.1737753782153679</v>
      </c>
      <c r="AL2504" s="17"/>
      <c r="AM2504" s="17"/>
      <c r="AN2504" s="17"/>
      <c r="AO2504" s="17"/>
      <c r="AP2504" s="28" t="str">
        <f t="shared" si="758"/>
        <v>202210</v>
      </c>
      <c r="AQ2504" s="28" t="str">
        <f t="shared" si="759"/>
        <v>202210USD</v>
      </c>
      <c r="AR2504" s="206" t="str">
        <f t="shared" si="760"/>
        <v>LOCAL SUPPLIER</v>
      </c>
      <c r="AS2504" s="22">
        <f t="shared" si="761"/>
        <v>1</v>
      </c>
      <c r="AT2504" s="24" t="str">
        <f t="shared" si="762"/>
        <v>0-3 months</v>
      </c>
    </row>
    <row r="2505" spans="1:46" s="12" customFormat="1">
      <c r="A2505" s="33" t="str">
        <f t="shared" si="749"/>
        <v>FY 22/23</v>
      </c>
      <c r="B2505" s="152">
        <v>2022</v>
      </c>
      <c r="C2505" s="152">
        <v>9</v>
      </c>
      <c r="D2505" s="33" t="str">
        <f t="shared" si="750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51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52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53"/>
        <v>4500</v>
      </c>
      <c r="AA2505" s="13">
        <v>7.8</v>
      </c>
      <c r="AB2505" s="21">
        <f t="shared" si="754"/>
        <v>35100</v>
      </c>
      <c r="AC2505" s="130">
        <f t="shared" si="755"/>
        <v>4836.7800000000007</v>
      </c>
      <c r="AD2505" s="169">
        <v>0.13780000000000001</v>
      </c>
      <c r="AE2505" s="154">
        <f t="shared" si="756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65"/>
        <v>22717528.991150443</v>
      </c>
      <c r="AJ2505" s="19">
        <f t="shared" si="766"/>
        <v>3947747.192555753</v>
      </c>
      <c r="AK2505" s="20">
        <f t="shared" si="757"/>
        <v>0.1737753782153679</v>
      </c>
      <c r="AL2505" s="17"/>
      <c r="AM2505" s="17"/>
      <c r="AN2505" s="17"/>
      <c r="AO2505" s="17"/>
      <c r="AP2505" s="28" t="str">
        <f t="shared" si="758"/>
        <v>202210</v>
      </c>
      <c r="AQ2505" s="28" t="str">
        <f t="shared" si="759"/>
        <v>202210USD</v>
      </c>
      <c r="AR2505" s="206" t="str">
        <f t="shared" si="760"/>
        <v>LOCAL SUPPLIER</v>
      </c>
      <c r="AS2505" s="22">
        <f t="shared" si="761"/>
        <v>1</v>
      </c>
      <c r="AT2505" s="24" t="str">
        <f t="shared" si="762"/>
        <v>0-3 months</v>
      </c>
    </row>
    <row r="2506" spans="1:46" s="12" customFormat="1">
      <c r="A2506" s="33" t="str">
        <f t="shared" si="749"/>
        <v>FY 22/23</v>
      </c>
      <c r="B2506" s="152">
        <v>2022</v>
      </c>
      <c r="C2506" s="152">
        <v>9</v>
      </c>
      <c r="D2506" s="33" t="str">
        <f t="shared" si="750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51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52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si="753"/>
        <v>52000</v>
      </c>
      <c r="AA2506" s="13">
        <v>7.8</v>
      </c>
      <c r="AB2506" s="21">
        <f t="shared" si="754"/>
        <v>405600</v>
      </c>
      <c r="AC2506" s="130">
        <f t="shared" si="755"/>
        <v>43764.24</v>
      </c>
      <c r="AD2506" s="169">
        <v>0.1079</v>
      </c>
      <c r="AE2506" s="154">
        <f t="shared" si="756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65"/>
        <v>22717528.991150443</v>
      </c>
      <c r="AJ2506" s="19">
        <f t="shared" si="766"/>
        <v>3947747.192555753</v>
      </c>
      <c r="AK2506" s="20">
        <f t="shared" si="757"/>
        <v>0.1737753782153679</v>
      </c>
      <c r="AL2506" s="17"/>
      <c r="AM2506" s="17"/>
      <c r="AN2506" s="17"/>
      <c r="AO2506" s="17"/>
      <c r="AP2506" s="28" t="str">
        <f t="shared" si="758"/>
        <v>202210</v>
      </c>
      <c r="AQ2506" s="28" t="str">
        <f t="shared" si="759"/>
        <v>202210USD</v>
      </c>
      <c r="AR2506" s="206" t="str">
        <f t="shared" si="760"/>
        <v>PEMTRON</v>
      </c>
      <c r="AS2506" s="22">
        <f t="shared" si="761"/>
        <v>1</v>
      </c>
      <c r="AT2506" s="24" t="str">
        <f t="shared" si="762"/>
        <v>0-3 months</v>
      </c>
    </row>
    <row r="2507" spans="1:46" s="12" customFormat="1">
      <c r="A2507" s="33" t="str">
        <f t="shared" si="749"/>
        <v>FY 22/23</v>
      </c>
      <c r="B2507" s="152">
        <v>2022</v>
      </c>
      <c r="C2507" s="152">
        <v>4</v>
      </c>
      <c r="D2507" s="33" t="str">
        <f t="shared" si="750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51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52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67">IF(W2507="RMB","1.13", "1")</f>
        <v>1.13</v>
      </c>
      <c r="Z2507" s="18">
        <f t="shared" si="753"/>
        <v>990000</v>
      </c>
      <c r="AA2507" s="13">
        <v>1.0920000000000001</v>
      </c>
      <c r="AB2507" s="21">
        <f t="shared" si="754"/>
        <v>956707.96460177004</v>
      </c>
      <c r="AC2507" s="130">
        <f t="shared" si="755"/>
        <v>217077.0371681416</v>
      </c>
      <c r="AD2507" s="169">
        <v>0.22689999999999999</v>
      </c>
      <c r="AE2507" s="154">
        <f t="shared" si="756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65"/>
        <v>22953677.784070797</v>
      </c>
      <c r="AJ2507" s="19">
        <f t="shared" si="766"/>
        <v>4168706.6744155753</v>
      </c>
      <c r="AK2507" s="20">
        <f t="shared" si="757"/>
        <v>0.18161388835511752</v>
      </c>
      <c r="AL2507" s="17"/>
      <c r="AM2507" s="17"/>
      <c r="AN2507" s="17"/>
      <c r="AO2507" s="17"/>
      <c r="AP2507" s="28" t="str">
        <f t="shared" si="758"/>
        <v>20238</v>
      </c>
      <c r="AQ2507" s="28" t="str">
        <f t="shared" si="759"/>
        <v>20238RMB</v>
      </c>
      <c r="AR2507" s="206" t="str">
        <f t="shared" si="760"/>
        <v>YAMAHA_Mounter</v>
      </c>
      <c r="AS2507" s="22">
        <f t="shared" si="761"/>
        <v>16</v>
      </c>
      <c r="AT2507" s="24" t="str">
        <f t="shared" si="762"/>
        <v>&gt; 6 months</v>
      </c>
    </row>
    <row r="2508" spans="1:46" s="12" customFormat="1">
      <c r="A2508" s="33" t="str">
        <f t="shared" si="749"/>
        <v>FY 22/23</v>
      </c>
      <c r="B2508" s="152">
        <v>2022</v>
      </c>
      <c r="C2508" s="152">
        <v>4</v>
      </c>
      <c r="D2508" s="33" t="str">
        <f t="shared" si="750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51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52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67"/>
        <v>1.13</v>
      </c>
      <c r="Z2508" s="18">
        <f t="shared" ref="Z2508:Z2539" si="768">IF(X2508="","",X2508*MAX(O2508,N2508))</f>
        <v>990000</v>
      </c>
      <c r="AA2508" s="13">
        <v>1.0920000000000001</v>
      </c>
      <c r="AB2508" s="21">
        <f t="shared" si="754"/>
        <v>956707.96460177004</v>
      </c>
      <c r="AC2508" s="130">
        <f t="shared" si="755"/>
        <v>217077.0371681416</v>
      </c>
      <c r="AD2508" s="169">
        <v>0.22689999999999999</v>
      </c>
      <c r="AE2508" s="154">
        <f t="shared" si="756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65"/>
        <v>22953677.784070797</v>
      </c>
      <c r="AJ2508" s="19">
        <f t="shared" si="766"/>
        <v>4168706.6744155753</v>
      </c>
      <c r="AK2508" s="20">
        <f t="shared" si="757"/>
        <v>0.18161388835511752</v>
      </c>
      <c r="AL2508" s="17"/>
      <c r="AM2508" s="17"/>
      <c r="AN2508" s="17"/>
      <c r="AO2508" s="17"/>
      <c r="AP2508" s="28" t="str">
        <f t="shared" si="758"/>
        <v>20238</v>
      </c>
      <c r="AQ2508" s="28" t="str">
        <f t="shared" si="759"/>
        <v>20238RMB</v>
      </c>
      <c r="AR2508" s="206" t="str">
        <f t="shared" si="760"/>
        <v>YAMAHA_Mounter</v>
      </c>
      <c r="AS2508" s="22">
        <f t="shared" si="761"/>
        <v>16</v>
      </c>
      <c r="AT2508" s="24" t="str">
        <f t="shared" si="762"/>
        <v>&gt; 6 months</v>
      </c>
    </row>
    <row r="2509" spans="1:46" s="12" customFormat="1">
      <c r="A2509" s="33" t="str">
        <f t="shared" si="749"/>
        <v>FY 22/23</v>
      </c>
      <c r="B2509" s="152">
        <v>2022</v>
      </c>
      <c r="C2509" s="152">
        <v>4</v>
      </c>
      <c r="D2509" s="33" t="str">
        <f t="shared" si="750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51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52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67"/>
        <v>1.13</v>
      </c>
      <c r="Z2509" s="18">
        <f t="shared" si="768"/>
        <v>990000</v>
      </c>
      <c r="AA2509" s="13">
        <v>1.0920000000000001</v>
      </c>
      <c r="AB2509" s="21">
        <f t="shared" si="754"/>
        <v>956707.96460177004</v>
      </c>
      <c r="AC2509" s="130">
        <f t="shared" si="755"/>
        <v>217077.0371681416</v>
      </c>
      <c r="AD2509" s="169">
        <v>0.22689999999999999</v>
      </c>
      <c r="AE2509" s="154">
        <f t="shared" si="756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65"/>
        <v>22953677.784070797</v>
      </c>
      <c r="AJ2509" s="19">
        <f t="shared" si="766"/>
        <v>4168706.6744155753</v>
      </c>
      <c r="AK2509" s="20">
        <f t="shared" si="757"/>
        <v>0.18161388835511752</v>
      </c>
      <c r="AL2509" s="17"/>
      <c r="AM2509" s="17"/>
      <c r="AN2509" s="17"/>
      <c r="AO2509" s="17"/>
      <c r="AP2509" s="28" t="str">
        <f t="shared" si="758"/>
        <v>20238</v>
      </c>
      <c r="AQ2509" s="28" t="str">
        <f t="shared" si="759"/>
        <v>20238RMB</v>
      </c>
      <c r="AR2509" s="206" t="str">
        <f t="shared" si="760"/>
        <v>YAMAHA_Mounter</v>
      </c>
      <c r="AS2509" s="22">
        <f t="shared" si="761"/>
        <v>16</v>
      </c>
      <c r="AT2509" s="24" t="str">
        <f t="shared" si="762"/>
        <v>&gt; 6 months</v>
      </c>
    </row>
    <row r="2510" spans="1:46" s="12" customFormat="1">
      <c r="A2510" s="33" t="str">
        <f t="shared" si="749"/>
        <v>FY 22/23</v>
      </c>
      <c r="B2510" s="152">
        <v>2022</v>
      </c>
      <c r="C2510" s="152">
        <v>4</v>
      </c>
      <c r="D2510" s="33" t="str">
        <f t="shared" si="750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51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52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67"/>
        <v>1.13</v>
      </c>
      <c r="Z2510" s="18">
        <f t="shared" si="768"/>
        <v>990000</v>
      </c>
      <c r="AA2510" s="13">
        <v>1.0920000000000001</v>
      </c>
      <c r="AB2510" s="21">
        <f t="shared" si="754"/>
        <v>956707.96460177004</v>
      </c>
      <c r="AC2510" s="130">
        <f t="shared" si="755"/>
        <v>217077.0371681416</v>
      </c>
      <c r="AD2510" s="169">
        <v>0.22689999999999999</v>
      </c>
      <c r="AE2510" s="154">
        <f t="shared" si="756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65"/>
        <v>22953677.784070797</v>
      </c>
      <c r="AJ2510" s="19">
        <f t="shared" si="766"/>
        <v>4168706.6744155753</v>
      </c>
      <c r="AK2510" s="20">
        <f t="shared" si="757"/>
        <v>0.18161388835511752</v>
      </c>
      <c r="AL2510" s="17"/>
      <c r="AM2510" s="17"/>
      <c r="AN2510" s="17"/>
      <c r="AO2510" s="17"/>
      <c r="AP2510" s="28" t="str">
        <f t="shared" si="758"/>
        <v>20238</v>
      </c>
      <c r="AQ2510" s="28" t="str">
        <f t="shared" si="759"/>
        <v>20238RMB</v>
      </c>
      <c r="AR2510" s="206" t="str">
        <f t="shared" si="760"/>
        <v>YAMAHA_Mounter</v>
      </c>
      <c r="AS2510" s="22">
        <f t="shared" si="761"/>
        <v>16</v>
      </c>
      <c r="AT2510" s="24" t="str">
        <f t="shared" si="762"/>
        <v>&gt; 6 months</v>
      </c>
    </row>
    <row r="2511" spans="1:46" s="12" customFormat="1">
      <c r="A2511" s="33" t="str">
        <f t="shared" si="749"/>
        <v>FY 22/23</v>
      </c>
      <c r="B2511" s="152">
        <v>2022</v>
      </c>
      <c r="C2511" s="152">
        <v>4</v>
      </c>
      <c r="D2511" s="33" t="str">
        <f t="shared" si="750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51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52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67"/>
        <v>1.13</v>
      </c>
      <c r="Z2511" s="18">
        <f t="shared" si="768"/>
        <v>990000</v>
      </c>
      <c r="AA2511" s="13">
        <v>1.0920000000000001</v>
      </c>
      <c r="AB2511" s="21">
        <f t="shared" si="754"/>
        <v>956707.96460177004</v>
      </c>
      <c r="AC2511" s="130">
        <f t="shared" si="755"/>
        <v>217077.0371681416</v>
      </c>
      <c r="AD2511" s="169">
        <v>0.22689999999999999</v>
      </c>
      <c r="AE2511" s="154">
        <f t="shared" si="756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65"/>
        <v>22953677.784070797</v>
      </c>
      <c r="AJ2511" s="19">
        <f t="shared" si="766"/>
        <v>4168706.6744155753</v>
      </c>
      <c r="AK2511" s="20">
        <f t="shared" si="757"/>
        <v>0.18161388835511752</v>
      </c>
      <c r="AL2511" s="17"/>
      <c r="AM2511" s="17"/>
      <c r="AN2511" s="17"/>
      <c r="AO2511" s="17"/>
      <c r="AP2511" s="28" t="str">
        <f t="shared" si="758"/>
        <v>20238</v>
      </c>
      <c r="AQ2511" s="28" t="str">
        <f t="shared" si="759"/>
        <v>20238RMB</v>
      </c>
      <c r="AR2511" s="206" t="str">
        <f t="shared" si="760"/>
        <v>YAMAHA_Mounter</v>
      </c>
      <c r="AS2511" s="22">
        <f t="shared" si="761"/>
        <v>16</v>
      </c>
      <c r="AT2511" s="24" t="str">
        <f t="shared" si="762"/>
        <v>&gt; 6 months</v>
      </c>
    </row>
    <row r="2512" spans="1:46" s="12" customFormat="1">
      <c r="A2512" s="33" t="str">
        <f t="shared" si="749"/>
        <v>FY 22/23</v>
      </c>
      <c r="B2512" s="152">
        <v>2022</v>
      </c>
      <c r="C2512" s="152">
        <v>4</v>
      </c>
      <c r="D2512" s="33" t="str">
        <f t="shared" si="750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51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52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67"/>
        <v>1.13</v>
      </c>
      <c r="Z2512" s="18">
        <f t="shared" si="768"/>
        <v>990000</v>
      </c>
      <c r="AA2512" s="13">
        <v>1.0920000000000001</v>
      </c>
      <c r="AB2512" s="21">
        <f t="shared" si="754"/>
        <v>956707.96460177004</v>
      </c>
      <c r="AC2512" s="130">
        <f t="shared" si="755"/>
        <v>217077.0371681416</v>
      </c>
      <c r="AD2512" s="169">
        <v>0.22689999999999999</v>
      </c>
      <c r="AE2512" s="154">
        <f t="shared" si="756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65"/>
        <v>22953677.784070797</v>
      </c>
      <c r="AJ2512" s="19">
        <f t="shared" si="766"/>
        <v>4168706.6744155753</v>
      </c>
      <c r="AK2512" s="20">
        <f t="shared" si="757"/>
        <v>0.18161388835511752</v>
      </c>
      <c r="AL2512" s="17"/>
      <c r="AM2512" s="17"/>
      <c r="AN2512" s="17"/>
      <c r="AO2512" s="17"/>
      <c r="AP2512" s="28" t="str">
        <f t="shared" si="758"/>
        <v>20238</v>
      </c>
      <c r="AQ2512" s="28" t="str">
        <f t="shared" si="759"/>
        <v>20238RMB</v>
      </c>
      <c r="AR2512" s="206" t="str">
        <f t="shared" si="760"/>
        <v>YAMAHA_Mounter</v>
      </c>
      <c r="AS2512" s="22">
        <f t="shared" si="761"/>
        <v>16</v>
      </c>
      <c r="AT2512" s="24" t="str">
        <f t="shared" si="762"/>
        <v>&gt; 6 months</v>
      </c>
    </row>
    <row r="2513" spans="1:46" s="12" customFormat="1">
      <c r="A2513" s="33" t="str">
        <f t="shared" si="749"/>
        <v>FY 22/23</v>
      </c>
      <c r="B2513" s="152">
        <v>2022</v>
      </c>
      <c r="C2513" s="152">
        <v>4</v>
      </c>
      <c r="D2513" s="33" t="str">
        <f t="shared" si="750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51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52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67"/>
        <v>1.13</v>
      </c>
      <c r="Z2513" s="18">
        <f t="shared" si="768"/>
        <v>650000</v>
      </c>
      <c r="AA2513" s="13">
        <v>1.0920000000000001</v>
      </c>
      <c r="AB2513" s="21">
        <f t="shared" si="754"/>
        <v>628141.5929203541</v>
      </c>
      <c r="AC2513" s="130">
        <f t="shared" si="755"/>
        <v>142525.32743362835</v>
      </c>
      <c r="AD2513" s="169">
        <v>0.22689999999999999</v>
      </c>
      <c r="AE2513" s="154">
        <f t="shared" si="756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65"/>
        <v>22953677.784070797</v>
      </c>
      <c r="AJ2513" s="19">
        <f t="shared" si="766"/>
        <v>4168706.6744155753</v>
      </c>
      <c r="AK2513" s="20">
        <f t="shared" si="757"/>
        <v>0.18161388835511752</v>
      </c>
      <c r="AL2513" s="17"/>
      <c r="AM2513" s="17"/>
      <c r="AN2513" s="17"/>
      <c r="AO2513" s="17"/>
      <c r="AP2513" s="28" t="str">
        <f t="shared" si="758"/>
        <v>20238</v>
      </c>
      <c r="AQ2513" s="28" t="str">
        <f t="shared" si="759"/>
        <v>20238RMB</v>
      </c>
      <c r="AR2513" s="206" t="str">
        <f t="shared" si="760"/>
        <v>YAMAHA_Mounter</v>
      </c>
      <c r="AS2513" s="22">
        <f t="shared" si="761"/>
        <v>16</v>
      </c>
      <c r="AT2513" s="24" t="str">
        <f t="shared" si="762"/>
        <v>&gt; 6 months</v>
      </c>
    </row>
    <row r="2514" spans="1:46" s="12" customFormat="1">
      <c r="A2514" s="33" t="str">
        <f t="shared" si="749"/>
        <v>FY 22/23</v>
      </c>
      <c r="B2514" s="152">
        <v>2022</v>
      </c>
      <c r="C2514" s="152">
        <v>4</v>
      </c>
      <c r="D2514" s="33" t="str">
        <f t="shared" si="750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51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52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67"/>
        <v>1.13</v>
      </c>
      <c r="Z2514" s="18">
        <f t="shared" si="768"/>
        <v>650000</v>
      </c>
      <c r="AA2514" s="13">
        <v>1.0920000000000001</v>
      </c>
      <c r="AB2514" s="21">
        <f t="shared" si="754"/>
        <v>628141.5929203541</v>
      </c>
      <c r="AC2514" s="130">
        <f t="shared" si="755"/>
        <v>142525.32743362835</v>
      </c>
      <c r="AD2514" s="169">
        <v>0.22689999999999999</v>
      </c>
      <c r="AE2514" s="154">
        <f t="shared" si="756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65"/>
        <v>22953677.784070797</v>
      </c>
      <c r="AJ2514" s="19">
        <f t="shared" si="766"/>
        <v>4168706.6744155753</v>
      </c>
      <c r="AK2514" s="20">
        <f t="shared" si="757"/>
        <v>0.18161388835511752</v>
      </c>
      <c r="AL2514" s="17"/>
      <c r="AM2514" s="17"/>
      <c r="AN2514" s="17"/>
      <c r="AO2514" s="17"/>
      <c r="AP2514" s="28" t="str">
        <f t="shared" si="758"/>
        <v>20238</v>
      </c>
      <c r="AQ2514" s="28" t="str">
        <f t="shared" si="759"/>
        <v>20238RMB</v>
      </c>
      <c r="AR2514" s="206" t="str">
        <f t="shared" si="760"/>
        <v>YAMAHA_Mounter</v>
      </c>
      <c r="AS2514" s="22">
        <f t="shared" si="761"/>
        <v>16</v>
      </c>
      <c r="AT2514" s="24" t="str">
        <f t="shared" si="762"/>
        <v>&gt; 6 months</v>
      </c>
    </row>
    <row r="2515" spans="1:46" s="12" customFormat="1">
      <c r="A2515" s="33" t="str">
        <f t="shared" si="749"/>
        <v>cancel</v>
      </c>
      <c r="B2515" s="152"/>
      <c r="C2515" s="152" t="s">
        <v>186</v>
      </c>
      <c r="D2515" s="33" t="str">
        <f t="shared" si="750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51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52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67"/>
        <v>1.13</v>
      </c>
      <c r="Z2515" s="18">
        <f t="shared" si="768"/>
        <v>0</v>
      </c>
      <c r="AA2515" s="13">
        <v>1.2</v>
      </c>
      <c r="AB2515" s="21">
        <f t="shared" si="754"/>
        <v>0</v>
      </c>
      <c r="AC2515" s="130">
        <f t="shared" si="755"/>
        <v>0</v>
      </c>
      <c r="AD2515" s="169">
        <v>0.12</v>
      </c>
      <c r="AE2515" s="154">
        <f t="shared" si="756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65"/>
        <v>47458373.787610628</v>
      </c>
      <c r="AJ2515" s="19">
        <f t="shared" si="766"/>
        <v>7436880.1411522133</v>
      </c>
      <c r="AK2515" s="20">
        <f t="shared" si="757"/>
        <v>0.15670322321692506</v>
      </c>
      <c r="AL2515" s="17"/>
      <c r="AM2515" s="17"/>
      <c r="AN2515" s="17"/>
      <c r="AO2515" s="17"/>
      <c r="AP2515" s="28" t="str">
        <f t="shared" si="758"/>
        <v>20218</v>
      </c>
      <c r="AQ2515" s="28" t="str">
        <f t="shared" si="759"/>
        <v>20218RMB</v>
      </c>
      <c r="AR2515" s="206">
        <f t="shared" si="760"/>
        <v>0</v>
      </c>
      <c r="AS2515" s="22" t="str">
        <f t="shared" si="761"/>
        <v/>
      </c>
      <c r="AT2515" s="24" t="str">
        <f t="shared" si="762"/>
        <v/>
      </c>
    </row>
    <row r="2516" spans="1:46" s="12" customFormat="1">
      <c r="A2516" s="33" t="str">
        <f t="shared" si="749"/>
        <v>cancel</v>
      </c>
      <c r="B2516" s="152"/>
      <c r="C2516" s="152" t="s">
        <v>186</v>
      </c>
      <c r="D2516" s="33" t="str">
        <f t="shared" si="750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51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52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68"/>
        <v>10500000</v>
      </c>
      <c r="AA2516" s="13">
        <v>7.2300000000000003E-2</v>
      </c>
      <c r="AB2516" s="21">
        <f t="shared" si="754"/>
        <v>759150</v>
      </c>
      <c r="AC2516" s="130">
        <f t="shared" si="755"/>
        <v>91098</v>
      </c>
      <c r="AD2516" s="169">
        <v>0.12</v>
      </c>
      <c r="AE2516" s="154">
        <f t="shared" si="756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65"/>
        <v>477651199.57437885</v>
      </c>
      <c r="AJ2516" s="19">
        <f t="shared" si="766"/>
        <v>56918800.518691957</v>
      </c>
      <c r="AK2516" s="20">
        <f t="shared" si="757"/>
        <v>0.11916394341605475</v>
      </c>
      <c r="AL2516" s="17"/>
      <c r="AM2516" s="17"/>
      <c r="AN2516" s="17"/>
      <c r="AO2516" s="17"/>
      <c r="AP2516" s="28" t="str">
        <f t="shared" si="758"/>
        <v>CancelCancel</v>
      </c>
      <c r="AQ2516" s="28" t="str">
        <f t="shared" si="759"/>
        <v>CancelCancelJPY</v>
      </c>
      <c r="AR2516" s="206" t="str">
        <f t="shared" si="760"/>
        <v>YAMAHA_Mounter</v>
      </c>
      <c r="AS2516" s="22" t="str">
        <f t="shared" si="761"/>
        <v/>
      </c>
      <c r="AT2516" s="24" t="str">
        <f t="shared" si="762"/>
        <v/>
      </c>
    </row>
    <row r="2517" spans="1:46" s="12" customFormat="1">
      <c r="A2517" s="33" t="str">
        <f t="shared" si="749"/>
        <v>cancel</v>
      </c>
      <c r="B2517" s="152"/>
      <c r="C2517" s="152" t="s">
        <v>186</v>
      </c>
      <c r="D2517" s="33" t="str">
        <f t="shared" si="750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51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52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68"/>
        <v>31500000</v>
      </c>
      <c r="AA2517" s="13">
        <v>7.22E-2</v>
      </c>
      <c r="AB2517" s="21">
        <f t="shared" si="754"/>
        <v>2274300</v>
      </c>
      <c r="AC2517" s="130">
        <f t="shared" si="755"/>
        <v>272916</v>
      </c>
      <c r="AD2517" s="169">
        <v>0.12</v>
      </c>
      <c r="AE2517" s="154">
        <f t="shared" si="756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65"/>
        <v>477651199.57437885</v>
      </c>
      <c r="AJ2517" s="19">
        <f t="shared" si="766"/>
        <v>56918800.518691957</v>
      </c>
      <c r="AK2517" s="20">
        <f t="shared" si="757"/>
        <v>0.11916394341605475</v>
      </c>
      <c r="AL2517" s="17"/>
      <c r="AM2517" s="17"/>
      <c r="AN2517" s="17"/>
      <c r="AO2517" s="17"/>
      <c r="AP2517" s="28" t="str">
        <f t="shared" si="758"/>
        <v>CancelCancel</v>
      </c>
      <c r="AQ2517" s="28" t="str">
        <f t="shared" si="759"/>
        <v>CancelCancelJPY</v>
      </c>
      <c r="AR2517" s="206" t="str">
        <f t="shared" si="760"/>
        <v>YAMAHA_Mounter</v>
      </c>
      <c r="AS2517" s="22" t="str">
        <f t="shared" si="761"/>
        <v/>
      </c>
      <c r="AT2517" s="24" t="str">
        <f t="shared" si="762"/>
        <v/>
      </c>
    </row>
    <row r="2518" spans="1:46" s="12" customFormat="1">
      <c r="A2518" s="33" t="str">
        <f t="shared" si="749"/>
        <v>cancel</v>
      </c>
      <c r="B2518" s="152"/>
      <c r="C2518" s="152" t="s">
        <v>186</v>
      </c>
      <c r="D2518" s="33" t="str">
        <f t="shared" si="750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51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si="752"/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68"/>
        <v>28000000</v>
      </c>
      <c r="AA2518" s="13">
        <v>7.22E-2</v>
      </c>
      <c r="AB2518" s="21">
        <f t="shared" si="754"/>
        <v>2021600</v>
      </c>
      <c r="AC2518" s="130">
        <f t="shared" si="755"/>
        <v>242592</v>
      </c>
      <c r="AD2518" s="169">
        <v>0.12</v>
      </c>
      <c r="AE2518" s="154">
        <f t="shared" si="756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65"/>
        <v>477651199.57437885</v>
      </c>
      <c r="AJ2518" s="19">
        <f t="shared" si="766"/>
        <v>56918800.518691957</v>
      </c>
      <c r="AK2518" s="20">
        <f t="shared" si="757"/>
        <v>0.11916394341605475</v>
      </c>
      <c r="AL2518" s="17"/>
      <c r="AM2518" s="17"/>
      <c r="AN2518" s="17"/>
      <c r="AO2518" s="17"/>
      <c r="AP2518" s="28" t="str">
        <f t="shared" si="758"/>
        <v>CancelCancel</v>
      </c>
      <c r="AQ2518" s="28" t="str">
        <f t="shared" si="759"/>
        <v>CancelCancelJPY</v>
      </c>
      <c r="AR2518" s="206" t="str">
        <f t="shared" si="760"/>
        <v>YAMAHA_Mounter</v>
      </c>
      <c r="AS2518" s="22" t="str">
        <f t="shared" si="761"/>
        <v/>
      </c>
      <c r="AT2518" s="24" t="str">
        <f t="shared" si="762"/>
        <v/>
      </c>
    </row>
    <row r="2519" spans="1:46" s="12" customFormat="1">
      <c r="A2519" s="33" t="str">
        <f t="shared" si="749"/>
        <v>cancel</v>
      </c>
      <c r="B2519" s="152"/>
      <c r="C2519" s="152" t="s">
        <v>186</v>
      </c>
      <c r="D2519" s="33" t="str">
        <f t="shared" si="750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51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2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68"/>
        <v>56000000</v>
      </c>
      <c r="AA2519" s="13">
        <v>7.22E-2</v>
      </c>
      <c r="AB2519" s="21">
        <f t="shared" si="754"/>
        <v>4043200</v>
      </c>
      <c r="AC2519" s="130">
        <f t="shared" si="755"/>
        <v>485184</v>
      </c>
      <c r="AD2519" s="169">
        <v>0.12</v>
      </c>
      <c r="AE2519" s="154">
        <f t="shared" si="756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65"/>
        <v>477651199.57437885</v>
      </c>
      <c r="AJ2519" s="19">
        <f t="shared" si="766"/>
        <v>56918800.518691957</v>
      </c>
      <c r="AK2519" s="20">
        <f t="shared" si="757"/>
        <v>0.11916394341605475</v>
      </c>
      <c r="AL2519" s="17"/>
      <c r="AM2519" s="17"/>
      <c r="AN2519" s="17"/>
      <c r="AO2519" s="17"/>
      <c r="AP2519" s="28" t="str">
        <f t="shared" si="758"/>
        <v>CancelCancel</v>
      </c>
      <c r="AQ2519" s="28" t="str">
        <f t="shared" si="759"/>
        <v>CancelCancelJPY</v>
      </c>
      <c r="AR2519" s="206" t="str">
        <f t="shared" si="760"/>
        <v>YAMAHA_Mounter</v>
      </c>
      <c r="AS2519" s="22" t="str">
        <f t="shared" si="761"/>
        <v/>
      </c>
      <c r="AT2519" s="24" t="str">
        <f t="shared" si="762"/>
        <v/>
      </c>
    </row>
    <row r="2520" spans="1:46" s="12" customFormat="1">
      <c r="A2520" s="33" t="str">
        <f t="shared" si="749"/>
        <v>cancel</v>
      </c>
      <c r="B2520" s="152"/>
      <c r="C2520" s="152" t="s">
        <v>186</v>
      </c>
      <c r="D2520" s="33" t="str">
        <f t="shared" si="750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51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2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68"/>
        <v>21000000</v>
      </c>
      <c r="AA2520" s="13">
        <v>7.0699999999999999E-2</v>
      </c>
      <c r="AB2520" s="21">
        <f t="shared" si="754"/>
        <v>1484700</v>
      </c>
      <c r="AC2520" s="130">
        <f t="shared" si="755"/>
        <v>178164</v>
      </c>
      <c r="AD2520" s="169">
        <v>0.12</v>
      </c>
      <c r="AE2520" s="154">
        <f t="shared" si="756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65"/>
        <v>477651199.57437885</v>
      </c>
      <c r="AJ2520" s="19">
        <f t="shared" si="766"/>
        <v>56918800.518691957</v>
      </c>
      <c r="AK2520" s="20">
        <f t="shared" si="757"/>
        <v>0.11916394341605475</v>
      </c>
      <c r="AL2520" s="17"/>
      <c r="AM2520" s="17"/>
      <c r="AN2520" s="17"/>
      <c r="AO2520" s="17"/>
      <c r="AP2520" s="28" t="str">
        <f t="shared" si="758"/>
        <v>CancelCancel</v>
      </c>
      <c r="AQ2520" s="28" t="str">
        <f t="shared" si="759"/>
        <v>CancelCancelJPY</v>
      </c>
      <c r="AR2520" s="206" t="str">
        <f t="shared" si="760"/>
        <v>YAMAHA_Mounter</v>
      </c>
      <c r="AS2520" s="22" t="str">
        <f t="shared" si="761"/>
        <v/>
      </c>
      <c r="AT2520" s="24" t="str">
        <f t="shared" si="762"/>
        <v/>
      </c>
    </row>
    <row r="2521" spans="1:46" s="12" customFormat="1">
      <c r="A2521" s="33" t="str">
        <f t="shared" si="749"/>
        <v>cancel</v>
      </c>
      <c r="B2521" s="152"/>
      <c r="C2521" s="152" t="s">
        <v>186</v>
      </c>
      <c r="D2521" s="33" t="str">
        <f t="shared" si="750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51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2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68"/>
        <v>56000000</v>
      </c>
      <c r="AA2521" s="13">
        <v>7.0699999999999999E-2</v>
      </c>
      <c r="AB2521" s="21">
        <f t="shared" si="754"/>
        <v>3959200</v>
      </c>
      <c r="AC2521" s="130">
        <f t="shared" si="755"/>
        <v>475104</v>
      </c>
      <c r="AD2521" s="169">
        <v>0.12</v>
      </c>
      <c r="AE2521" s="154">
        <f t="shared" si="756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65"/>
        <v>477651199.57437885</v>
      </c>
      <c r="AJ2521" s="19">
        <f t="shared" si="766"/>
        <v>56918800.518691957</v>
      </c>
      <c r="AK2521" s="20">
        <f t="shared" si="757"/>
        <v>0.11916394341605475</v>
      </c>
      <c r="AL2521" s="17"/>
      <c r="AM2521" s="17"/>
      <c r="AN2521" s="17"/>
      <c r="AO2521" s="17"/>
      <c r="AP2521" s="28" t="str">
        <f t="shared" si="758"/>
        <v>CancelCancel</v>
      </c>
      <c r="AQ2521" s="28" t="str">
        <f t="shared" si="759"/>
        <v>CancelCancelJPY</v>
      </c>
      <c r="AR2521" s="206" t="str">
        <f t="shared" si="760"/>
        <v>YAMAHA_Mounter</v>
      </c>
      <c r="AS2521" s="22" t="str">
        <f t="shared" si="761"/>
        <v/>
      </c>
      <c r="AT2521" s="24" t="str">
        <f t="shared" si="762"/>
        <v/>
      </c>
    </row>
    <row r="2522" spans="1:46" s="12" customFormat="1">
      <c r="A2522" s="33" t="str">
        <f t="shared" si="749"/>
        <v>cancel</v>
      </c>
      <c r="B2522" s="152"/>
      <c r="C2522" s="152" t="s">
        <v>186</v>
      </c>
      <c r="D2522" s="33" t="str">
        <f t="shared" si="750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51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2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68"/>
        <v>28000000</v>
      </c>
      <c r="AA2522" s="13">
        <v>7.0699999999999999E-2</v>
      </c>
      <c r="AB2522" s="21">
        <f t="shared" si="754"/>
        <v>1979600</v>
      </c>
      <c r="AC2522" s="130">
        <f t="shared" si="755"/>
        <v>237552</v>
      </c>
      <c r="AD2522" s="169">
        <v>0.12</v>
      </c>
      <c r="AE2522" s="154">
        <f t="shared" si="756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65"/>
        <v>477651199.57437885</v>
      </c>
      <c r="AJ2522" s="19">
        <f t="shared" si="766"/>
        <v>56918800.518691957</v>
      </c>
      <c r="AK2522" s="20">
        <f t="shared" si="757"/>
        <v>0.11916394341605475</v>
      </c>
      <c r="AL2522" s="17"/>
      <c r="AM2522" s="17"/>
      <c r="AN2522" s="17"/>
      <c r="AO2522" s="17"/>
      <c r="AP2522" s="28" t="str">
        <f t="shared" si="758"/>
        <v>CancelCancel</v>
      </c>
      <c r="AQ2522" s="28" t="str">
        <f t="shared" si="759"/>
        <v>CancelCancelJPY</v>
      </c>
      <c r="AR2522" s="206" t="str">
        <f t="shared" si="760"/>
        <v>YAMAHA_Mounter</v>
      </c>
      <c r="AS2522" s="22" t="str">
        <f t="shared" si="761"/>
        <v/>
      </c>
      <c r="AT2522" s="24" t="str">
        <f t="shared" si="762"/>
        <v/>
      </c>
    </row>
    <row r="2523" spans="1:46" s="12" customFormat="1">
      <c r="A2523" s="33" t="str">
        <f t="shared" si="749"/>
        <v>cancel</v>
      </c>
      <c r="B2523" s="152"/>
      <c r="C2523" s="152" t="s">
        <v>186</v>
      </c>
      <c r="D2523" s="33" t="str">
        <f t="shared" si="750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51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2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68"/>
        <v>28000000</v>
      </c>
      <c r="AA2523" s="13">
        <v>7.0699999999999999E-2</v>
      </c>
      <c r="AB2523" s="21">
        <f t="shared" si="754"/>
        <v>1979600</v>
      </c>
      <c r="AC2523" s="130">
        <f t="shared" si="755"/>
        <v>237552</v>
      </c>
      <c r="AD2523" s="169">
        <v>0.12</v>
      </c>
      <c r="AE2523" s="154">
        <f t="shared" si="756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65"/>
        <v>477651199.57437885</v>
      </c>
      <c r="AJ2523" s="19">
        <f t="shared" si="766"/>
        <v>56918800.518691957</v>
      </c>
      <c r="AK2523" s="20">
        <f t="shared" si="757"/>
        <v>0.11916394341605475</v>
      </c>
      <c r="AL2523" s="17"/>
      <c r="AM2523" s="17"/>
      <c r="AN2523" s="17"/>
      <c r="AO2523" s="17" t="s">
        <v>1623</v>
      </c>
      <c r="AP2523" s="28" t="str">
        <f t="shared" si="758"/>
        <v>CancelCancel</v>
      </c>
      <c r="AQ2523" s="28" t="str">
        <f t="shared" si="759"/>
        <v>CancelCancelJPY</v>
      </c>
      <c r="AR2523" s="206" t="str">
        <f t="shared" si="760"/>
        <v>YAMAHA_Mounter</v>
      </c>
      <c r="AS2523" s="22" t="str">
        <f t="shared" si="761"/>
        <v/>
      </c>
      <c r="AT2523" s="24" t="str">
        <f t="shared" si="762"/>
        <v/>
      </c>
    </row>
    <row r="2524" spans="1:46" s="12" customFormat="1">
      <c r="A2524" s="33" t="str">
        <f t="shared" si="749"/>
        <v>cancel</v>
      </c>
      <c r="B2524" s="152"/>
      <c r="C2524" s="152" t="s">
        <v>186</v>
      </c>
      <c r="D2524" s="33" t="str">
        <f t="shared" si="750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51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2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68"/>
        <v>21000000</v>
      </c>
      <c r="AA2524" s="13">
        <v>7.0699999999999999E-2</v>
      </c>
      <c r="AB2524" s="21">
        <f t="shared" si="754"/>
        <v>1484700</v>
      </c>
      <c r="AC2524" s="130">
        <f t="shared" si="755"/>
        <v>178164</v>
      </c>
      <c r="AD2524" s="169">
        <v>0.12</v>
      </c>
      <c r="AE2524" s="154">
        <f t="shared" si="756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65"/>
        <v>477651199.57437885</v>
      </c>
      <c r="AJ2524" s="19">
        <f t="shared" si="766"/>
        <v>56918800.518691957</v>
      </c>
      <c r="AK2524" s="20">
        <f t="shared" si="757"/>
        <v>0.11916394341605475</v>
      </c>
      <c r="AL2524" s="17"/>
      <c r="AM2524" s="17"/>
      <c r="AN2524" s="17"/>
      <c r="AO2524" s="17"/>
      <c r="AP2524" s="28" t="str">
        <f t="shared" si="758"/>
        <v>CancelCancel</v>
      </c>
      <c r="AQ2524" s="28" t="str">
        <f t="shared" si="759"/>
        <v>CancelCancelJPY</v>
      </c>
      <c r="AR2524" s="206" t="str">
        <f t="shared" si="760"/>
        <v>YAMAHA_Mounter</v>
      </c>
      <c r="AS2524" s="22" t="str">
        <f t="shared" si="761"/>
        <v/>
      </c>
      <c r="AT2524" s="24" t="str">
        <f t="shared" si="762"/>
        <v/>
      </c>
    </row>
    <row r="2525" spans="1:46" s="12" customFormat="1">
      <c r="A2525" s="33" t="str">
        <f t="shared" si="749"/>
        <v>FY 22/23</v>
      </c>
      <c r="B2525" s="152">
        <v>2022</v>
      </c>
      <c r="C2525" s="152">
        <v>5</v>
      </c>
      <c r="D2525" s="33" t="str">
        <f t="shared" si="750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51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2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68"/>
        <v>700000</v>
      </c>
      <c r="AA2525" s="13">
        <v>1.0920000000000001</v>
      </c>
      <c r="AB2525" s="21">
        <f t="shared" si="754"/>
        <v>676460.17699115048</v>
      </c>
      <c r="AC2525" s="130">
        <f t="shared" si="755"/>
        <v>126700.99115044248</v>
      </c>
      <c r="AD2525" s="169">
        <v>0.18729999999999999</v>
      </c>
      <c r="AE2525" s="154">
        <f t="shared" si="756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65"/>
        <v>22953677.784070797</v>
      </c>
      <c r="AJ2525" s="19">
        <f t="shared" si="766"/>
        <v>4168706.6744155753</v>
      </c>
      <c r="AK2525" s="20">
        <f t="shared" si="757"/>
        <v>0.18161388835511752</v>
      </c>
      <c r="AL2525" s="17"/>
      <c r="AM2525" s="17"/>
      <c r="AN2525" s="17"/>
      <c r="AO2525" s="17"/>
      <c r="AP2525" s="28" t="str">
        <f t="shared" si="758"/>
        <v>20238</v>
      </c>
      <c r="AQ2525" s="28" t="str">
        <f t="shared" si="759"/>
        <v>20238RMB</v>
      </c>
      <c r="AR2525" s="206" t="str">
        <f t="shared" si="760"/>
        <v>YAMAHA_Non_Mounter</v>
      </c>
      <c r="AS2525" s="22">
        <f t="shared" si="761"/>
        <v>15</v>
      </c>
      <c r="AT2525" s="24" t="str">
        <f t="shared" si="762"/>
        <v>&gt; 6 months</v>
      </c>
    </row>
    <row r="2526" spans="1:46" s="12" customFormat="1">
      <c r="A2526" s="33" t="str">
        <f t="shared" si="749"/>
        <v>FY 22/23</v>
      </c>
      <c r="B2526" s="152">
        <v>2022</v>
      </c>
      <c r="C2526" s="152">
        <v>5</v>
      </c>
      <c r="D2526" s="33" t="str">
        <f t="shared" si="750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51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2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68"/>
        <v>700000</v>
      </c>
      <c r="AA2526" s="13">
        <v>1.0920000000000001</v>
      </c>
      <c r="AB2526" s="21">
        <f t="shared" si="754"/>
        <v>676460.17699115048</v>
      </c>
      <c r="AC2526" s="130">
        <f t="shared" si="755"/>
        <v>126700.99115044248</v>
      </c>
      <c r="AD2526" s="169">
        <v>0.18729999999999999</v>
      </c>
      <c r="AE2526" s="154">
        <f t="shared" si="756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65"/>
        <v>22953677.784070797</v>
      </c>
      <c r="AJ2526" s="19">
        <f t="shared" si="766"/>
        <v>4168706.6744155753</v>
      </c>
      <c r="AK2526" s="20">
        <f t="shared" si="757"/>
        <v>0.18161388835511752</v>
      </c>
      <c r="AL2526" s="17"/>
      <c r="AM2526" s="17"/>
      <c r="AN2526" s="17"/>
      <c r="AO2526" s="17"/>
      <c r="AP2526" s="28" t="str">
        <f t="shared" si="758"/>
        <v>20238</v>
      </c>
      <c r="AQ2526" s="28" t="str">
        <f t="shared" si="759"/>
        <v>20238RMB</v>
      </c>
      <c r="AR2526" s="206" t="str">
        <f t="shared" si="760"/>
        <v>YAMAHA_Non_Mounter</v>
      </c>
      <c r="AS2526" s="22">
        <f t="shared" si="761"/>
        <v>15</v>
      </c>
      <c r="AT2526" s="24" t="str">
        <f t="shared" si="762"/>
        <v>&gt; 6 months</v>
      </c>
    </row>
    <row r="2527" spans="1:46" s="12" customFormat="1">
      <c r="A2527" s="33" t="str">
        <f t="shared" si="749"/>
        <v>FY 22/23</v>
      </c>
      <c r="B2527" s="152">
        <v>2022</v>
      </c>
      <c r="C2527" s="152">
        <v>5</v>
      </c>
      <c r="D2527" s="33" t="str">
        <f t="shared" si="750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51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2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68"/>
        <v>700000</v>
      </c>
      <c r="AA2527" s="13">
        <v>1.0920000000000001</v>
      </c>
      <c r="AB2527" s="21">
        <f t="shared" si="754"/>
        <v>676460.17699115048</v>
      </c>
      <c r="AC2527" s="130">
        <f t="shared" si="755"/>
        <v>126700.99115044248</v>
      </c>
      <c r="AD2527" s="169">
        <v>0.18729999999999999</v>
      </c>
      <c r="AE2527" s="154">
        <f t="shared" si="756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65"/>
        <v>22953677.784070797</v>
      </c>
      <c r="AJ2527" s="19">
        <f t="shared" si="766"/>
        <v>4168706.6744155753</v>
      </c>
      <c r="AK2527" s="20">
        <f t="shared" si="757"/>
        <v>0.18161388835511752</v>
      </c>
      <c r="AL2527" s="17"/>
      <c r="AM2527" s="17"/>
      <c r="AN2527" s="17"/>
      <c r="AO2527" s="17"/>
      <c r="AP2527" s="28" t="str">
        <f t="shared" si="758"/>
        <v>20238</v>
      </c>
      <c r="AQ2527" s="28" t="str">
        <f t="shared" si="759"/>
        <v>20238RMB</v>
      </c>
      <c r="AR2527" s="206" t="str">
        <f t="shared" si="760"/>
        <v>YAMAHA_Non_Mounter</v>
      </c>
      <c r="AS2527" s="22">
        <f t="shared" si="761"/>
        <v>15</v>
      </c>
      <c r="AT2527" s="24" t="str">
        <f t="shared" si="762"/>
        <v>&gt; 6 months</v>
      </c>
    </row>
    <row r="2528" spans="1:46" s="12" customFormat="1">
      <c r="A2528" s="33" t="str">
        <f t="shared" si="749"/>
        <v>FY 22/23</v>
      </c>
      <c r="B2528" s="152">
        <v>2022</v>
      </c>
      <c r="C2528" s="152">
        <v>5</v>
      </c>
      <c r="D2528" s="33" t="str">
        <f t="shared" si="750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51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2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68"/>
        <v>700000</v>
      </c>
      <c r="AA2528" s="13">
        <v>1.0920000000000001</v>
      </c>
      <c r="AB2528" s="21">
        <f t="shared" si="754"/>
        <v>676460.17699115048</v>
      </c>
      <c r="AC2528" s="130">
        <f t="shared" si="755"/>
        <v>126700.99115044248</v>
      </c>
      <c r="AD2528" s="169">
        <v>0.18729999999999999</v>
      </c>
      <c r="AE2528" s="154">
        <f t="shared" si="756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65"/>
        <v>22953677.784070797</v>
      </c>
      <c r="AJ2528" s="19">
        <f t="shared" si="766"/>
        <v>4168706.6744155753</v>
      </c>
      <c r="AK2528" s="20">
        <f t="shared" si="757"/>
        <v>0.18161388835511752</v>
      </c>
      <c r="AL2528" s="17"/>
      <c r="AM2528" s="17"/>
      <c r="AN2528" s="17"/>
      <c r="AO2528" s="17"/>
      <c r="AP2528" s="28" t="str">
        <f t="shared" si="758"/>
        <v>20238</v>
      </c>
      <c r="AQ2528" s="28" t="str">
        <f t="shared" si="759"/>
        <v>20238RMB</v>
      </c>
      <c r="AR2528" s="206" t="str">
        <f t="shared" si="760"/>
        <v>YAMAHA_Non_Mounter</v>
      </c>
      <c r="AS2528" s="22">
        <f t="shared" si="761"/>
        <v>15</v>
      </c>
      <c r="AT2528" s="24" t="str">
        <f t="shared" si="762"/>
        <v>&gt; 6 months</v>
      </c>
    </row>
    <row r="2529" spans="1:46" s="12" customFormat="1">
      <c r="A2529" s="33" t="str">
        <f t="shared" si="749"/>
        <v>FY 24/25</v>
      </c>
      <c r="B2529" s="23">
        <v>2024</v>
      </c>
      <c r="C2529" s="152">
        <v>5</v>
      </c>
      <c r="D2529" s="202" t="str">
        <f t="shared" si="750"/>
        <v>Q1</v>
      </c>
      <c r="E2529" s="33" t="s">
        <v>3173</v>
      </c>
      <c r="F2529" s="152">
        <v>2024</v>
      </c>
      <c r="G2529" s="23">
        <v>9</v>
      </c>
      <c r="H2529" s="29"/>
      <c r="I2529" s="202" t="str">
        <f t="shared" si="751"/>
        <v>Q2</v>
      </c>
      <c r="J2529" s="188" t="s">
        <v>3438</v>
      </c>
      <c r="K2529" s="29" t="s">
        <v>1000</v>
      </c>
      <c r="L2529" s="17" t="s">
        <v>2621</v>
      </c>
      <c r="M2529" s="22" t="s">
        <v>61</v>
      </c>
      <c r="N2529" s="22">
        <v>1</v>
      </c>
      <c r="O2529" s="22"/>
      <c r="P2529" s="33" t="str">
        <f t="shared" si="752"/>
        <v>MAIN UNIT</v>
      </c>
      <c r="Q2529" s="22" t="s">
        <v>62</v>
      </c>
      <c r="R2529" s="22" t="s">
        <v>2056</v>
      </c>
      <c r="S2529" s="22" t="s">
        <v>50</v>
      </c>
      <c r="T2529" s="22" t="s">
        <v>79</v>
      </c>
      <c r="U2529" s="22" t="s">
        <v>79</v>
      </c>
      <c r="V2529" s="22" t="s">
        <v>312</v>
      </c>
      <c r="W2529" s="22" t="s">
        <v>110</v>
      </c>
      <c r="X2529" s="104">
        <v>7400000</v>
      </c>
      <c r="Y2529" s="195" t="str">
        <f>IF(W2529="","",IF(W2529="RMB","1.13", "1"))</f>
        <v>1</v>
      </c>
      <c r="Z2529" s="196">
        <f t="shared" si="768"/>
        <v>7400000</v>
      </c>
      <c r="AA2529" s="22">
        <v>5.5100000000000003E-2</v>
      </c>
      <c r="AB2529" s="197">
        <f t="shared" si="754"/>
        <v>407740</v>
      </c>
      <c r="AC2529" s="198">
        <f t="shared" si="755"/>
        <v>50029.698000000004</v>
      </c>
      <c r="AD2529" s="170">
        <v>0.1227</v>
      </c>
      <c r="AE2529" s="199">
        <f t="shared" si="756"/>
        <v>0</v>
      </c>
      <c r="AF2529" s="199" t="str">
        <f>IF(AND(COUNTIFS($J$18:J2529,J2529)=1,AE2529=1),1,"")</f>
        <v/>
      </c>
      <c r="AG2529" s="199" t="str">
        <f>IF(C2529="","",IF(AND(COUNTIFS($J$18:J2529,J2529)=1,C2529&lt;&gt;""),1,""))</f>
        <v/>
      </c>
      <c r="AH2529" s="199" t="str">
        <f>IF(G2529="","",IF(AND(COUNTIFS($J$18:J2529,J2529)=1,G2529&lt;&gt;""),1,""))</f>
        <v/>
      </c>
      <c r="AI2529" s="200">
        <f t="shared" si="765"/>
        <v>35931087.732566379</v>
      </c>
      <c r="AJ2529" s="200">
        <f t="shared" si="766"/>
        <v>4346699.6584161064</v>
      </c>
      <c r="AK2529" s="201">
        <f t="shared" si="757"/>
        <v>0.12097322771769156</v>
      </c>
      <c r="AL2529" s="24"/>
      <c r="AM2529" s="24"/>
      <c r="AN2529" s="24"/>
      <c r="AO2529" s="24"/>
      <c r="AP2529" s="105" t="str">
        <f t="shared" si="758"/>
        <v>20249</v>
      </c>
      <c r="AQ2529" s="28" t="str">
        <f t="shared" si="759"/>
        <v>20249JPY</v>
      </c>
      <c r="AR2529" s="206" t="str">
        <f t="shared" si="760"/>
        <v>YAMAHA_Non_Mounter</v>
      </c>
      <c r="AS2529" s="22">
        <f t="shared" si="761"/>
        <v>4</v>
      </c>
      <c r="AT2529" s="24" t="str">
        <f t="shared" si="762"/>
        <v>4-6 months</v>
      </c>
    </row>
    <row r="2530" spans="1:46" s="12" customFormat="1">
      <c r="A2530" s="33" t="str">
        <f t="shared" si="749"/>
        <v>FY 20/21</v>
      </c>
      <c r="B2530" s="152">
        <v>2020</v>
      </c>
      <c r="C2530" s="152">
        <v>6</v>
      </c>
      <c r="D2530" s="33" t="str">
        <f t="shared" si="750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51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2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68"/>
        <v>690000</v>
      </c>
      <c r="AA2530" s="13">
        <v>1.095</v>
      </c>
      <c r="AB2530" s="21">
        <f t="shared" si="754"/>
        <v>668628.31858407089</v>
      </c>
      <c r="AC2530" s="130">
        <f t="shared" si="755"/>
        <v>110056.22123893807</v>
      </c>
      <c r="AD2530" s="169">
        <v>0.1646</v>
      </c>
      <c r="AE2530" s="154">
        <f t="shared" si="756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65"/>
        <v>35384300.169380538</v>
      </c>
      <c r="AJ2530" s="19">
        <f t="shared" si="766"/>
        <v>5044538.8896988509</v>
      </c>
      <c r="AK2530" s="20">
        <f t="shared" si="757"/>
        <v>0.14256432557804533</v>
      </c>
      <c r="AL2530" s="17"/>
      <c r="AM2530" s="17"/>
      <c r="AN2530" s="17"/>
      <c r="AO2530" s="17"/>
      <c r="AP2530" s="28" t="str">
        <f t="shared" si="758"/>
        <v>20207</v>
      </c>
      <c r="AQ2530" s="28" t="str">
        <f t="shared" si="759"/>
        <v>20207RMB</v>
      </c>
      <c r="AR2530" s="206" t="str">
        <f t="shared" si="760"/>
        <v>YAMAHA_Mounter</v>
      </c>
      <c r="AS2530" s="22">
        <f t="shared" si="761"/>
        <v>1</v>
      </c>
      <c r="AT2530" s="24" t="str">
        <f t="shared" si="762"/>
        <v>0-3 months</v>
      </c>
    </row>
    <row r="2531" spans="1:46" s="12" customFormat="1">
      <c r="A2531" s="33" t="str">
        <f t="shared" si="749"/>
        <v>FY 19/20</v>
      </c>
      <c r="B2531" s="152">
        <v>2020</v>
      </c>
      <c r="C2531" s="152">
        <v>1</v>
      </c>
      <c r="D2531" s="33" t="str">
        <f t="shared" si="750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51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2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68"/>
        <v>11344000</v>
      </c>
      <c r="AA2531" s="13">
        <v>7.4300000000000005E-2</v>
      </c>
      <c r="AB2531" s="21">
        <f t="shared" si="754"/>
        <v>842859.20000000007</v>
      </c>
      <c r="AC2531" s="130">
        <f t="shared" si="755"/>
        <v>93135.941600000006</v>
      </c>
      <c r="AD2531" s="169">
        <v>0.1105</v>
      </c>
      <c r="AE2531" s="154">
        <f t="shared" si="756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65"/>
        <v>28065694.408805311</v>
      </c>
      <c r="AJ2531" s="19">
        <f t="shared" si="766"/>
        <v>4157433.2906989697</v>
      </c>
      <c r="AK2531" s="20">
        <f t="shared" si="757"/>
        <v>0.14813220831602228</v>
      </c>
      <c r="AL2531" s="17"/>
      <c r="AM2531" s="17"/>
      <c r="AN2531" s="17"/>
      <c r="AO2531" s="17"/>
      <c r="AP2531" s="28" t="str">
        <f t="shared" si="758"/>
        <v>20205</v>
      </c>
      <c r="AQ2531" s="28" t="str">
        <f t="shared" si="759"/>
        <v>20205JPY</v>
      </c>
      <c r="AR2531" s="206" t="str">
        <f t="shared" si="760"/>
        <v>YAMAHA_Mounter</v>
      </c>
      <c r="AS2531" s="22">
        <f t="shared" si="761"/>
        <v>4</v>
      </c>
      <c r="AT2531" s="24" t="str">
        <f t="shared" si="762"/>
        <v>4-6 months</v>
      </c>
    </row>
    <row r="2532" spans="1:46" s="12" customFormat="1">
      <c r="A2532" s="33" t="str">
        <f t="shared" si="749"/>
        <v>FY 18/19</v>
      </c>
      <c r="B2532" s="152">
        <v>2018</v>
      </c>
      <c r="C2532" s="152">
        <v>7</v>
      </c>
      <c r="D2532" s="33" t="str">
        <f t="shared" si="750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51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2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68"/>
        <v>722750</v>
      </c>
      <c r="AA2532" s="13">
        <v>1.1499999999999999</v>
      </c>
      <c r="AB2532" s="21">
        <f t="shared" si="754"/>
        <v>716519.39655172406</v>
      </c>
      <c r="AC2532" s="130">
        <f t="shared" si="755"/>
        <v>86555.543103448275</v>
      </c>
      <c r="AD2532" s="169">
        <v>0.1208</v>
      </c>
      <c r="AE2532" s="154">
        <f t="shared" si="756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65"/>
        <v>26754147.763010349</v>
      </c>
      <c r="AJ2532" s="19">
        <f t="shared" si="766"/>
        <v>3429137.9965357962</v>
      </c>
      <c r="AK2532" s="20">
        <f t="shared" si="757"/>
        <v>0.12817220069617921</v>
      </c>
      <c r="AL2532" s="17"/>
      <c r="AM2532" s="17"/>
      <c r="AN2532" s="17"/>
      <c r="AO2532" s="17"/>
      <c r="AP2532" s="28" t="str">
        <f t="shared" si="758"/>
        <v>20188</v>
      </c>
      <c r="AQ2532" s="28" t="str">
        <f t="shared" si="759"/>
        <v>20188RMB</v>
      </c>
      <c r="AR2532" s="206" t="str">
        <f t="shared" si="760"/>
        <v>YAMAHA_Mounter</v>
      </c>
      <c r="AS2532" s="22">
        <f t="shared" si="761"/>
        <v>1</v>
      </c>
      <c r="AT2532" s="24" t="str">
        <f t="shared" si="762"/>
        <v>0-3 months</v>
      </c>
    </row>
    <row r="2533" spans="1:46" s="12" customFormat="1">
      <c r="A2533" s="33" t="str">
        <f t="shared" si="749"/>
        <v>FY 18/19</v>
      </c>
      <c r="B2533" s="152">
        <v>2018</v>
      </c>
      <c r="C2533" s="152">
        <v>7</v>
      </c>
      <c r="D2533" s="33" t="str">
        <f t="shared" si="750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51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2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68"/>
        <v>722750</v>
      </c>
      <c r="AA2533" s="13">
        <v>1.1499999999999999</v>
      </c>
      <c r="AB2533" s="21">
        <f t="shared" si="754"/>
        <v>716519.39655172406</v>
      </c>
      <c r="AC2533" s="130">
        <f t="shared" si="755"/>
        <v>86555.543103448275</v>
      </c>
      <c r="AD2533" s="169">
        <v>0.1208</v>
      </c>
      <c r="AE2533" s="154">
        <f t="shared" si="756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65"/>
        <v>26754147.763010349</v>
      </c>
      <c r="AJ2533" s="19">
        <f t="shared" si="766"/>
        <v>3429137.9965357962</v>
      </c>
      <c r="AK2533" s="20">
        <f t="shared" si="757"/>
        <v>0.12817220069617921</v>
      </c>
      <c r="AL2533" s="17"/>
      <c r="AM2533" s="17"/>
      <c r="AN2533" s="17"/>
      <c r="AO2533" s="17"/>
      <c r="AP2533" s="28" t="str">
        <f t="shared" si="758"/>
        <v>20188</v>
      </c>
      <c r="AQ2533" s="28" t="str">
        <f t="shared" si="759"/>
        <v>20188RMB</v>
      </c>
      <c r="AR2533" s="206" t="str">
        <f t="shared" si="760"/>
        <v>YAMAHA_Mounter</v>
      </c>
      <c r="AS2533" s="22">
        <f t="shared" si="761"/>
        <v>1</v>
      </c>
      <c r="AT2533" s="24" t="str">
        <f t="shared" si="762"/>
        <v>0-3 months</v>
      </c>
    </row>
    <row r="2534" spans="1:46" s="12" customFormat="1">
      <c r="A2534" s="33" t="str">
        <f t="shared" si="749"/>
        <v>FY 18/19</v>
      </c>
      <c r="B2534" s="152">
        <v>2018</v>
      </c>
      <c r="C2534" s="152">
        <v>4</v>
      </c>
      <c r="D2534" s="33" t="str">
        <f t="shared" si="750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51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2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68"/>
        <v>490000</v>
      </c>
      <c r="AA2534" s="13">
        <v>1.23</v>
      </c>
      <c r="AB2534" s="21">
        <f t="shared" si="754"/>
        <v>519568.96551724139</v>
      </c>
      <c r="AC2534" s="130">
        <f t="shared" si="755"/>
        <v>84378</v>
      </c>
      <c r="AD2534" s="169">
        <v>0.16239999999999999</v>
      </c>
      <c r="AE2534" s="154">
        <f t="shared" si="756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65"/>
        <v>24398045.86045352</v>
      </c>
      <c r="AJ2534" s="19">
        <f t="shared" si="766"/>
        <v>3478417.4064663448</v>
      </c>
      <c r="AK2534" s="20">
        <f t="shared" si="757"/>
        <v>0.14256950849102498</v>
      </c>
      <c r="AL2534" s="17"/>
      <c r="AM2534" s="17"/>
      <c r="AN2534" s="17"/>
      <c r="AO2534" s="17"/>
      <c r="AP2534" s="28" t="str">
        <f t="shared" si="758"/>
        <v>20186</v>
      </c>
      <c r="AQ2534" s="28" t="str">
        <f t="shared" si="759"/>
        <v>20186RMB</v>
      </c>
      <c r="AR2534" s="206" t="str">
        <f t="shared" si="760"/>
        <v>HELLER</v>
      </c>
      <c r="AS2534" s="22">
        <f t="shared" si="761"/>
        <v>2</v>
      </c>
      <c r="AT2534" s="24" t="str">
        <f t="shared" si="762"/>
        <v>0-3 months</v>
      </c>
    </row>
    <row r="2535" spans="1:46" s="12" customFormat="1">
      <c r="A2535" s="33" t="str">
        <f t="shared" si="749"/>
        <v>cancel</v>
      </c>
      <c r="B2535" s="152"/>
      <c r="C2535" s="152" t="s">
        <v>186</v>
      </c>
      <c r="D2535" s="33" t="str">
        <f t="shared" si="750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51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2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68"/>
        <v>76000</v>
      </c>
      <c r="AA2535" s="13">
        <v>7.8</v>
      </c>
      <c r="AB2535" s="21">
        <f t="shared" si="754"/>
        <v>592800</v>
      </c>
      <c r="AC2535" s="130">
        <f t="shared" si="755"/>
        <v>71136</v>
      </c>
      <c r="AD2535" s="169">
        <v>0.12</v>
      </c>
      <c r="AE2535" s="154">
        <f t="shared" si="756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65"/>
        <v>477651199.57437885</v>
      </c>
      <c r="AJ2535" s="19">
        <f t="shared" si="766"/>
        <v>56918800.518691957</v>
      </c>
      <c r="AK2535" s="20">
        <f t="shared" si="757"/>
        <v>0.11916394341605475</v>
      </c>
      <c r="AL2535" s="17"/>
      <c r="AM2535" s="17"/>
      <c r="AN2535" s="17"/>
      <c r="AO2535" s="17"/>
      <c r="AP2535" s="28" t="str">
        <f t="shared" si="758"/>
        <v>CancelCancel</v>
      </c>
      <c r="AQ2535" s="28" t="str">
        <f t="shared" si="759"/>
        <v>CancelCancelUSD</v>
      </c>
      <c r="AR2535" s="206" t="str">
        <f t="shared" si="760"/>
        <v>HELLER</v>
      </c>
      <c r="AS2535" s="22" t="str">
        <f t="shared" si="761"/>
        <v/>
      </c>
      <c r="AT2535" s="24" t="str">
        <f t="shared" si="762"/>
        <v/>
      </c>
    </row>
    <row r="2536" spans="1:46" s="12" customFormat="1">
      <c r="A2536" s="33" t="str">
        <f t="shared" si="749"/>
        <v>FY 21/22</v>
      </c>
      <c r="B2536" s="152">
        <v>2021</v>
      </c>
      <c r="C2536" s="152">
        <v>4</v>
      </c>
      <c r="D2536" s="33" t="str">
        <f t="shared" si="750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51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2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68"/>
        <v>15000000</v>
      </c>
      <c r="AA2536" s="13">
        <v>7.2400000000000006E-2</v>
      </c>
      <c r="AB2536" s="21">
        <f t="shared" si="754"/>
        <v>1086000</v>
      </c>
      <c r="AC2536" s="130">
        <f t="shared" si="755"/>
        <v>141288.6</v>
      </c>
      <c r="AD2536" s="169">
        <v>0.13009999999999999</v>
      </c>
      <c r="AE2536" s="154">
        <f t="shared" si="756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65"/>
        <v>47458373.787610628</v>
      </c>
      <c r="AJ2536" s="19">
        <f t="shared" si="766"/>
        <v>7436880.1411522133</v>
      </c>
      <c r="AK2536" s="20">
        <f t="shared" si="757"/>
        <v>0.15670322321692506</v>
      </c>
      <c r="AL2536" s="17"/>
      <c r="AM2536" s="17"/>
      <c r="AN2536" s="17"/>
      <c r="AO2536" s="17"/>
      <c r="AP2536" s="28" t="str">
        <f t="shared" si="758"/>
        <v>20218</v>
      </c>
      <c r="AQ2536" s="28" t="str">
        <f t="shared" si="759"/>
        <v>20218JPY</v>
      </c>
      <c r="AR2536" s="206" t="str">
        <f t="shared" si="760"/>
        <v>YAMAHA_Mounter</v>
      </c>
      <c r="AS2536" s="22">
        <f t="shared" si="761"/>
        <v>4</v>
      </c>
      <c r="AT2536" s="24" t="str">
        <f t="shared" si="762"/>
        <v>4-6 months</v>
      </c>
    </row>
    <row r="2537" spans="1:46" s="12" customFormat="1">
      <c r="A2537" s="33" t="str">
        <f t="shared" si="749"/>
        <v>FY 19/20</v>
      </c>
      <c r="B2537" s="152">
        <v>2019</v>
      </c>
      <c r="C2537" s="152">
        <v>10</v>
      </c>
      <c r="D2537" s="33" t="str">
        <f t="shared" si="750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51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2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68"/>
        <v>891000</v>
      </c>
      <c r="AA2537" s="13">
        <v>1.1100000000000001</v>
      </c>
      <c r="AB2537" s="21">
        <f t="shared" si="754"/>
        <v>875230.08849557536</v>
      </c>
      <c r="AC2537" s="130">
        <f t="shared" si="755"/>
        <v>79470.892035398254</v>
      </c>
      <c r="AD2537" s="169">
        <v>9.0800000000000006E-2</v>
      </c>
      <c r="AE2537" s="154">
        <f t="shared" si="756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65"/>
        <v>26147030.909862842</v>
      </c>
      <c r="AJ2537" s="19">
        <f t="shared" si="766"/>
        <v>2743862.8630715334</v>
      </c>
      <c r="AK2537" s="20">
        <f t="shared" si="757"/>
        <v>0.10493974908778378</v>
      </c>
      <c r="AL2537" s="17"/>
      <c r="AM2537" s="17"/>
      <c r="AN2537" s="17"/>
      <c r="AO2537" s="17"/>
      <c r="AP2537" s="28" t="str">
        <f t="shared" si="758"/>
        <v>201911</v>
      </c>
      <c r="AQ2537" s="28" t="str">
        <f t="shared" si="759"/>
        <v>201911RMB</v>
      </c>
      <c r="AR2537" s="206" t="str">
        <f t="shared" si="760"/>
        <v>YAMAHA_Mounter</v>
      </c>
      <c r="AS2537" s="22">
        <f t="shared" si="761"/>
        <v>1</v>
      </c>
      <c r="AT2537" s="24" t="str">
        <f t="shared" si="762"/>
        <v>0-3 months</v>
      </c>
    </row>
    <row r="2538" spans="1:46" s="12" customFormat="1">
      <c r="A2538" s="33" t="str">
        <f t="shared" si="749"/>
        <v>FY 20/21</v>
      </c>
      <c r="B2538" s="152">
        <v>2020</v>
      </c>
      <c r="C2538" s="152">
        <v>7</v>
      </c>
      <c r="D2538" s="33" t="str">
        <f t="shared" si="750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51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2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9">IF(W2538="RMB","1.13", "1")</f>
        <v>1</v>
      </c>
      <c r="Z2538" s="18">
        <f t="shared" si="768"/>
        <v>10500000</v>
      </c>
      <c r="AA2538" s="13">
        <v>7.4899999999999994E-2</v>
      </c>
      <c r="AB2538" s="21">
        <f t="shared" si="754"/>
        <v>786449.99999999988</v>
      </c>
      <c r="AC2538" s="130">
        <f t="shared" si="755"/>
        <v>71173.724999999991</v>
      </c>
      <c r="AD2538" s="169">
        <v>9.0499999999999997E-2</v>
      </c>
      <c r="AE2538" s="154">
        <f t="shared" si="756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65"/>
        <v>28011162.254106201</v>
      </c>
      <c r="AJ2538" s="19">
        <f t="shared" si="766"/>
        <v>3401347.1124888416</v>
      </c>
      <c r="AK2538" s="20">
        <f t="shared" si="757"/>
        <v>0.12142827497242578</v>
      </c>
      <c r="AL2538" s="17"/>
      <c r="AM2538" s="17"/>
      <c r="AN2538" s="17"/>
      <c r="AO2538" s="17"/>
      <c r="AP2538" s="28" t="str">
        <f t="shared" si="758"/>
        <v>202010</v>
      </c>
      <c r="AQ2538" s="28" t="str">
        <f t="shared" si="759"/>
        <v>202010JPY</v>
      </c>
      <c r="AR2538" s="206" t="str">
        <f t="shared" si="760"/>
        <v>YAMAHA_Mounter</v>
      </c>
      <c r="AS2538" s="22">
        <f t="shared" si="761"/>
        <v>3</v>
      </c>
      <c r="AT2538" s="24" t="str">
        <f t="shared" si="762"/>
        <v>0-3 months</v>
      </c>
    </row>
    <row r="2539" spans="1:46" s="12" customFormat="1">
      <c r="A2539" s="33" t="str">
        <f t="shared" si="749"/>
        <v>FY 20/21</v>
      </c>
      <c r="B2539" s="152">
        <v>2020</v>
      </c>
      <c r="C2539" s="152">
        <v>11</v>
      </c>
      <c r="D2539" s="33" t="str">
        <f t="shared" si="750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51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2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9"/>
        <v>1</v>
      </c>
      <c r="Z2539" s="18">
        <f t="shared" si="768"/>
        <v>12310000</v>
      </c>
      <c r="AA2539" s="13">
        <v>7.6100000000000001E-2</v>
      </c>
      <c r="AB2539" s="21">
        <f t="shared" si="754"/>
        <v>936791</v>
      </c>
      <c r="AC2539" s="130">
        <f t="shared" si="755"/>
        <v>101454.4653</v>
      </c>
      <c r="AD2539" s="169">
        <v>0.10829999999999999</v>
      </c>
      <c r="AE2539" s="154">
        <f t="shared" si="756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65"/>
        <v>48763143.537654862</v>
      </c>
      <c r="AJ2539" s="19">
        <f t="shared" si="766"/>
        <v>5924029.9702154724</v>
      </c>
      <c r="AK2539" s="20">
        <f t="shared" si="757"/>
        <v>0.1214858095774925</v>
      </c>
      <c r="AL2539" s="17"/>
      <c r="AM2539" s="17"/>
      <c r="AN2539" s="17"/>
      <c r="AO2539" s="17" t="s">
        <v>1441</v>
      </c>
      <c r="AP2539" s="28" t="str">
        <f t="shared" si="758"/>
        <v>202012</v>
      </c>
      <c r="AQ2539" s="28" t="str">
        <f t="shared" si="759"/>
        <v>202012JPY</v>
      </c>
      <c r="AR2539" s="206" t="str">
        <f t="shared" si="760"/>
        <v>YAMAHA_Mounter</v>
      </c>
      <c r="AS2539" s="22">
        <f t="shared" si="761"/>
        <v>1</v>
      </c>
      <c r="AT2539" s="24" t="str">
        <f t="shared" si="762"/>
        <v>0-3 months</v>
      </c>
    </row>
    <row r="2540" spans="1:46" s="12" customFormat="1">
      <c r="A2540" s="33" t="str">
        <f t="shared" ref="A2540:A2603" si="770">IF(C2540="cancel","cancel",IFERROR(IF(D2540="Q4","FY "&amp;RIGHT(B2540,2)-1&amp;"/"&amp;RIGHT(B2540,2),"FY "&amp;RIGHT(B2540,2)&amp;"/"&amp;RIGHT(B2540,2)+1),""))</f>
        <v>FY 20/21</v>
      </c>
      <c r="B2540" s="152">
        <v>2020</v>
      </c>
      <c r="C2540" s="152">
        <v>11</v>
      </c>
      <c r="D2540" s="33" t="str">
        <f t="shared" ref="D2540:D2603" si="771">IF(B2540="","",IF(AND(C2540&gt;=10,C2540&lt;=12),"Q3",IF(AND(C2540&gt;=1,C2540&lt;=3),"Q4",IF(AND(C2540&gt;=7,C2540&lt;=9),"Q2",IF(AND(C2540&gt;=4,C2540&lt;=6),"Q1")))))</f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ref="I2540:I2603" si="772">IFERROR(IF(F2540="","",IF(F2540="TBA","TBA",IF(F2540="Cancel","Cancel",IF(AND(G2540&gt;=10,G2540&lt;=12),"Q3",IF(AND(G2540&gt;=1,G2540&lt;=3),"Q4",IF(AND(G2540&gt;=7,G2540&lt;=9),"Q2",IF(AND(G2540&gt;=4,G2540&lt;=6),"Q1"))))))),"")</f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ref="P2540:P2603" si="773">IF(M2540="","",IF(AND(N2540&gt;0,L2540&lt;&gt;""),"MAIN UNIT",IF(AND(O2540&gt;0,L2540&lt;&gt;""),"SERVICE/ PARTS","C66 SERVICE/OTHERS")))</f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9"/>
        <v>1</v>
      </c>
      <c r="Z2540" s="18">
        <f t="shared" ref="Z2540:Z2571" si="774">IF(X2540="","",X2540*MAX(O2540,N2540))</f>
        <v>11555000</v>
      </c>
      <c r="AA2540" s="13">
        <v>7.2400000000000006E-2</v>
      </c>
      <c r="AB2540" s="21">
        <f t="shared" ref="AB2540:AB2603" si="775">IF(AND(R2540&lt;&gt;"C66",R2540&lt;&gt;""),Z2540/Y2540*AA2540,"")</f>
        <v>836582.00000000012</v>
      </c>
      <c r="AC2540" s="130">
        <f t="shared" ref="AC2540:AC2603" si="776">IF(R2540&lt;&gt;"",AB2540*AD2540,"")</f>
        <v>100389.84000000001</v>
      </c>
      <c r="AD2540" s="169">
        <v>0.12</v>
      </c>
      <c r="AE2540" s="154">
        <f t="shared" ref="AE2540:AE2603" si="777">IF(Q2540="","",IF(Q2540="Yes",1,0))</f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65"/>
        <v>477651199.57437885</v>
      </c>
      <c r="AJ2540" s="19">
        <f t="shared" si="766"/>
        <v>56918800.518691957</v>
      </c>
      <c r="AK2540" s="20">
        <f t="shared" ref="AK2540:AK2603" si="778">IF(AJ2540&gt;0,AJ2540/AI2540,"")</f>
        <v>0.11916394341605475</v>
      </c>
      <c r="AL2540" s="17"/>
      <c r="AM2540" s="17"/>
      <c r="AN2540" s="17"/>
      <c r="AO2540" s="17"/>
      <c r="AP2540" s="28" t="str">
        <f t="shared" ref="AP2540:AP2603" si="779">IF(F2540="","",F2540&amp;G2540)</f>
        <v>CancelCancel</v>
      </c>
      <c r="AQ2540" s="28" t="str">
        <f t="shared" ref="AQ2540:AQ2603" si="780">IF(W2540="","",F2540&amp;G2540&amp;W2540)</f>
        <v>CancelCancelJPY</v>
      </c>
      <c r="AR2540" s="206" t="str">
        <f t="shared" ref="AR2540:AR2603" si="781">IFERROR(IF(AND(M2540="YAMAHA", R2540="C28"), "YAMAHA_Non_Mounter", IF(AND(M2540="YAMAHA", R2540="C49"), "YAMAHA_Mounter", M2540)),"")</f>
        <v>YAMAHA_Mounter</v>
      </c>
      <c r="AS2540" s="22" t="str">
        <f t="shared" ref="AS2540:AS2603" si="782">IFERROR(IF(OR(G2540="TBA", G2540=""), "", DATEDIF(DATE(B2540, C2540, 1), DATE(F2540, G2540, 1), "M")),"")</f>
        <v/>
      </c>
      <c r="AT2540" s="24" t="str">
        <f t="shared" ref="AT2540:AT2603" si="783">IF(ISNUMBER(AS2540), IF(AS2540&gt;=0, IF(AS2540&lt;=3, "0-3 months", IF(AS2540&lt;=6, "4-6 months", "&gt; 6 months"))), "")</f>
        <v/>
      </c>
    </row>
    <row r="2541" spans="1:46" s="12" customFormat="1">
      <c r="A2541" s="33" t="str">
        <f t="shared" si="770"/>
        <v>FY 20/21</v>
      </c>
      <c r="B2541" s="152">
        <v>2020</v>
      </c>
      <c r="C2541" s="152">
        <v>11</v>
      </c>
      <c r="D2541" s="33" t="str">
        <f t="shared" si="771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72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73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9"/>
        <v>1</v>
      </c>
      <c r="Z2541" s="18">
        <f t="shared" si="774"/>
        <v>11555000</v>
      </c>
      <c r="AA2541" s="13">
        <v>7.2400000000000006E-2</v>
      </c>
      <c r="AB2541" s="21">
        <f t="shared" si="775"/>
        <v>836582.00000000012</v>
      </c>
      <c r="AC2541" s="130">
        <f t="shared" si="776"/>
        <v>100389.84000000001</v>
      </c>
      <c r="AD2541" s="169">
        <v>0.12</v>
      </c>
      <c r="AE2541" s="154">
        <f t="shared" si="777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65"/>
        <v>477651199.57437885</v>
      </c>
      <c r="AJ2541" s="19">
        <f t="shared" si="766"/>
        <v>56918800.518691957</v>
      </c>
      <c r="AK2541" s="20">
        <f t="shared" si="778"/>
        <v>0.11916394341605475</v>
      </c>
      <c r="AL2541" s="17"/>
      <c r="AM2541" s="17"/>
      <c r="AN2541" s="17"/>
      <c r="AO2541" s="17"/>
      <c r="AP2541" s="28" t="str">
        <f t="shared" si="779"/>
        <v>CancelCancel</v>
      </c>
      <c r="AQ2541" s="28" t="str">
        <f t="shared" si="780"/>
        <v>CancelCancelJPY</v>
      </c>
      <c r="AR2541" s="206" t="str">
        <f t="shared" si="781"/>
        <v>YAMAHA_Mounter</v>
      </c>
      <c r="AS2541" s="22" t="str">
        <f t="shared" si="782"/>
        <v/>
      </c>
      <c r="AT2541" s="24" t="str">
        <f t="shared" si="783"/>
        <v/>
      </c>
    </row>
    <row r="2542" spans="1:46" s="12" customFormat="1">
      <c r="A2542" s="33" t="str">
        <f t="shared" si="770"/>
        <v>FY 20/21</v>
      </c>
      <c r="B2542" s="152">
        <v>2021</v>
      </c>
      <c r="C2542" s="152">
        <v>1</v>
      </c>
      <c r="D2542" s="33" t="str">
        <f t="shared" si="771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72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73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9"/>
        <v>1</v>
      </c>
      <c r="Z2542" s="18">
        <f t="shared" si="774"/>
        <v>11570000</v>
      </c>
      <c r="AA2542" s="13">
        <v>7.4499999999999997E-2</v>
      </c>
      <c r="AB2542" s="21">
        <f t="shared" si="775"/>
        <v>861965</v>
      </c>
      <c r="AC2542" s="130">
        <f t="shared" si="776"/>
        <v>110762.5025</v>
      </c>
      <c r="AD2542" s="169">
        <v>0.1285</v>
      </c>
      <c r="AE2542" s="154">
        <f t="shared" si="777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65"/>
        <v>57778307.282035396</v>
      </c>
      <c r="AJ2542" s="19">
        <f t="shared" si="766"/>
        <v>7259860.7225420559</v>
      </c>
      <c r="AK2542" s="20">
        <f t="shared" si="778"/>
        <v>0.12565028406083667</v>
      </c>
      <c r="AL2542" s="17"/>
      <c r="AM2542" s="17"/>
      <c r="AN2542" s="17"/>
      <c r="AO2542" s="17"/>
      <c r="AP2542" s="28" t="str">
        <f t="shared" si="779"/>
        <v>20213</v>
      </c>
      <c r="AQ2542" s="28" t="str">
        <f t="shared" si="780"/>
        <v>20213JPY</v>
      </c>
      <c r="AR2542" s="206" t="str">
        <f t="shared" si="781"/>
        <v>YAMAHA_Mounter</v>
      </c>
      <c r="AS2542" s="22">
        <f t="shared" si="782"/>
        <v>2</v>
      </c>
      <c r="AT2542" s="24" t="str">
        <f t="shared" si="783"/>
        <v>0-3 months</v>
      </c>
    </row>
    <row r="2543" spans="1:46" s="12" customFormat="1">
      <c r="A2543" s="33" t="str">
        <f t="shared" si="770"/>
        <v>FY 20/21</v>
      </c>
      <c r="B2543" s="152">
        <v>2021</v>
      </c>
      <c r="C2543" s="152">
        <v>1</v>
      </c>
      <c r="D2543" s="33" t="str">
        <f t="shared" si="771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72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73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9"/>
        <v>1</v>
      </c>
      <c r="Z2543" s="18">
        <f t="shared" si="774"/>
        <v>11570000</v>
      </c>
      <c r="AA2543" s="13">
        <v>7.4499999999999997E-2</v>
      </c>
      <c r="AB2543" s="21">
        <f t="shared" si="775"/>
        <v>861965</v>
      </c>
      <c r="AC2543" s="130">
        <f t="shared" si="776"/>
        <v>110762.5025</v>
      </c>
      <c r="AD2543" s="169">
        <v>0.1285</v>
      </c>
      <c r="AE2543" s="154">
        <f t="shared" si="777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65"/>
        <v>57778307.282035396</v>
      </c>
      <c r="AJ2543" s="19">
        <f t="shared" si="766"/>
        <v>7259860.7225420559</v>
      </c>
      <c r="AK2543" s="20">
        <f t="shared" si="778"/>
        <v>0.12565028406083667</v>
      </c>
      <c r="AL2543" s="17"/>
      <c r="AM2543" s="17"/>
      <c r="AN2543" s="17"/>
      <c r="AO2543" s="17"/>
      <c r="AP2543" s="28" t="str">
        <f t="shared" si="779"/>
        <v>20213</v>
      </c>
      <c r="AQ2543" s="28" t="str">
        <f t="shared" si="780"/>
        <v>20213JPY</v>
      </c>
      <c r="AR2543" s="206" t="str">
        <f t="shared" si="781"/>
        <v>YAMAHA_Mounter</v>
      </c>
      <c r="AS2543" s="22">
        <f t="shared" si="782"/>
        <v>2</v>
      </c>
      <c r="AT2543" s="24" t="str">
        <f t="shared" si="783"/>
        <v>0-3 months</v>
      </c>
    </row>
    <row r="2544" spans="1:46" s="12" customFormat="1">
      <c r="A2544" s="33" t="str">
        <f t="shared" si="770"/>
        <v>FY 20/21</v>
      </c>
      <c r="B2544" s="152">
        <v>2021</v>
      </c>
      <c r="C2544" s="152">
        <v>1</v>
      </c>
      <c r="D2544" s="33" t="str">
        <f t="shared" si="771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72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73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9"/>
        <v>1</v>
      </c>
      <c r="Z2544" s="18">
        <f t="shared" si="774"/>
        <v>11570000</v>
      </c>
      <c r="AA2544" s="13">
        <v>7.5700000000000003E-2</v>
      </c>
      <c r="AB2544" s="21">
        <f t="shared" si="775"/>
        <v>875849</v>
      </c>
      <c r="AC2544" s="130">
        <f t="shared" si="776"/>
        <v>112546.5965</v>
      </c>
      <c r="AD2544" s="169">
        <v>0.1285</v>
      </c>
      <c r="AE2544" s="154">
        <f t="shared" si="777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65"/>
        <v>31097187.02948761</v>
      </c>
      <c r="AJ2544" s="19">
        <f t="shared" si="766"/>
        <v>3892353.6644401965</v>
      </c>
      <c r="AK2544" s="20">
        <f t="shared" si="778"/>
        <v>0.12516738767237401</v>
      </c>
      <c r="AL2544" s="17"/>
      <c r="AM2544" s="17"/>
      <c r="AN2544" s="17"/>
      <c r="AO2544" s="17"/>
      <c r="AP2544" s="28" t="str">
        <f t="shared" si="779"/>
        <v>20212</v>
      </c>
      <c r="AQ2544" s="28" t="str">
        <f t="shared" si="780"/>
        <v>20212JPY</v>
      </c>
      <c r="AR2544" s="206" t="str">
        <f t="shared" si="781"/>
        <v>YAMAHA_Mounter</v>
      </c>
      <c r="AS2544" s="22">
        <f t="shared" si="782"/>
        <v>1</v>
      </c>
      <c r="AT2544" s="24" t="str">
        <f t="shared" si="783"/>
        <v>0-3 months</v>
      </c>
    </row>
    <row r="2545" spans="1:46" s="12" customFormat="1">
      <c r="A2545" s="33" t="str">
        <f t="shared" si="770"/>
        <v>FY 20/21</v>
      </c>
      <c r="B2545" s="152">
        <v>2021</v>
      </c>
      <c r="C2545" s="152">
        <v>1</v>
      </c>
      <c r="D2545" s="33" t="str">
        <f t="shared" si="771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72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73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9"/>
        <v>1</v>
      </c>
      <c r="Z2545" s="18">
        <f t="shared" si="774"/>
        <v>8150000</v>
      </c>
      <c r="AA2545" s="13">
        <v>7.5700000000000003E-2</v>
      </c>
      <c r="AB2545" s="21">
        <f t="shared" si="775"/>
        <v>616955</v>
      </c>
      <c r="AC2545" s="130">
        <f t="shared" si="776"/>
        <v>79278.717499999999</v>
      </c>
      <c r="AD2545" s="169">
        <v>0.1285</v>
      </c>
      <c r="AE2545" s="154">
        <f t="shared" si="777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65"/>
        <v>31097187.02948761</v>
      </c>
      <c r="AJ2545" s="19">
        <f t="shared" si="766"/>
        <v>3892353.6644401965</v>
      </c>
      <c r="AK2545" s="20">
        <f t="shared" si="778"/>
        <v>0.12516738767237401</v>
      </c>
      <c r="AL2545" s="17"/>
      <c r="AM2545" s="17"/>
      <c r="AN2545" s="17"/>
      <c r="AO2545" s="17"/>
      <c r="AP2545" s="28" t="str">
        <f t="shared" si="779"/>
        <v>20212</v>
      </c>
      <c r="AQ2545" s="28" t="str">
        <f t="shared" si="780"/>
        <v>20212JPY</v>
      </c>
      <c r="AR2545" s="206" t="str">
        <f t="shared" si="781"/>
        <v>YAMAHA_Mounter</v>
      </c>
      <c r="AS2545" s="22">
        <f t="shared" si="782"/>
        <v>1</v>
      </c>
      <c r="AT2545" s="24" t="str">
        <f t="shared" si="783"/>
        <v>0-3 months</v>
      </c>
    </row>
    <row r="2546" spans="1:46" s="12" customFormat="1">
      <c r="A2546" s="33" t="str">
        <f t="shared" si="770"/>
        <v>FY 20/21</v>
      </c>
      <c r="B2546" s="152">
        <v>2021</v>
      </c>
      <c r="C2546" s="152">
        <v>1</v>
      </c>
      <c r="D2546" s="33" t="str">
        <f t="shared" si="771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72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73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9"/>
        <v>1</v>
      </c>
      <c r="Z2546" s="18">
        <f t="shared" si="774"/>
        <v>11570000</v>
      </c>
      <c r="AA2546" s="13">
        <v>7.2400000000000006E-2</v>
      </c>
      <c r="AB2546" s="21">
        <f t="shared" si="775"/>
        <v>837668.00000000012</v>
      </c>
      <c r="AC2546" s="130">
        <f t="shared" si="776"/>
        <v>100520.16</v>
      </c>
      <c r="AD2546" s="169">
        <v>0.12</v>
      </c>
      <c r="AE2546" s="154">
        <f t="shared" si="777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65"/>
        <v>477651199.57437885</v>
      </c>
      <c r="AJ2546" s="19">
        <f t="shared" si="766"/>
        <v>56918800.518691957</v>
      </c>
      <c r="AK2546" s="20">
        <f t="shared" si="778"/>
        <v>0.11916394341605475</v>
      </c>
      <c r="AL2546" s="17"/>
      <c r="AM2546" s="17"/>
      <c r="AN2546" s="17"/>
      <c r="AO2546" s="17"/>
      <c r="AP2546" s="28" t="str">
        <f t="shared" si="779"/>
        <v>CancelCancel</v>
      </c>
      <c r="AQ2546" s="28" t="str">
        <f t="shared" si="780"/>
        <v>CancelCancelJPY</v>
      </c>
      <c r="AR2546" s="206" t="str">
        <f t="shared" si="781"/>
        <v>YAMAHA_Mounter</v>
      </c>
      <c r="AS2546" s="22" t="str">
        <f t="shared" si="782"/>
        <v/>
      </c>
      <c r="AT2546" s="24" t="str">
        <f t="shared" si="783"/>
        <v/>
      </c>
    </row>
    <row r="2547" spans="1:46" s="12" customFormat="1">
      <c r="A2547" s="33" t="str">
        <f t="shared" si="770"/>
        <v>FY 20/21</v>
      </c>
      <c r="B2547" s="152">
        <v>2021</v>
      </c>
      <c r="C2547" s="152">
        <v>1</v>
      </c>
      <c r="D2547" s="33" t="str">
        <f t="shared" si="771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72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73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9"/>
        <v>1</v>
      </c>
      <c r="Z2547" s="18">
        <f t="shared" si="774"/>
        <v>11570000</v>
      </c>
      <c r="AA2547" s="13">
        <v>7.2400000000000006E-2</v>
      </c>
      <c r="AB2547" s="21">
        <f t="shared" si="775"/>
        <v>837668.00000000012</v>
      </c>
      <c r="AC2547" s="130">
        <f t="shared" si="776"/>
        <v>100520.16</v>
      </c>
      <c r="AD2547" s="169">
        <v>0.12</v>
      </c>
      <c r="AE2547" s="154">
        <f t="shared" si="777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65"/>
        <v>477651199.57437885</v>
      </c>
      <c r="AJ2547" s="19">
        <f t="shared" si="766"/>
        <v>56918800.518691957</v>
      </c>
      <c r="AK2547" s="20">
        <f t="shared" si="778"/>
        <v>0.11916394341605475</v>
      </c>
      <c r="AL2547" s="17"/>
      <c r="AM2547" s="17"/>
      <c r="AN2547" s="17"/>
      <c r="AO2547" s="17"/>
      <c r="AP2547" s="28" t="str">
        <f t="shared" si="779"/>
        <v>CancelCancel</v>
      </c>
      <c r="AQ2547" s="28" t="str">
        <f t="shared" si="780"/>
        <v>CancelCancelJPY</v>
      </c>
      <c r="AR2547" s="206" t="str">
        <f t="shared" si="781"/>
        <v>YAMAHA_Mounter</v>
      </c>
      <c r="AS2547" s="22" t="str">
        <f t="shared" si="782"/>
        <v/>
      </c>
      <c r="AT2547" s="24" t="str">
        <f t="shared" si="783"/>
        <v/>
      </c>
    </row>
    <row r="2548" spans="1:46" s="12" customFormat="1">
      <c r="A2548" s="33" t="str">
        <f t="shared" si="770"/>
        <v>FY 20/21</v>
      </c>
      <c r="B2548" s="152">
        <v>2021</v>
      </c>
      <c r="C2548" s="152">
        <v>1</v>
      </c>
      <c r="D2548" s="33" t="str">
        <f t="shared" si="771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72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73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9"/>
        <v>1</v>
      </c>
      <c r="Z2548" s="18">
        <f t="shared" si="774"/>
        <v>11570000</v>
      </c>
      <c r="AA2548" s="13">
        <v>7.2400000000000006E-2</v>
      </c>
      <c r="AB2548" s="21">
        <f t="shared" si="775"/>
        <v>837668.00000000012</v>
      </c>
      <c r="AC2548" s="130">
        <f t="shared" si="776"/>
        <v>100520.16</v>
      </c>
      <c r="AD2548" s="169">
        <v>0.12</v>
      </c>
      <c r="AE2548" s="154">
        <f t="shared" si="777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65"/>
        <v>477651199.57437885</v>
      </c>
      <c r="AJ2548" s="19">
        <f t="shared" si="766"/>
        <v>56918800.518691957</v>
      </c>
      <c r="AK2548" s="20">
        <f t="shared" si="778"/>
        <v>0.11916394341605475</v>
      </c>
      <c r="AL2548" s="17"/>
      <c r="AM2548" s="17"/>
      <c r="AN2548" s="17"/>
      <c r="AO2548" s="17"/>
      <c r="AP2548" s="28" t="str">
        <f t="shared" si="779"/>
        <v>CancelCancel</v>
      </c>
      <c r="AQ2548" s="28" t="str">
        <f t="shared" si="780"/>
        <v>CancelCancelJPY</v>
      </c>
      <c r="AR2548" s="206" t="str">
        <f t="shared" si="781"/>
        <v>YAMAHA_Mounter</v>
      </c>
      <c r="AS2548" s="22" t="str">
        <f t="shared" si="782"/>
        <v/>
      </c>
      <c r="AT2548" s="24" t="str">
        <f t="shared" si="783"/>
        <v/>
      </c>
    </row>
    <row r="2549" spans="1:46" s="12" customFormat="1">
      <c r="A2549" s="33" t="str">
        <f t="shared" si="770"/>
        <v>FY 20/21</v>
      </c>
      <c r="B2549" s="152">
        <v>2021</v>
      </c>
      <c r="C2549" s="152">
        <v>1</v>
      </c>
      <c r="D2549" s="33" t="str">
        <f t="shared" si="771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72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73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9"/>
        <v>1</v>
      </c>
      <c r="Z2549" s="18">
        <f t="shared" si="774"/>
        <v>8150000</v>
      </c>
      <c r="AA2549" s="13">
        <v>7.2400000000000006E-2</v>
      </c>
      <c r="AB2549" s="21">
        <f t="shared" si="775"/>
        <v>590060</v>
      </c>
      <c r="AC2549" s="130">
        <f t="shared" si="776"/>
        <v>70807.199999999997</v>
      </c>
      <c r="AD2549" s="169">
        <v>0.12</v>
      </c>
      <c r="AE2549" s="154">
        <f t="shared" si="777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65"/>
        <v>477651199.57437885</v>
      </c>
      <c r="AJ2549" s="19">
        <f t="shared" si="766"/>
        <v>56918800.518691957</v>
      </c>
      <c r="AK2549" s="20">
        <f t="shared" si="778"/>
        <v>0.11916394341605475</v>
      </c>
      <c r="AL2549" s="17"/>
      <c r="AM2549" s="17"/>
      <c r="AN2549" s="17"/>
      <c r="AO2549" s="17"/>
      <c r="AP2549" s="28" t="str">
        <f t="shared" si="779"/>
        <v>CancelCancel</v>
      </c>
      <c r="AQ2549" s="28" t="str">
        <f t="shared" si="780"/>
        <v>CancelCancelJPY</v>
      </c>
      <c r="AR2549" s="206" t="str">
        <f t="shared" si="781"/>
        <v>YAMAHA_Mounter</v>
      </c>
      <c r="AS2549" s="22" t="str">
        <f t="shared" si="782"/>
        <v/>
      </c>
      <c r="AT2549" s="24" t="str">
        <f t="shared" si="783"/>
        <v/>
      </c>
    </row>
    <row r="2550" spans="1:46" s="12" customFormat="1">
      <c r="A2550" s="33" t="str">
        <f t="shared" si="770"/>
        <v>FY 21/22</v>
      </c>
      <c r="B2550" s="152">
        <v>2022</v>
      </c>
      <c r="C2550" s="152">
        <v>1</v>
      </c>
      <c r="D2550" s="33" t="str">
        <f t="shared" si="771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72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73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9"/>
        <v>1</v>
      </c>
      <c r="Z2550" s="18">
        <f t="shared" si="774"/>
        <v>14390000</v>
      </c>
      <c r="AA2550" s="13">
        <v>6.9199999999999998E-2</v>
      </c>
      <c r="AB2550" s="21">
        <f t="shared" si="775"/>
        <v>995788</v>
      </c>
      <c r="AC2550" s="130">
        <f t="shared" si="776"/>
        <v>128854.96719999998</v>
      </c>
      <c r="AD2550" s="169">
        <v>0.12939999999999999</v>
      </c>
      <c r="AE2550" s="154">
        <f t="shared" si="777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65"/>
        <v>31750699.113741599</v>
      </c>
      <c r="AJ2550" s="19">
        <f t="shared" si="766"/>
        <v>4396077.3195289988</v>
      </c>
      <c r="AK2550" s="20">
        <f t="shared" si="778"/>
        <v>0.13845607946397598</v>
      </c>
      <c r="AL2550" s="17"/>
      <c r="AM2550" s="17"/>
      <c r="AN2550" s="17"/>
      <c r="AO2550" s="17"/>
      <c r="AP2550" s="28" t="str">
        <f t="shared" si="779"/>
        <v>20222</v>
      </c>
      <c r="AQ2550" s="28" t="str">
        <f t="shared" si="780"/>
        <v>20222JPY</v>
      </c>
      <c r="AR2550" s="206" t="str">
        <f t="shared" si="781"/>
        <v>YAMAHA_Mounter</v>
      </c>
      <c r="AS2550" s="22">
        <f t="shared" si="782"/>
        <v>1</v>
      </c>
      <c r="AT2550" s="24" t="str">
        <f t="shared" si="783"/>
        <v>0-3 months</v>
      </c>
    </row>
    <row r="2551" spans="1:46" s="12" customFormat="1">
      <c r="A2551" s="33" t="str">
        <f t="shared" si="770"/>
        <v>FY 21/22</v>
      </c>
      <c r="B2551" s="152">
        <v>2022</v>
      </c>
      <c r="C2551" s="152">
        <v>1</v>
      </c>
      <c r="D2551" s="33" t="str">
        <f t="shared" si="771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72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73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9"/>
        <v>1</v>
      </c>
      <c r="Z2551" s="18">
        <f t="shared" si="774"/>
        <v>14390000</v>
      </c>
      <c r="AA2551" s="13">
        <v>6.54E-2</v>
      </c>
      <c r="AB2551" s="21">
        <f t="shared" si="775"/>
        <v>941106</v>
      </c>
      <c r="AC2551" s="130">
        <f t="shared" si="776"/>
        <v>121779.11639999998</v>
      </c>
      <c r="AD2551" s="169">
        <v>0.12939999999999999</v>
      </c>
      <c r="AE2551" s="154">
        <f t="shared" si="777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65"/>
        <v>46600814.041769907</v>
      </c>
      <c r="AJ2551" s="19">
        <f t="shared" si="766"/>
        <v>5956366.3435927071</v>
      </c>
      <c r="AK2551" s="20">
        <f t="shared" si="778"/>
        <v>0.1278167874546958</v>
      </c>
      <c r="AL2551" s="17"/>
      <c r="AM2551" s="17"/>
      <c r="AN2551" s="17"/>
      <c r="AO2551" s="17"/>
      <c r="AP2551" s="28" t="str">
        <f t="shared" si="779"/>
        <v>20224</v>
      </c>
      <c r="AQ2551" s="28" t="str">
        <f t="shared" si="780"/>
        <v>20224JPY</v>
      </c>
      <c r="AR2551" s="206" t="str">
        <f t="shared" si="781"/>
        <v>YAMAHA_Mounter</v>
      </c>
      <c r="AS2551" s="22">
        <f t="shared" si="782"/>
        <v>3</v>
      </c>
      <c r="AT2551" s="24" t="str">
        <f t="shared" si="783"/>
        <v>0-3 months</v>
      </c>
    </row>
    <row r="2552" spans="1:46" s="12" customFormat="1">
      <c r="A2552" s="33" t="str">
        <f t="shared" si="770"/>
        <v>FY 18/19</v>
      </c>
      <c r="B2552" s="152">
        <v>2018</v>
      </c>
      <c r="C2552" s="152">
        <v>8</v>
      </c>
      <c r="D2552" s="33" t="str">
        <f t="shared" si="771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72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73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74"/>
        <v>25448000</v>
      </c>
      <c r="AA2552" s="13">
        <v>7.2099999999999997E-2</v>
      </c>
      <c r="AB2552" s="21">
        <f t="shared" si="775"/>
        <v>1834800.8</v>
      </c>
      <c r="AC2552" s="130">
        <f t="shared" si="776"/>
        <v>220176.09599999999</v>
      </c>
      <c r="AD2552" s="169">
        <v>0.12</v>
      </c>
      <c r="AE2552" s="154">
        <f t="shared" si="777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65"/>
        <v>477651199.57437885</v>
      </c>
      <c r="AJ2552" s="19">
        <f t="shared" si="766"/>
        <v>56918800.518691957</v>
      </c>
      <c r="AK2552" s="20">
        <f t="shared" si="778"/>
        <v>0.11916394341605475</v>
      </c>
      <c r="AL2552" s="17"/>
      <c r="AM2552" s="17"/>
      <c r="AN2552" s="17"/>
      <c r="AO2552" s="17"/>
      <c r="AP2552" s="28" t="str">
        <f t="shared" si="779"/>
        <v>CancelCancel</v>
      </c>
      <c r="AQ2552" s="28" t="str">
        <f t="shared" si="780"/>
        <v>CancelCancelJPY</v>
      </c>
      <c r="AR2552" s="206" t="str">
        <f t="shared" si="781"/>
        <v>YAMAHA_Mounter</v>
      </c>
      <c r="AS2552" s="22" t="str">
        <f t="shared" si="782"/>
        <v/>
      </c>
      <c r="AT2552" s="24" t="str">
        <f t="shared" si="783"/>
        <v/>
      </c>
    </row>
    <row r="2553" spans="1:46" s="12" customFormat="1">
      <c r="A2553" s="33" t="str">
        <f t="shared" si="770"/>
        <v>FY 18/19</v>
      </c>
      <c r="B2553" s="152">
        <v>2018</v>
      </c>
      <c r="C2553" s="152">
        <v>8</v>
      </c>
      <c r="D2553" s="33" t="str">
        <f t="shared" si="771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72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73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74"/>
        <v>12724000</v>
      </c>
      <c r="AA2553" s="13">
        <v>7.2099999999999997E-2</v>
      </c>
      <c r="AB2553" s="21">
        <f t="shared" si="775"/>
        <v>917400.4</v>
      </c>
      <c r="AC2553" s="130">
        <f t="shared" si="776"/>
        <v>110088.048</v>
      </c>
      <c r="AD2553" s="169">
        <v>0.12</v>
      </c>
      <c r="AE2553" s="154">
        <f t="shared" si="777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65"/>
        <v>477651199.57437885</v>
      </c>
      <c r="AJ2553" s="19">
        <f t="shared" si="766"/>
        <v>56918800.518691957</v>
      </c>
      <c r="AK2553" s="20">
        <f t="shared" si="778"/>
        <v>0.11916394341605475</v>
      </c>
      <c r="AL2553" s="17"/>
      <c r="AM2553" s="17"/>
      <c r="AN2553" s="17"/>
      <c r="AO2553" s="17"/>
      <c r="AP2553" s="28" t="str">
        <f t="shared" si="779"/>
        <v>CancelCancel</v>
      </c>
      <c r="AQ2553" s="28" t="str">
        <f t="shared" si="780"/>
        <v>CancelCancelJPY</v>
      </c>
      <c r="AR2553" s="206" t="str">
        <f t="shared" si="781"/>
        <v>YAMAHA_Mounter</v>
      </c>
      <c r="AS2553" s="22" t="str">
        <f t="shared" si="782"/>
        <v/>
      </c>
      <c r="AT2553" s="24" t="str">
        <f t="shared" si="783"/>
        <v/>
      </c>
    </row>
    <row r="2554" spans="1:46" s="12" customFormat="1">
      <c r="A2554" s="33" t="str">
        <f t="shared" si="770"/>
        <v>FY 20/21</v>
      </c>
      <c r="B2554" s="152">
        <v>2020</v>
      </c>
      <c r="C2554" s="152">
        <v>6</v>
      </c>
      <c r="D2554" s="33" t="str">
        <f t="shared" si="771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72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73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74"/>
        <v>1000000</v>
      </c>
      <c r="AA2554" s="13">
        <v>1.105</v>
      </c>
      <c r="AB2554" s="21">
        <f t="shared" si="775"/>
        <v>977876.10619469034</v>
      </c>
      <c r="AC2554" s="130">
        <f t="shared" si="776"/>
        <v>160762.83185840709</v>
      </c>
      <c r="AD2554" s="169">
        <v>0.16439999999999999</v>
      </c>
      <c r="AE2554" s="154">
        <f t="shared" si="777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65"/>
        <v>37969334.083628319</v>
      </c>
      <c r="AJ2554" s="19">
        <f t="shared" si="766"/>
        <v>5097226.4551657084</v>
      </c>
      <c r="AK2554" s="20">
        <f t="shared" si="778"/>
        <v>0.13424587441904964</v>
      </c>
      <c r="AL2554" s="17"/>
      <c r="AM2554" s="17"/>
      <c r="AN2554" s="17"/>
      <c r="AO2554" s="17"/>
      <c r="AP2554" s="28" t="str">
        <f t="shared" si="779"/>
        <v>20208</v>
      </c>
      <c r="AQ2554" s="28" t="str">
        <f t="shared" si="780"/>
        <v>20208RMB</v>
      </c>
      <c r="AR2554" s="206" t="str">
        <f t="shared" si="781"/>
        <v>YAMAHA_Mounter</v>
      </c>
      <c r="AS2554" s="22">
        <f t="shared" si="782"/>
        <v>2</v>
      </c>
      <c r="AT2554" s="24" t="str">
        <f t="shared" si="783"/>
        <v>0-3 months</v>
      </c>
    </row>
    <row r="2555" spans="1:46" s="12" customFormat="1">
      <c r="A2555" s="33" t="str">
        <f t="shared" si="770"/>
        <v>FY 20/21</v>
      </c>
      <c r="B2555" s="152">
        <v>2020</v>
      </c>
      <c r="C2555" s="152">
        <v>6</v>
      </c>
      <c r="D2555" s="33" t="str">
        <f t="shared" si="771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72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73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74"/>
        <v>800000</v>
      </c>
      <c r="AA2555" s="13">
        <v>1.095</v>
      </c>
      <c r="AB2555" s="21">
        <f t="shared" si="775"/>
        <v>775221.23893805314</v>
      </c>
      <c r="AC2555" s="130">
        <f t="shared" si="776"/>
        <v>127446.37168141593</v>
      </c>
      <c r="AD2555" s="169">
        <v>0.16439999999999999</v>
      </c>
      <c r="AE2555" s="154">
        <f t="shared" si="777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65"/>
        <v>35384300.169380538</v>
      </c>
      <c r="AJ2555" s="19">
        <f t="shared" si="766"/>
        <v>5044538.8896988509</v>
      </c>
      <c r="AK2555" s="20">
        <f t="shared" si="778"/>
        <v>0.14256432557804533</v>
      </c>
      <c r="AL2555" s="17"/>
      <c r="AM2555" s="17"/>
      <c r="AN2555" s="17"/>
      <c r="AO2555" s="17"/>
      <c r="AP2555" s="28" t="str">
        <f t="shared" si="779"/>
        <v>20207</v>
      </c>
      <c r="AQ2555" s="28" t="str">
        <f t="shared" si="780"/>
        <v>20207RMB</v>
      </c>
      <c r="AR2555" s="206" t="str">
        <f t="shared" si="781"/>
        <v>YAMAHA_Mounter</v>
      </c>
      <c r="AS2555" s="22">
        <f t="shared" si="782"/>
        <v>1</v>
      </c>
      <c r="AT2555" s="24" t="str">
        <f t="shared" si="783"/>
        <v>0-3 months</v>
      </c>
    </row>
    <row r="2556" spans="1:46" s="12" customFormat="1">
      <c r="A2556" s="33" t="str">
        <f t="shared" si="770"/>
        <v>FY 20/21</v>
      </c>
      <c r="B2556" s="152">
        <v>2020</v>
      </c>
      <c r="C2556" s="152">
        <v>10</v>
      </c>
      <c r="D2556" s="33" t="str">
        <f t="shared" si="771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72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73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74"/>
        <v>140000</v>
      </c>
      <c r="AA2556" s="13">
        <v>7.8</v>
      </c>
      <c r="AB2556" s="21">
        <f t="shared" si="775"/>
        <v>1092000</v>
      </c>
      <c r="AC2556" s="130">
        <f t="shared" si="776"/>
        <v>125580</v>
      </c>
      <c r="AD2556" s="169">
        <v>0.115</v>
      </c>
      <c r="AE2556" s="154">
        <f t="shared" si="777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65"/>
        <v>28011162.254106201</v>
      </c>
      <c r="AJ2556" s="19">
        <f t="shared" si="766"/>
        <v>3401347.1124888416</v>
      </c>
      <c r="AK2556" s="20">
        <f t="shared" si="778"/>
        <v>0.12142827497242578</v>
      </c>
      <c r="AL2556" s="17"/>
      <c r="AM2556" s="17"/>
      <c r="AN2556" s="17"/>
      <c r="AO2556" s="17"/>
      <c r="AP2556" s="28" t="str">
        <f t="shared" si="779"/>
        <v>202010</v>
      </c>
      <c r="AQ2556" s="28" t="str">
        <f t="shared" si="780"/>
        <v>202010USD</v>
      </c>
      <c r="AR2556" s="206" t="str">
        <f t="shared" si="781"/>
        <v>YAMAHA_Mounter</v>
      </c>
      <c r="AS2556" s="22">
        <f t="shared" si="782"/>
        <v>0</v>
      </c>
      <c r="AT2556" s="24" t="str">
        <f t="shared" si="783"/>
        <v>0-3 months</v>
      </c>
    </row>
    <row r="2557" spans="1:46" s="12" customFormat="1">
      <c r="A2557" s="33" t="str">
        <f t="shared" si="770"/>
        <v>FY 21/22</v>
      </c>
      <c r="B2557" s="152">
        <v>2021</v>
      </c>
      <c r="C2557" s="152">
        <v>6</v>
      </c>
      <c r="D2557" s="33" t="str">
        <f t="shared" si="771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72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73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74"/>
        <v>15000000</v>
      </c>
      <c r="AA2557" s="13">
        <v>6.9199999999999998E-2</v>
      </c>
      <c r="AB2557" s="21">
        <f t="shared" si="775"/>
        <v>1038000</v>
      </c>
      <c r="AC2557" s="130">
        <f t="shared" si="776"/>
        <v>104526.59999999999</v>
      </c>
      <c r="AD2557" s="169">
        <v>0.1007</v>
      </c>
      <c r="AE2557" s="154">
        <f t="shared" si="777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65"/>
        <v>31750699.113741599</v>
      </c>
      <c r="AJ2557" s="19">
        <f t="shared" si="766"/>
        <v>4396077.3195289988</v>
      </c>
      <c r="AK2557" s="20">
        <f t="shared" si="778"/>
        <v>0.13845607946397598</v>
      </c>
      <c r="AL2557" s="17"/>
      <c r="AM2557" s="17"/>
      <c r="AN2557" s="17"/>
      <c r="AO2557" s="17"/>
      <c r="AP2557" s="28" t="str">
        <f t="shared" si="779"/>
        <v>20222</v>
      </c>
      <c r="AQ2557" s="28" t="str">
        <f t="shared" si="780"/>
        <v>20222JPY</v>
      </c>
      <c r="AR2557" s="206" t="str">
        <f t="shared" si="781"/>
        <v>YAMAHA_Mounter</v>
      </c>
      <c r="AS2557" s="22">
        <f t="shared" si="782"/>
        <v>8</v>
      </c>
      <c r="AT2557" s="24" t="str">
        <f t="shared" si="783"/>
        <v>&gt; 6 months</v>
      </c>
    </row>
    <row r="2558" spans="1:46" s="12" customFormat="1">
      <c r="A2558" s="33" t="str">
        <f t="shared" si="770"/>
        <v>FY 21/22</v>
      </c>
      <c r="B2558" s="152">
        <v>2021</v>
      </c>
      <c r="C2558" s="152">
        <v>6</v>
      </c>
      <c r="D2558" s="33" t="str">
        <f t="shared" si="771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72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73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74"/>
        <v>15000000</v>
      </c>
      <c r="AA2558" s="13">
        <v>6.9199999999999998E-2</v>
      </c>
      <c r="AB2558" s="21">
        <f t="shared" si="775"/>
        <v>1038000</v>
      </c>
      <c r="AC2558" s="130">
        <f t="shared" si="776"/>
        <v>104526.59999999999</v>
      </c>
      <c r="AD2558" s="169">
        <v>0.1007</v>
      </c>
      <c r="AE2558" s="154">
        <f t="shared" si="777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65"/>
        <v>31750699.113741599</v>
      </c>
      <c r="AJ2558" s="19">
        <f t="shared" si="766"/>
        <v>4396077.3195289988</v>
      </c>
      <c r="AK2558" s="20">
        <f t="shared" si="778"/>
        <v>0.13845607946397598</v>
      </c>
      <c r="AL2558" s="17"/>
      <c r="AM2558" s="17"/>
      <c r="AN2558" s="17"/>
      <c r="AO2558" s="17"/>
      <c r="AP2558" s="28" t="str">
        <f t="shared" si="779"/>
        <v>20222</v>
      </c>
      <c r="AQ2558" s="28" t="str">
        <f t="shared" si="780"/>
        <v>20222JPY</v>
      </c>
      <c r="AR2558" s="206" t="str">
        <f t="shared" si="781"/>
        <v>YAMAHA_Mounter</v>
      </c>
      <c r="AS2558" s="22">
        <f t="shared" si="782"/>
        <v>8</v>
      </c>
      <c r="AT2558" s="24" t="str">
        <f t="shared" si="783"/>
        <v>&gt; 6 months</v>
      </c>
    </row>
    <row r="2559" spans="1:46" s="12" customFormat="1">
      <c r="A2559" s="33" t="str">
        <f t="shared" si="770"/>
        <v>FY 21/22</v>
      </c>
      <c r="B2559" s="152">
        <v>2021</v>
      </c>
      <c r="C2559" s="152">
        <v>6</v>
      </c>
      <c r="D2559" s="33" t="str">
        <f t="shared" si="771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72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73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74"/>
        <v>7689768</v>
      </c>
      <c r="AA2559" s="13">
        <v>6.9199999999999998E-2</v>
      </c>
      <c r="AB2559" s="21">
        <f t="shared" si="775"/>
        <v>532131.94559999998</v>
      </c>
      <c r="AC2559" s="130">
        <f t="shared" si="776"/>
        <v>53585.686921919994</v>
      </c>
      <c r="AD2559" s="169">
        <v>0.1007</v>
      </c>
      <c r="AE2559" s="154">
        <f t="shared" si="777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65"/>
        <v>31750699.113741599</v>
      </c>
      <c r="AJ2559" s="19">
        <f t="shared" si="766"/>
        <v>4396077.3195289988</v>
      </c>
      <c r="AK2559" s="20">
        <f t="shared" si="778"/>
        <v>0.13845607946397598</v>
      </c>
      <c r="AL2559" s="17"/>
      <c r="AM2559" s="17"/>
      <c r="AN2559" s="17"/>
      <c r="AO2559" s="17"/>
      <c r="AP2559" s="28" t="str">
        <f t="shared" si="779"/>
        <v>20222</v>
      </c>
      <c r="AQ2559" s="28" t="str">
        <f t="shared" si="780"/>
        <v>20222JPY</v>
      </c>
      <c r="AR2559" s="206" t="str">
        <f t="shared" si="781"/>
        <v>YAMAHA_Mounter</v>
      </c>
      <c r="AS2559" s="22">
        <f t="shared" si="782"/>
        <v>8</v>
      </c>
      <c r="AT2559" s="24" t="str">
        <f t="shared" si="783"/>
        <v>&gt; 6 months</v>
      </c>
    </row>
    <row r="2560" spans="1:46" s="12" customFormat="1">
      <c r="A2560" s="33" t="str">
        <f t="shared" si="770"/>
        <v>FY 21/22</v>
      </c>
      <c r="B2560" s="152">
        <v>2021</v>
      </c>
      <c r="C2560" s="152">
        <v>12</v>
      </c>
      <c r="D2560" s="33" t="str">
        <f t="shared" si="771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72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73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74"/>
        <v>406243</v>
      </c>
      <c r="AA2560" s="13">
        <v>1.22</v>
      </c>
      <c r="AB2560" s="21">
        <f t="shared" si="775"/>
        <v>438598.63716814166</v>
      </c>
      <c r="AC2560" s="130">
        <f t="shared" si="776"/>
        <v>81798.645831858419</v>
      </c>
      <c r="AD2560" s="169">
        <v>0.1865</v>
      </c>
      <c r="AE2560" s="154">
        <f t="shared" si="777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65"/>
        <v>31750699.113741599</v>
      </c>
      <c r="AJ2560" s="19">
        <f t="shared" si="766"/>
        <v>4396077.3195289988</v>
      </c>
      <c r="AK2560" s="20">
        <f t="shared" si="778"/>
        <v>0.13845607946397598</v>
      </c>
      <c r="AL2560" s="17"/>
      <c r="AM2560" s="17"/>
      <c r="AN2560" s="17"/>
      <c r="AO2560" s="17"/>
      <c r="AP2560" s="28" t="str">
        <f t="shared" si="779"/>
        <v>20222</v>
      </c>
      <c r="AQ2560" s="28" t="str">
        <f t="shared" si="780"/>
        <v>20222RMB</v>
      </c>
      <c r="AR2560" s="206" t="str">
        <f t="shared" si="781"/>
        <v>HELLER</v>
      </c>
      <c r="AS2560" s="22">
        <f t="shared" si="782"/>
        <v>2</v>
      </c>
      <c r="AT2560" s="24" t="str">
        <f t="shared" si="783"/>
        <v>0-3 months</v>
      </c>
    </row>
    <row r="2561" spans="1:46" s="12" customFormat="1">
      <c r="A2561" s="33" t="str">
        <f t="shared" si="770"/>
        <v>FY 23/24</v>
      </c>
      <c r="B2561" s="23">
        <v>2024</v>
      </c>
      <c r="C2561" s="152">
        <v>3</v>
      </c>
      <c r="D2561" s="33" t="str">
        <f t="shared" si="771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72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73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74"/>
        <v>750000</v>
      </c>
      <c r="AA2561" s="22">
        <v>1.0900000000000001</v>
      </c>
      <c r="AB2561" s="21">
        <f t="shared" si="775"/>
        <v>723451.3274336285</v>
      </c>
      <c r="AC2561" s="25">
        <f t="shared" si="776"/>
        <v>94121.017699115066</v>
      </c>
      <c r="AD2561" s="209">
        <v>0.13009999999999999</v>
      </c>
      <c r="AE2561" s="26">
        <f t="shared" si="777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65"/>
        <v>21194662.454867262</v>
      </c>
      <c r="AJ2561" s="27">
        <f t="shared" si="766"/>
        <v>2981431.5970757701</v>
      </c>
      <c r="AK2561" s="28">
        <f t="shared" si="778"/>
        <v>0.14066898226968919</v>
      </c>
      <c r="AL2561" s="24"/>
      <c r="AM2561" s="24"/>
      <c r="AN2561" s="24"/>
      <c r="AO2561" s="24"/>
      <c r="AP2561" s="28" t="str">
        <f t="shared" si="779"/>
        <v>20243</v>
      </c>
      <c r="AQ2561" s="28" t="str">
        <f t="shared" si="780"/>
        <v>20243RMB</v>
      </c>
      <c r="AR2561" s="206" t="str">
        <f t="shared" si="781"/>
        <v>YAMAHA_Mounter</v>
      </c>
      <c r="AS2561" s="22">
        <f t="shared" si="782"/>
        <v>0</v>
      </c>
      <c r="AT2561" s="24" t="str">
        <f t="shared" si="783"/>
        <v>0-3 months</v>
      </c>
    </row>
    <row r="2562" spans="1:46" s="12" customFormat="1">
      <c r="A2562" s="33" t="str">
        <f t="shared" si="770"/>
        <v>FY 19/20</v>
      </c>
      <c r="B2562" s="152">
        <v>2019</v>
      </c>
      <c r="C2562" s="152">
        <v>5</v>
      </c>
      <c r="D2562" s="33" t="str">
        <f t="shared" si="771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72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73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74"/>
        <v>13350000</v>
      </c>
      <c r="AA2562" s="13">
        <v>7.3999999999999996E-2</v>
      </c>
      <c r="AB2562" s="21">
        <f t="shared" si="775"/>
        <v>987900</v>
      </c>
      <c r="AC2562" s="130">
        <f t="shared" si="776"/>
        <v>111039.96</v>
      </c>
      <c r="AD2562" s="169">
        <v>0.1124</v>
      </c>
      <c r="AE2562" s="154">
        <f t="shared" si="777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84">IF(P2562="C66 SERVICE","",SUMIFS(AB:AB,F:F,F2562,G:G,G2562,E:E,E2562))</f>
        <v>34015877.71150443</v>
      </c>
      <c r="AJ2562" s="19">
        <f t="shared" ref="AJ2562:AJ2625" si="785">IF(P2562="C66 SERVICE","",SUMIFS(AC:AC,F:F,F2562,G:G,G2562,E:E,E2562))</f>
        <v>4446292.375441948</v>
      </c>
      <c r="AK2562" s="20">
        <f t="shared" si="778"/>
        <v>0.13071226364205143</v>
      </c>
      <c r="AL2562" s="17"/>
      <c r="AM2562" s="17"/>
      <c r="AN2562" s="17"/>
      <c r="AO2562" s="17"/>
      <c r="AP2562" s="28" t="str">
        <f t="shared" si="779"/>
        <v>20197</v>
      </c>
      <c r="AQ2562" s="28" t="str">
        <f t="shared" si="780"/>
        <v>20197JPY</v>
      </c>
      <c r="AR2562" s="206" t="str">
        <f t="shared" si="781"/>
        <v>YAMAHA_Mounter</v>
      </c>
      <c r="AS2562" s="22">
        <f t="shared" si="782"/>
        <v>2</v>
      </c>
      <c r="AT2562" s="24" t="str">
        <f t="shared" si="783"/>
        <v>0-3 months</v>
      </c>
    </row>
    <row r="2563" spans="1:46" s="12" customFormat="1">
      <c r="A2563" s="33" t="str">
        <f t="shared" si="770"/>
        <v>FY 19/20</v>
      </c>
      <c r="B2563" s="152">
        <v>2019</v>
      </c>
      <c r="C2563" s="152">
        <v>5</v>
      </c>
      <c r="D2563" s="33" t="str">
        <f t="shared" si="771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72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73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74"/>
        <v>13350000</v>
      </c>
      <c r="AA2563" s="13">
        <v>7.3999999999999996E-2</v>
      </c>
      <c r="AB2563" s="21">
        <f t="shared" si="775"/>
        <v>987900</v>
      </c>
      <c r="AC2563" s="130">
        <f t="shared" si="776"/>
        <v>111039.96</v>
      </c>
      <c r="AD2563" s="169">
        <v>0.1124</v>
      </c>
      <c r="AE2563" s="154">
        <f t="shared" si="777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84"/>
        <v>34015877.71150443</v>
      </c>
      <c r="AJ2563" s="19">
        <f t="shared" si="785"/>
        <v>4446292.375441948</v>
      </c>
      <c r="AK2563" s="20">
        <f t="shared" si="778"/>
        <v>0.13071226364205143</v>
      </c>
      <c r="AL2563" s="17"/>
      <c r="AM2563" s="17"/>
      <c r="AN2563" s="17"/>
      <c r="AO2563" s="17"/>
      <c r="AP2563" s="28" t="str">
        <f t="shared" si="779"/>
        <v>20197</v>
      </c>
      <c r="AQ2563" s="28" t="str">
        <f t="shared" si="780"/>
        <v>20197JPY</v>
      </c>
      <c r="AR2563" s="206" t="str">
        <f t="shared" si="781"/>
        <v>YAMAHA_Mounter</v>
      </c>
      <c r="AS2563" s="22">
        <f t="shared" si="782"/>
        <v>2</v>
      </c>
      <c r="AT2563" s="24" t="str">
        <f t="shared" si="783"/>
        <v>0-3 months</v>
      </c>
    </row>
    <row r="2564" spans="1:46" s="12" customFormat="1">
      <c r="A2564" s="33" t="str">
        <f t="shared" si="770"/>
        <v>FY 18/19</v>
      </c>
      <c r="B2564" s="152">
        <v>2018</v>
      </c>
      <c r="C2564" s="152">
        <v>11</v>
      </c>
      <c r="D2564" s="33" t="str">
        <f t="shared" si="771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72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73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74"/>
        <v>811500</v>
      </c>
      <c r="AA2564" s="13">
        <v>1.1499999999999999</v>
      </c>
      <c r="AB2564" s="21">
        <f t="shared" si="775"/>
        <v>804504.31034482759</v>
      </c>
      <c r="AC2564" s="130">
        <f t="shared" si="776"/>
        <v>80611.331896551725</v>
      </c>
      <c r="AD2564" s="169">
        <v>0.1002</v>
      </c>
      <c r="AE2564" s="154">
        <f t="shared" si="777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84"/>
        <v>16455710.386637932</v>
      </c>
      <c r="AJ2564" s="19">
        <f t="shared" si="785"/>
        <v>2150644.6466930606</v>
      </c>
      <c r="AK2564" s="20">
        <f t="shared" si="778"/>
        <v>0.13069290818580451</v>
      </c>
      <c r="AL2564" s="17"/>
      <c r="AM2564" s="17"/>
      <c r="AN2564" s="17"/>
      <c r="AO2564" s="17"/>
      <c r="AP2564" s="28" t="str">
        <f t="shared" si="779"/>
        <v>20192</v>
      </c>
      <c r="AQ2564" s="28" t="str">
        <f t="shared" si="780"/>
        <v>20192RMB</v>
      </c>
      <c r="AR2564" s="206" t="str">
        <f t="shared" si="781"/>
        <v>YAMAHA_Mounter</v>
      </c>
      <c r="AS2564" s="22">
        <f t="shared" si="782"/>
        <v>3</v>
      </c>
      <c r="AT2564" s="24" t="str">
        <f t="shared" si="783"/>
        <v>0-3 months</v>
      </c>
    </row>
    <row r="2565" spans="1:46" s="12" customFormat="1">
      <c r="A2565" s="33" t="str">
        <f t="shared" si="770"/>
        <v>FY 21/22</v>
      </c>
      <c r="B2565" s="152">
        <v>2022</v>
      </c>
      <c r="C2565" s="152">
        <v>1</v>
      </c>
      <c r="D2565" s="33" t="str">
        <f t="shared" si="771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72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73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74"/>
        <v>1298000</v>
      </c>
      <c r="AA2565" s="13">
        <v>1.22</v>
      </c>
      <c r="AB2565" s="21">
        <f t="shared" si="775"/>
        <v>1401380.5309734517</v>
      </c>
      <c r="AC2565" s="130">
        <f t="shared" si="776"/>
        <v>165923.45486725669</v>
      </c>
      <c r="AD2565" s="169">
        <v>0.11840000000000001</v>
      </c>
      <c r="AE2565" s="154">
        <f t="shared" si="777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84"/>
        <v>26407088.359292038</v>
      </c>
      <c r="AJ2565" s="19">
        <f t="shared" si="785"/>
        <v>3424510.6998470789</v>
      </c>
      <c r="AK2565" s="20">
        <f t="shared" si="778"/>
        <v>0.12968149510667554</v>
      </c>
      <c r="AL2565" s="17"/>
      <c r="AM2565" s="17"/>
      <c r="AN2565" s="17"/>
      <c r="AO2565" s="17"/>
      <c r="AP2565" s="28" t="str">
        <f t="shared" si="779"/>
        <v>20221</v>
      </c>
      <c r="AQ2565" s="28" t="str">
        <f t="shared" si="780"/>
        <v>20221RMB</v>
      </c>
      <c r="AR2565" s="206" t="str">
        <f t="shared" si="781"/>
        <v>YAMAHA_Mounter</v>
      </c>
      <c r="AS2565" s="22">
        <f t="shared" si="782"/>
        <v>0</v>
      </c>
      <c r="AT2565" s="24" t="str">
        <f t="shared" si="783"/>
        <v>0-3 months</v>
      </c>
    </row>
    <row r="2566" spans="1:46" s="12" customFormat="1">
      <c r="A2566" s="33" t="str">
        <f t="shared" si="770"/>
        <v>FY 19/20</v>
      </c>
      <c r="B2566" s="152">
        <v>2019</v>
      </c>
      <c r="C2566" s="152">
        <v>10</v>
      </c>
      <c r="D2566" s="33" t="str">
        <f t="shared" si="771"/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si="772"/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73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74"/>
        <v>780000</v>
      </c>
      <c r="AA2566" s="13">
        <v>1.095</v>
      </c>
      <c r="AB2566" s="21">
        <f t="shared" si="775"/>
        <v>755840.70796460181</v>
      </c>
      <c r="AC2566" s="130">
        <f t="shared" si="776"/>
        <v>76264.327433628321</v>
      </c>
      <c r="AD2566" s="169">
        <v>0.1009</v>
      </c>
      <c r="AE2566" s="154">
        <f t="shared" si="777"/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84"/>
        <v>28647263.974455759</v>
      </c>
      <c r="AJ2566" s="19">
        <f t="shared" si="785"/>
        <v>3219855.6912513468</v>
      </c>
      <c r="AK2566" s="20">
        <f t="shared" si="778"/>
        <v>0.11239662168514358</v>
      </c>
      <c r="AL2566" s="17"/>
      <c r="AM2566" s="17"/>
      <c r="AN2566" s="17"/>
      <c r="AO2566" s="17"/>
      <c r="AP2566" s="28" t="str">
        <f t="shared" si="779"/>
        <v>201910</v>
      </c>
      <c r="AQ2566" s="28" t="str">
        <f t="shared" si="780"/>
        <v>201910RMB</v>
      </c>
      <c r="AR2566" s="206" t="str">
        <f t="shared" si="781"/>
        <v>YAMAHA_Mounter</v>
      </c>
      <c r="AS2566" s="22">
        <f t="shared" si="782"/>
        <v>0</v>
      </c>
      <c r="AT2566" s="24" t="str">
        <f t="shared" si="783"/>
        <v>0-3 months</v>
      </c>
    </row>
    <row r="2567" spans="1:46" s="12" customFormat="1">
      <c r="A2567" s="33" t="str">
        <f t="shared" si="770"/>
        <v>FY 19/20</v>
      </c>
      <c r="B2567" s="152">
        <v>2019</v>
      </c>
      <c r="C2567" s="152">
        <v>10</v>
      </c>
      <c r="D2567" s="33" t="str">
        <f t="shared" si="771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72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73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74"/>
        <v>780000</v>
      </c>
      <c r="AA2567" s="13">
        <v>1.095</v>
      </c>
      <c r="AB2567" s="21">
        <f t="shared" si="775"/>
        <v>755840.70796460181</v>
      </c>
      <c r="AC2567" s="130">
        <f t="shared" si="776"/>
        <v>76264.327433628321</v>
      </c>
      <c r="AD2567" s="169">
        <v>0.1009</v>
      </c>
      <c r="AE2567" s="154">
        <f t="shared" si="777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84"/>
        <v>28647263.974455759</v>
      </c>
      <c r="AJ2567" s="19">
        <f t="shared" si="785"/>
        <v>3219855.6912513468</v>
      </c>
      <c r="AK2567" s="20">
        <f t="shared" si="778"/>
        <v>0.11239662168514358</v>
      </c>
      <c r="AL2567" s="17"/>
      <c r="AM2567" s="17"/>
      <c r="AN2567" s="17"/>
      <c r="AO2567" s="17"/>
      <c r="AP2567" s="28" t="str">
        <f t="shared" si="779"/>
        <v>201910</v>
      </c>
      <c r="AQ2567" s="28" t="str">
        <f t="shared" si="780"/>
        <v>201910RMB</v>
      </c>
      <c r="AR2567" s="206" t="str">
        <f t="shared" si="781"/>
        <v>YAMAHA_Mounter</v>
      </c>
      <c r="AS2567" s="22">
        <f t="shared" si="782"/>
        <v>0</v>
      </c>
      <c r="AT2567" s="24" t="str">
        <f t="shared" si="783"/>
        <v>0-3 months</v>
      </c>
    </row>
    <row r="2568" spans="1:46" s="12" customFormat="1">
      <c r="A2568" s="33" t="str">
        <f t="shared" si="770"/>
        <v>FY 19/20</v>
      </c>
      <c r="B2568" s="152">
        <v>2019</v>
      </c>
      <c r="C2568" s="152">
        <v>10</v>
      </c>
      <c r="D2568" s="33" t="str">
        <f t="shared" si="771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72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73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74"/>
        <v>610000</v>
      </c>
      <c r="AA2568" s="13">
        <v>1.095</v>
      </c>
      <c r="AB2568" s="21">
        <f t="shared" si="775"/>
        <v>591106.19469026558</v>
      </c>
      <c r="AC2568" s="130">
        <f t="shared" si="776"/>
        <v>59642.615044247796</v>
      </c>
      <c r="AD2568" s="169">
        <v>0.1009</v>
      </c>
      <c r="AE2568" s="154">
        <f t="shared" si="777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84"/>
        <v>28647263.974455759</v>
      </c>
      <c r="AJ2568" s="19">
        <f t="shared" si="785"/>
        <v>3219855.6912513468</v>
      </c>
      <c r="AK2568" s="20">
        <f t="shared" si="778"/>
        <v>0.11239662168514358</v>
      </c>
      <c r="AL2568" s="17"/>
      <c r="AM2568" s="17"/>
      <c r="AN2568" s="17"/>
      <c r="AO2568" s="17"/>
      <c r="AP2568" s="28" t="str">
        <f t="shared" si="779"/>
        <v>201910</v>
      </c>
      <c r="AQ2568" s="28" t="str">
        <f t="shared" si="780"/>
        <v>201910RMB</v>
      </c>
      <c r="AR2568" s="206" t="str">
        <f t="shared" si="781"/>
        <v>YAMAHA_Mounter</v>
      </c>
      <c r="AS2568" s="22">
        <f t="shared" si="782"/>
        <v>0</v>
      </c>
      <c r="AT2568" s="24" t="str">
        <f t="shared" si="783"/>
        <v>0-3 months</v>
      </c>
    </row>
    <row r="2569" spans="1:46" s="12" customFormat="1">
      <c r="A2569" s="33" t="str">
        <f t="shared" si="770"/>
        <v>FY 19/20</v>
      </c>
      <c r="B2569" s="152">
        <v>2019</v>
      </c>
      <c r="C2569" s="152">
        <v>9</v>
      </c>
      <c r="D2569" s="33" t="str">
        <f t="shared" si="771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72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73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74"/>
        <v>17600000</v>
      </c>
      <c r="AA2569" s="13">
        <v>7.0199999999999999E-2</v>
      </c>
      <c r="AB2569" s="21">
        <f t="shared" si="775"/>
        <v>1235520</v>
      </c>
      <c r="AC2569" s="130">
        <f t="shared" si="776"/>
        <v>148262.39999999999</v>
      </c>
      <c r="AD2569" s="169">
        <v>0.12</v>
      </c>
      <c r="AE2569" s="154">
        <f t="shared" si="777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84"/>
        <v>477651199.57437885</v>
      </c>
      <c r="AJ2569" s="19">
        <f t="shared" si="785"/>
        <v>56918800.518691957</v>
      </c>
      <c r="AK2569" s="20">
        <f t="shared" si="778"/>
        <v>0.11916394341605475</v>
      </c>
      <c r="AL2569" s="17"/>
      <c r="AM2569" s="17"/>
      <c r="AN2569" s="17"/>
      <c r="AO2569" s="17"/>
      <c r="AP2569" s="28" t="str">
        <f t="shared" si="779"/>
        <v>CancelCancel</v>
      </c>
      <c r="AQ2569" s="28" t="str">
        <f t="shared" si="780"/>
        <v>CancelCancelJPY</v>
      </c>
      <c r="AR2569" s="206" t="str">
        <f t="shared" si="781"/>
        <v>YAMAHA_Mounter</v>
      </c>
      <c r="AS2569" s="22" t="str">
        <f t="shared" si="782"/>
        <v/>
      </c>
      <c r="AT2569" s="24" t="str">
        <f t="shared" si="783"/>
        <v/>
      </c>
    </row>
    <row r="2570" spans="1:46" s="12" customFormat="1">
      <c r="A2570" s="33" t="str">
        <f t="shared" si="770"/>
        <v>FY 23/24</v>
      </c>
      <c r="B2570" s="152">
        <v>2023</v>
      </c>
      <c r="C2570" s="152">
        <v>4</v>
      </c>
      <c r="D2570" s="33" t="str">
        <f t="shared" si="771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72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73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86">IF(W2570="RMB","1.13", "1")</f>
        <v>1.13</v>
      </c>
      <c r="Z2570" s="18">
        <f t="shared" si="774"/>
        <v>800000</v>
      </c>
      <c r="AA2570" s="13">
        <v>1.1399999999999999</v>
      </c>
      <c r="AB2570" s="21">
        <f t="shared" si="775"/>
        <v>807079.64601769915</v>
      </c>
      <c r="AC2570" s="130">
        <f t="shared" si="776"/>
        <v>86599.646017699124</v>
      </c>
      <c r="AD2570" s="169">
        <v>0.10730000000000001</v>
      </c>
      <c r="AE2570" s="154">
        <f t="shared" si="777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84"/>
        <v>30573205.452778768</v>
      </c>
      <c r="AJ2570" s="19">
        <f t="shared" si="785"/>
        <v>3790930.1683151261</v>
      </c>
      <c r="AK2570" s="20">
        <f t="shared" si="778"/>
        <v>0.12399518179964254</v>
      </c>
      <c r="AL2570" s="17"/>
      <c r="AM2570" s="17"/>
      <c r="AN2570" s="17"/>
      <c r="AO2570" s="17"/>
      <c r="AP2570" s="28" t="str">
        <f t="shared" si="779"/>
        <v>20234</v>
      </c>
      <c r="AQ2570" s="28" t="str">
        <f t="shared" si="780"/>
        <v>20234RMB</v>
      </c>
      <c r="AR2570" s="206" t="str">
        <f t="shared" si="781"/>
        <v>YAMAHA_Mounter</v>
      </c>
      <c r="AS2570" s="22">
        <f t="shared" si="782"/>
        <v>0</v>
      </c>
      <c r="AT2570" s="24" t="str">
        <f t="shared" si="783"/>
        <v>0-3 months</v>
      </c>
    </row>
    <row r="2571" spans="1:46" s="12" customFormat="1">
      <c r="A2571" s="33" t="str">
        <f t="shared" si="770"/>
        <v>FY 23/24</v>
      </c>
      <c r="B2571" s="152">
        <v>2023</v>
      </c>
      <c r="C2571" s="152">
        <v>4</v>
      </c>
      <c r="D2571" s="33" t="str">
        <f t="shared" si="771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72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73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86"/>
        <v>1.13</v>
      </c>
      <c r="Z2571" s="18">
        <f t="shared" si="774"/>
        <v>442500</v>
      </c>
      <c r="AA2571" s="13">
        <v>1.1399999999999999</v>
      </c>
      <c r="AB2571" s="21">
        <f t="shared" si="775"/>
        <v>446415.92920353985</v>
      </c>
      <c r="AC2571" s="130">
        <f t="shared" si="776"/>
        <v>47900.429203539832</v>
      </c>
      <c r="AD2571" s="169">
        <v>0.10730000000000001</v>
      </c>
      <c r="AE2571" s="154">
        <f t="shared" si="777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84"/>
        <v>30573205.452778768</v>
      </c>
      <c r="AJ2571" s="19">
        <f t="shared" si="785"/>
        <v>3790930.1683151261</v>
      </c>
      <c r="AK2571" s="20">
        <f t="shared" si="778"/>
        <v>0.12399518179964254</v>
      </c>
      <c r="AL2571" s="17"/>
      <c r="AM2571" s="17"/>
      <c r="AN2571" s="17"/>
      <c r="AO2571" s="17"/>
      <c r="AP2571" s="28" t="str">
        <f t="shared" si="779"/>
        <v>20234</v>
      </c>
      <c r="AQ2571" s="28" t="str">
        <f t="shared" si="780"/>
        <v>20234RMB</v>
      </c>
      <c r="AR2571" s="206" t="str">
        <f t="shared" si="781"/>
        <v>YAMAHA_Mounter</v>
      </c>
      <c r="AS2571" s="22">
        <f t="shared" si="782"/>
        <v>0</v>
      </c>
      <c r="AT2571" s="24" t="str">
        <f t="shared" si="783"/>
        <v>0-3 months</v>
      </c>
    </row>
    <row r="2572" spans="1:46" s="12" customFormat="1">
      <c r="A2572" s="33" t="str">
        <f t="shared" si="770"/>
        <v>FY 23/24</v>
      </c>
      <c r="B2572" s="152">
        <v>2023</v>
      </c>
      <c r="C2572" s="152">
        <v>4</v>
      </c>
      <c r="D2572" s="33" t="str">
        <f t="shared" si="771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72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73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86"/>
        <v>1.13</v>
      </c>
      <c r="Z2572" s="18">
        <f t="shared" ref="Z2572:Z2580" si="787">IF(X2572="","",X2572*MAX(O2572,N2572))</f>
        <v>442500</v>
      </c>
      <c r="AA2572" s="13">
        <v>1.1399999999999999</v>
      </c>
      <c r="AB2572" s="21">
        <f t="shared" si="775"/>
        <v>446415.92920353985</v>
      </c>
      <c r="AC2572" s="130">
        <f t="shared" si="776"/>
        <v>47900.429203539832</v>
      </c>
      <c r="AD2572" s="169">
        <v>0.10730000000000001</v>
      </c>
      <c r="AE2572" s="154">
        <f t="shared" si="777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84"/>
        <v>30573205.452778768</v>
      </c>
      <c r="AJ2572" s="19">
        <f t="shared" si="785"/>
        <v>3790930.1683151261</v>
      </c>
      <c r="AK2572" s="20">
        <f t="shared" si="778"/>
        <v>0.12399518179964254</v>
      </c>
      <c r="AL2572" s="17"/>
      <c r="AM2572" s="17"/>
      <c r="AN2572" s="17"/>
      <c r="AO2572" s="17"/>
      <c r="AP2572" s="28" t="str">
        <f t="shared" si="779"/>
        <v>20234</v>
      </c>
      <c r="AQ2572" s="28" t="str">
        <f t="shared" si="780"/>
        <v>20234RMB</v>
      </c>
      <c r="AR2572" s="206" t="str">
        <f t="shared" si="781"/>
        <v>YAMAHA_Mounter</v>
      </c>
      <c r="AS2572" s="22">
        <f t="shared" si="782"/>
        <v>0</v>
      </c>
      <c r="AT2572" s="24" t="str">
        <f t="shared" si="783"/>
        <v>0-3 months</v>
      </c>
    </row>
    <row r="2573" spans="1:46" s="12" customFormat="1">
      <c r="A2573" s="33" t="str">
        <f t="shared" si="770"/>
        <v>FY 22/23</v>
      </c>
      <c r="B2573" s="152">
        <v>2023</v>
      </c>
      <c r="C2573" s="152">
        <v>3</v>
      </c>
      <c r="D2573" s="33" t="str">
        <f t="shared" si="771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72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73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86"/>
        <v>1.13</v>
      </c>
      <c r="Z2573" s="18">
        <f t="shared" si="787"/>
        <v>465000</v>
      </c>
      <c r="AA2573" s="13">
        <v>1.1399999999999999</v>
      </c>
      <c r="AB2573" s="21">
        <f t="shared" si="775"/>
        <v>469115.04424778762</v>
      </c>
      <c r="AC2573" s="130">
        <f t="shared" si="776"/>
        <v>60328.194690265482</v>
      </c>
      <c r="AD2573" s="169">
        <v>0.12859999999999999</v>
      </c>
      <c r="AE2573" s="154">
        <f t="shared" si="777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84"/>
        <v>30573205.452778768</v>
      </c>
      <c r="AJ2573" s="19">
        <f t="shared" si="785"/>
        <v>3790930.1683151261</v>
      </c>
      <c r="AK2573" s="20">
        <f t="shared" si="778"/>
        <v>0.12399518179964254</v>
      </c>
      <c r="AL2573" s="17"/>
      <c r="AM2573" s="17"/>
      <c r="AN2573" s="17"/>
      <c r="AO2573" s="17"/>
      <c r="AP2573" s="28" t="str">
        <f t="shared" si="779"/>
        <v>20234</v>
      </c>
      <c r="AQ2573" s="28" t="str">
        <f t="shared" si="780"/>
        <v>20234RMB</v>
      </c>
      <c r="AR2573" s="206" t="str">
        <f t="shared" si="781"/>
        <v>YAMAHA_Mounter</v>
      </c>
      <c r="AS2573" s="22">
        <f t="shared" si="782"/>
        <v>1</v>
      </c>
      <c r="AT2573" s="24" t="str">
        <f t="shared" si="783"/>
        <v>0-3 months</v>
      </c>
    </row>
    <row r="2574" spans="1:46" s="12" customFormat="1">
      <c r="A2574" s="33" t="str">
        <f t="shared" si="770"/>
        <v>FY 22/23</v>
      </c>
      <c r="B2574" s="152">
        <v>2023</v>
      </c>
      <c r="C2574" s="152">
        <v>3</v>
      </c>
      <c r="D2574" s="33" t="str">
        <f t="shared" si="771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72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73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86"/>
        <v>1.13</v>
      </c>
      <c r="Z2574" s="18">
        <f t="shared" si="787"/>
        <v>800000</v>
      </c>
      <c r="AA2574" s="13">
        <v>1.1399999999999999</v>
      </c>
      <c r="AB2574" s="21">
        <f t="shared" si="775"/>
        <v>807079.64601769915</v>
      </c>
      <c r="AC2574" s="130">
        <f t="shared" si="776"/>
        <v>103790.4424778761</v>
      </c>
      <c r="AD2574" s="169">
        <v>0.12859999999999999</v>
      </c>
      <c r="AE2574" s="154">
        <f t="shared" si="777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84"/>
        <v>30573205.452778768</v>
      </c>
      <c r="AJ2574" s="19">
        <f t="shared" si="785"/>
        <v>3790930.1683151261</v>
      </c>
      <c r="AK2574" s="20">
        <f t="shared" si="778"/>
        <v>0.12399518179964254</v>
      </c>
      <c r="AL2574" s="17"/>
      <c r="AM2574" s="17"/>
      <c r="AN2574" s="17"/>
      <c r="AO2574" s="17"/>
      <c r="AP2574" s="28" t="str">
        <f t="shared" si="779"/>
        <v>20234</v>
      </c>
      <c r="AQ2574" s="28" t="str">
        <f t="shared" si="780"/>
        <v>20234RMB</v>
      </c>
      <c r="AR2574" s="206" t="str">
        <f t="shared" si="781"/>
        <v>YAMAHA_Mounter</v>
      </c>
      <c r="AS2574" s="22">
        <f t="shared" si="782"/>
        <v>1</v>
      </c>
      <c r="AT2574" s="24" t="str">
        <f t="shared" si="783"/>
        <v>0-3 months</v>
      </c>
    </row>
    <row r="2575" spans="1:46" s="12" customFormat="1">
      <c r="A2575" s="33" t="str">
        <f t="shared" si="770"/>
        <v>FY 21/22</v>
      </c>
      <c r="B2575" s="152">
        <v>2021</v>
      </c>
      <c r="C2575" s="152">
        <v>12</v>
      </c>
      <c r="D2575" s="33" t="str">
        <f t="shared" si="771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72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73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86"/>
        <v>1.13</v>
      </c>
      <c r="Z2575" s="18">
        <f t="shared" si="787"/>
        <v>1310000</v>
      </c>
      <c r="AA2575" s="13">
        <v>1.22</v>
      </c>
      <c r="AB2575" s="21">
        <f t="shared" si="775"/>
        <v>1414336.2831858408</v>
      </c>
      <c r="AC2575" s="130">
        <f t="shared" si="776"/>
        <v>224455.16814159293</v>
      </c>
      <c r="AD2575" s="169">
        <v>0.15870000000000001</v>
      </c>
      <c r="AE2575" s="154">
        <f t="shared" si="777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84"/>
        <v>26407088.359292038</v>
      </c>
      <c r="AJ2575" s="19">
        <f t="shared" si="785"/>
        <v>3424510.6998470789</v>
      </c>
      <c r="AK2575" s="20">
        <f t="shared" si="778"/>
        <v>0.12968149510667554</v>
      </c>
      <c r="AL2575" s="17"/>
      <c r="AM2575" s="17"/>
      <c r="AN2575" s="17"/>
      <c r="AO2575" s="17"/>
      <c r="AP2575" s="28" t="str">
        <f t="shared" si="779"/>
        <v>20221</v>
      </c>
      <c r="AQ2575" s="28" t="str">
        <f t="shared" si="780"/>
        <v>20221RMB</v>
      </c>
      <c r="AR2575" s="206" t="str">
        <f t="shared" si="781"/>
        <v>YAMAHA_Mounter</v>
      </c>
      <c r="AS2575" s="22">
        <f t="shared" si="782"/>
        <v>1</v>
      </c>
      <c r="AT2575" s="24" t="str">
        <f t="shared" si="783"/>
        <v>0-3 months</v>
      </c>
    </row>
    <row r="2576" spans="1:46" s="12" customFormat="1">
      <c r="A2576" s="33" t="str">
        <f t="shared" si="770"/>
        <v>FY 22/23</v>
      </c>
      <c r="B2576" s="152">
        <v>2023</v>
      </c>
      <c r="C2576" s="152">
        <v>2</v>
      </c>
      <c r="D2576" s="33" t="str">
        <f t="shared" si="771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72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73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86"/>
        <v>1.13</v>
      </c>
      <c r="Z2576" s="18">
        <f t="shared" si="787"/>
        <v>1475000</v>
      </c>
      <c r="AA2576" s="13">
        <v>1.135</v>
      </c>
      <c r="AB2576" s="21">
        <f t="shared" si="775"/>
        <v>1481526.5486725664</v>
      </c>
      <c r="AC2576" s="130">
        <f t="shared" si="776"/>
        <v>509052.52212389384</v>
      </c>
      <c r="AD2576" s="169">
        <v>0.34360000000000002</v>
      </c>
      <c r="AE2576" s="154">
        <f t="shared" si="777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84"/>
        <v>28177779.013274338</v>
      </c>
      <c r="AJ2576" s="19">
        <f t="shared" si="785"/>
        <v>4727216.6376190251</v>
      </c>
      <c r="AK2576" s="20">
        <f t="shared" si="778"/>
        <v>0.1677639900359808</v>
      </c>
      <c r="AL2576" s="17"/>
      <c r="AM2576" s="17"/>
      <c r="AN2576" s="17"/>
      <c r="AO2576" s="17"/>
      <c r="AP2576" s="28" t="str">
        <f t="shared" si="779"/>
        <v>20235</v>
      </c>
      <c r="AQ2576" s="28" t="str">
        <f t="shared" si="780"/>
        <v>20235RMB</v>
      </c>
      <c r="AR2576" s="206" t="str">
        <f t="shared" si="781"/>
        <v>YAMAHA_Mounter</v>
      </c>
      <c r="AS2576" s="22">
        <f t="shared" si="782"/>
        <v>3</v>
      </c>
      <c r="AT2576" s="24" t="str">
        <f t="shared" si="783"/>
        <v>0-3 months</v>
      </c>
    </row>
    <row r="2577" spans="1:46" s="12" customFormat="1">
      <c r="A2577" s="33" t="str">
        <f t="shared" si="770"/>
        <v>FY 20/21</v>
      </c>
      <c r="B2577" s="152">
        <v>2020</v>
      </c>
      <c r="C2577" s="152">
        <v>11</v>
      </c>
      <c r="D2577" s="33" t="str">
        <f t="shared" si="771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72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73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86"/>
        <v>1</v>
      </c>
      <c r="Z2577" s="18">
        <f t="shared" si="787"/>
        <v>13500000</v>
      </c>
      <c r="AA2577" s="13">
        <v>7.4499999999999997E-2</v>
      </c>
      <c r="AB2577" s="21">
        <f t="shared" si="775"/>
        <v>1005750</v>
      </c>
      <c r="AC2577" s="130">
        <f t="shared" si="776"/>
        <v>112442.84999999999</v>
      </c>
      <c r="AD2577" s="169">
        <v>0.1118</v>
      </c>
      <c r="AE2577" s="154">
        <f t="shared" si="777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84"/>
        <v>57778307.282035396</v>
      </c>
      <c r="AJ2577" s="19">
        <f t="shared" si="785"/>
        <v>7259860.7225420559</v>
      </c>
      <c r="AK2577" s="20">
        <f t="shared" si="778"/>
        <v>0.12565028406083667</v>
      </c>
      <c r="AL2577" s="17"/>
      <c r="AM2577" s="17"/>
      <c r="AN2577" s="17"/>
      <c r="AO2577" s="17"/>
      <c r="AP2577" s="28" t="str">
        <f t="shared" si="779"/>
        <v>20213</v>
      </c>
      <c r="AQ2577" s="28" t="str">
        <f t="shared" si="780"/>
        <v>20213JPY</v>
      </c>
      <c r="AR2577" s="206" t="str">
        <f t="shared" si="781"/>
        <v>YAMAHA_Mounter</v>
      </c>
      <c r="AS2577" s="22">
        <f t="shared" si="782"/>
        <v>4</v>
      </c>
      <c r="AT2577" s="24" t="str">
        <f t="shared" si="783"/>
        <v>4-6 months</v>
      </c>
    </row>
    <row r="2578" spans="1:46" s="12" customFormat="1">
      <c r="A2578" s="33" t="str">
        <f t="shared" si="770"/>
        <v>FY 21/22</v>
      </c>
      <c r="B2578" s="152">
        <v>2021</v>
      </c>
      <c r="C2578" s="152">
        <v>4</v>
      </c>
      <c r="D2578" s="33" t="str">
        <f t="shared" si="771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72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73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86"/>
        <v>1</v>
      </c>
      <c r="Z2578" s="18">
        <f t="shared" si="787"/>
        <v>14500000</v>
      </c>
      <c r="AA2578" s="13">
        <v>7.0999999999999994E-2</v>
      </c>
      <c r="AB2578" s="21">
        <f t="shared" si="775"/>
        <v>1029499.9999999999</v>
      </c>
      <c r="AC2578" s="130">
        <f t="shared" si="776"/>
        <v>86992.75</v>
      </c>
      <c r="AD2578" s="169">
        <v>8.4500000000000006E-2</v>
      </c>
      <c r="AE2578" s="154">
        <f t="shared" si="777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84"/>
        <v>15533177.71460177</v>
      </c>
      <c r="AJ2578" s="19">
        <f t="shared" si="785"/>
        <v>1819298.5437526547</v>
      </c>
      <c r="AK2578" s="20">
        <f t="shared" si="778"/>
        <v>0.11712339723265033</v>
      </c>
      <c r="AL2578" s="17"/>
      <c r="AM2578" s="17"/>
      <c r="AN2578" s="17"/>
      <c r="AO2578" s="17"/>
      <c r="AP2578" s="28" t="str">
        <f t="shared" si="779"/>
        <v>202110</v>
      </c>
      <c r="AQ2578" s="28" t="str">
        <f t="shared" si="780"/>
        <v>202110JPY</v>
      </c>
      <c r="AR2578" s="206" t="str">
        <f t="shared" si="781"/>
        <v>YAMAHA_Mounter</v>
      </c>
      <c r="AS2578" s="22">
        <f t="shared" si="782"/>
        <v>6</v>
      </c>
      <c r="AT2578" s="24" t="str">
        <f t="shared" si="783"/>
        <v>4-6 months</v>
      </c>
    </row>
    <row r="2579" spans="1:46" s="12" customFormat="1">
      <c r="A2579" s="33" t="str">
        <f t="shared" si="770"/>
        <v>FY 21/22</v>
      </c>
      <c r="B2579" s="152">
        <v>2021</v>
      </c>
      <c r="C2579" s="152">
        <v>4</v>
      </c>
      <c r="D2579" s="33" t="str">
        <f t="shared" si="771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72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73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86"/>
        <v>1</v>
      </c>
      <c r="Z2579" s="18">
        <f t="shared" si="787"/>
        <v>14500000</v>
      </c>
      <c r="AA2579" s="13">
        <v>7.0999999999999994E-2</v>
      </c>
      <c r="AB2579" s="21">
        <f t="shared" si="775"/>
        <v>1029499.9999999999</v>
      </c>
      <c r="AC2579" s="130">
        <f t="shared" si="776"/>
        <v>86992.75</v>
      </c>
      <c r="AD2579" s="169">
        <v>8.4500000000000006E-2</v>
      </c>
      <c r="AE2579" s="154">
        <f t="shared" si="777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84"/>
        <v>15533177.71460177</v>
      </c>
      <c r="AJ2579" s="19">
        <f t="shared" si="785"/>
        <v>1819298.5437526547</v>
      </c>
      <c r="AK2579" s="20">
        <f t="shared" si="778"/>
        <v>0.11712339723265033</v>
      </c>
      <c r="AL2579" s="17"/>
      <c r="AM2579" s="17"/>
      <c r="AN2579" s="17"/>
      <c r="AO2579" s="17"/>
      <c r="AP2579" s="28" t="str">
        <f t="shared" si="779"/>
        <v>202110</v>
      </c>
      <c r="AQ2579" s="28" t="str">
        <f t="shared" si="780"/>
        <v>202110JPY</v>
      </c>
      <c r="AR2579" s="206" t="str">
        <f t="shared" si="781"/>
        <v>YAMAHA_Mounter</v>
      </c>
      <c r="AS2579" s="22">
        <f t="shared" si="782"/>
        <v>6</v>
      </c>
      <c r="AT2579" s="24" t="str">
        <f t="shared" si="783"/>
        <v>4-6 months</v>
      </c>
    </row>
    <row r="2580" spans="1:46" s="12" customFormat="1">
      <c r="A2580" s="33" t="str">
        <f t="shared" si="770"/>
        <v>FY 22/23</v>
      </c>
      <c r="B2580" s="152">
        <v>2022</v>
      </c>
      <c r="C2580" s="152">
        <v>11</v>
      </c>
      <c r="D2580" s="33" t="str">
        <f t="shared" si="771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72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73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86"/>
        <v>1.13</v>
      </c>
      <c r="Z2580" s="18">
        <f t="shared" si="787"/>
        <v>1000000</v>
      </c>
      <c r="AA2580" s="13">
        <v>1.08</v>
      </c>
      <c r="AB2580" s="21">
        <f t="shared" si="775"/>
        <v>955752.21238938067</v>
      </c>
      <c r="AC2580" s="130">
        <f t="shared" si="776"/>
        <v>117461.94690265488</v>
      </c>
      <c r="AD2580" s="169">
        <v>0.1229</v>
      </c>
      <c r="AE2580" s="154">
        <f t="shared" si="777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84"/>
        <v>31017966.201968137</v>
      </c>
      <c r="AJ2580" s="19">
        <f t="shared" si="785"/>
        <v>4704250.3347305888</v>
      </c>
      <c r="AK2580" s="20">
        <f t="shared" si="778"/>
        <v>0.15166211427595458</v>
      </c>
      <c r="AL2580" s="17"/>
      <c r="AM2580" s="17"/>
      <c r="AN2580" s="17"/>
      <c r="AO2580" s="17"/>
      <c r="AP2580" s="28" t="str">
        <f t="shared" si="779"/>
        <v>202211</v>
      </c>
      <c r="AQ2580" s="28" t="str">
        <f t="shared" si="780"/>
        <v>202211RMB</v>
      </c>
      <c r="AR2580" s="206" t="str">
        <f t="shared" si="781"/>
        <v>YAMAHA_Mounter</v>
      </c>
      <c r="AS2580" s="22">
        <f t="shared" si="782"/>
        <v>0</v>
      </c>
      <c r="AT2580" s="24" t="str">
        <f t="shared" si="783"/>
        <v>0-3 months</v>
      </c>
    </row>
    <row r="2581" spans="1:46" s="12" customFormat="1">
      <c r="A2581" s="33" t="str">
        <f t="shared" si="770"/>
        <v>FY 23/24</v>
      </c>
      <c r="B2581" s="23">
        <v>2024</v>
      </c>
      <c r="C2581" s="152">
        <v>3</v>
      </c>
      <c r="D2581" s="33" t="str">
        <f t="shared" si="771"/>
        <v>Q4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4</v>
      </c>
      <c r="H2581" s="29"/>
      <c r="I2581" s="33" t="str">
        <f t="shared" si="772"/>
        <v>Q1</v>
      </c>
      <c r="J2581" s="188" t="s">
        <v>3361</v>
      </c>
      <c r="K2581" s="29" t="s">
        <v>1551</v>
      </c>
      <c r="L2581" s="17" t="s">
        <v>93</v>
      </c>
      <c r="M2581" s="22" t="s">
        <v>61</v>
      </c>
      <c r="N2581" s="22">
        <v>1</v>
      </c>
      <c r="O2581" s="22"/>
      <c r="P2581" s="33" t="str">
        <f t="shared" si="773"/>
        <v>MAIN UNIT</v>
      </c>
      <c r="Q2581" s="13" t="s">
        <v>62</v>
      </c>
      <c r="R2581" s="22" t="s">
        <v>63</v>
      </c>
      <c r="S2581" s="22" t="s">
        <v>50</v>
      </c>
      <c r="T2581" s="22" t="s">
        <v>79</v>
      </c>
      <c r="U2581" s="22" t="s">
        <v>79</v>
      </c>
      <c r="V2581" s="22" t="s">
        <v>132</v>
      </c>
      <c r="W2581" s="22" t="s">
        <v>110</v>
      </c>
      <c r="X2581" s="30">
        <v>15550000</v>
      </c>
      <c r="Y2581" s="31" t="str">
        <f>IF(W2581="","",IF(W2581="RMB","1.13", "1"))</f>
        <v>1</v>
      </c>
      <c r="Z2581" s="18">
        <v>15500000</v>
      </c>
      <c r="AA2581" s="13">
        <v>5.2699999999999997E-2</v>
      </c>
      <c r="AB2581" s="21">
        <f t="shared" si="775"/>
        <v>816850</v>
      </c>
      <c r="AC2581" s="25">
        <f t="shared" si="776"/>
        <v>107415.77500000001</v>
      </c>
      <c r="AD2581" s="169">
        <v>0.13150000000000001</v>
      </c>
      <c r="AE2581" s="26">
        <f t="shared" si="777"/>
        <v>0</v>
      </c>
      <c r="AF2581" s="26" t="str">
        <f>IF(AND(COUNTIFS($J$18:J2581,J2581)=1,AE2581=1),1,"")</f>
        <v/>
      </c>
      <c r="AG2581" s="26">
        <f>IF(C2581="","",IF(AND(COUNTIFS($J$18:J2581,J2581)=1,C2581&lt;&gt;""),1,""))</f>
        <v>1</v>
      </c>
      <c r="AH2581" s="26">
        <f>IF(G2581="","",IF(AND(COUNTIFS($J$18:J2581,J2581)=1,G2581&lt;&gt;""),1,""))</f>
        <v>1</v>
      </c>
      <c r="AI2581" s="27">
        <f t="shared" si="784"/>
        <v>20319282.700884953</v>
      </c>
      <c r="AJ2581" s="27">
        <f t="shared" si="785"/>
        <v>2408851.9638623013</v>
      </c>
      <c r="AK2581" s="28">
        <f t="shared" si="778"/>
        <v>0.11855004919821259</v>
      </c>
      <c r="AL2581" s="24"/>
      <c r="AM2581" s="24"/>
      <c r="AN2581" s="24"/>
      <c r="AO2581" s="24"/>
      <c r="AP2581" s="28" t="str">
        <f t="shared" si="779"/>
        <v>20244</v>
      </c>
      <c r="AQ2581" s="28" t="str">
        <f t="shared" si="780"/>
        <v>20244JPY</v>
      </c>
      <c r="AR2581" s="206" t="str">
        <f t="shared" si="781"/>
        <v>YAMAHA_Mounter</v>
      </c>
      <c r="AS2581" s="22">
        <f t="shared" si="782"/>
        <v>1</v>
      </c>
      <c r="AT2581" s="24" t="str">
        <f t="shared" si="783"/>
        <v>0-3 months</v>
      </c>
    </row>
    <row r="2582" spans="1:46" s="12" customFormat="1">
      <c r="A2582" s="33" t="str">
        <f t="shared" si="770"/>
        <v>FY 23/24</v>
      </c>
      <c r="B2582" s="152">
        <v>2023</v>
      </c>
      <c r="C2582" s="152">
        <v>4</v>
      </c>
      <c r="D2582" s="33" t="str">
        <f t="shared" si="771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72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si="773"/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88">IF(W2582="RMB","1.13", "1")</f>
        <v>1.13</v>
      </c>
      <c r="Z2582" s="18">
        <f t="shared" ref="Z2582:Z2645" si="789">IF(X2582="","",X2582*MAX(O2582,N2582))</f>
        <v>822900</v>
      </c>
      <c r="AA2582" s="13">
        <v>1.1399999999999999</v>
      </c>
      <c r="AB2582" s="21">
        <f t="shared" si="775"/>
        <v>830182.30088495568</v>
      </c>
      <c r="AC2582" s="130">
        <f t="shared" si="776"/>
        <v>88663.469734513274</v>
      </c>
      <c r="AD2582" s="169">
        <v>0.10680000000000001</v>
      </c>
      <c r="AE2582" s="154">
        <f t="shared" si="777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84"/>
        <v>30573205.452778768</v>
      </c>
      <c r="AJ2582" s="19">
        <f t="shared" si="785"/>
        <v>3790930.1683151261</v>
      </c>
      <c r="AK2582" s="20">
        <f t="shared" si="778"/>
        <v>0.12399518179964254</v>
      </c>
      <c r="AL2582" s="17"/>
      <c r="AM2582" s="17"/>
      <c r="AN2582" s="17"/>
      <c r="AO2582" s="17"/>
      <c r="AP2582" s="28" t="str">
        <f t="shared" si="779"/>
        <v>20234</v>
      </c>
      <c r="AQ2582" s="28" t="str">
        <f t="shared" si="780"/>
        <v>20234RMB</v>
      </c>
      <c r="AR2582" s="206" t="str">
        <f t="shared" si="781"/>
        <v>YAMAHA_Mounter</v>
      </c>
      <c r="AS2582" s="22">
        <f t="shared" si="782"/>
        <v>0</v>
      </c>
      <c r="AT2582" s="24" t="str">
        <f t="shared" si="783"/>
        <v>0-3 months</v>
      </c>
    </row>
    <row r="2583" spans="1:46" s="12" customFormat="1">
      <c r="A2583" s="33" t="str">
        <f t="shared" si="770"/>
        <v>FY 23/24</v>
      </c>
      <c r="B2583" s="152">
        <v>2023</v>
      </c>
      <c r="C2583" s="152">
        <v>4</v>
      </c>
      <c r="D2583" s="33" t="str">
        <f t="shared" si="771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72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3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88"/>
        <v>1.13</v>
      </c>
      <c r="Z2583" s="18">
        <f t="shared" si="789"/>
        <v>822900</v>
      </c>
      <c r="AA2583" s="13">
        <v>1.1399999999999999</v>
      </c>
      <c r="AB2583" s="21">
        <f t="shared" si="775"/>
        <v>830182.30088495568</v>
      </c>
      <c r="AC2583" s="130">
        <f t="shared" si="776"/>
        <v>88663.469734513274</v>
      </c>
      <c r="AD2583" s="169">
        <v>0.10680000000000001</v>
      </c>
      <c r="AE2583" s="154">
        <f t="shared" si="777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84"/>
        <v>30573205.452778768</v>
      </c>
      <c r="AJ2583" s="19">
        <f t="shared" si="785"/>
        <v>3790930.1683151261</v>
      </c>
      <c r="AK2583" s="20">
        <f t="shared" si="778"/>
        <v>0.12399518179964254</v>
      </c>
      <c r="AL2583" s="17"/>
      <c r="AM2583" s="17"/>
      <c r="AN2583" s="17"/>
      <c r="AO2583" s="17"/>
      <c r="AP2583" s="28" t="str">
        <f t="shared" si="779"/>
        <v>20234</v>
      </c>
      <c r="AQ2583" s="28" t="str">
        <f t="shared" si="780"/>
        <v>20234RMB</v>
      </c>
      <c r="AR2583" s="206" t="str">
        <f t="shared" si="781"/>
        <v>YAMAHA_Mounter</v>
      </c>
      <c r="AS2583" s="22">
        <f t="shared" si="782"/>
        <v>0</v>
      </c>
      <c r="AT2583" s="24" t="str">
        <f t="shared" si="783"/>
        <v>0-3 months</v>
      </c>
    </row>
    <row r="2584" spans="1:46" s="12" customFormat="1">
      <c r="A2584" s="33" t="str">
        <f t="shared" si="770"/>
        <v>FY 23/24</v>
      </c>
      <c r="B2584" s="152">
        <v>2023</v>
      </c>
      <c r="C2584" s="152">
        <v>4</v>
      </c>
      <c r="D2584" s="33" t="str">
        <f t="shared" si="771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72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3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88"/>
        <v>1.13</v>
      </c>
      <c r="Z2584" s="18">
        <f t="shared" si="789"/>
        <v>601000</v>
      </c>
      <c r="AA2584" s="13">
        <v>1.1399999999999999</v>
      </c>
      <c r="AB2584" s="21">
        <f t="shared" si="775"/>
        <v>606318.58407079638</v>
      </c>
      <c r="AC2584" s="130">
        <f t="shared" si="776"/>
        <v>64754.82477876106</v>
      </c>
      <c r="AD2584" s="169">
        <v>0.10680000000000001</v>
      </c>
      <c r="AE2584" s="154">
        <f t="shared" si="777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84"/>
        <v>30573205.452778768</v>
      </c>
      <c r="AJ2584" s="19">
        <f t="shared" si="785"/>
        <v>3790930.1683151261</v>
      </c>
      <c r="AK2584" s="20">
        <f t="shared" si="778"/>
        <v>0.12399518179964254</v>
      </c>
      <c r="AL2584" s="17"/>
      <c r="AM2584" s="17"/>
      <c r="AN2584" s="17"/>
      <c r="AO2584" s="17"/>
      <c r="AP2584" s="28" t="str">
        <f t="shared" si="779"/>
        <v>20234</v>
      </c>
      <c r="AQ2584" s="28" t="str">
        <f t="shared" si="780"/>
        <v>20234RMB</v>
      </c>
      <c r="AR2584" s="206" t="str">
        <f t="shared" si="781"/>
        <v>YAMAHA_Mounter</v>
      </c>
      <c r="AS2584" s="22">
        <f t="shared" si="782"/>
        <v>0</v>
      </c>
      <c r="AT2584" s="24" t="str">
        <f t="shared" si="783"/>
        <v>0-3 months</v>
      </c>
    </row>
    <row r="2585" spans="1:46" s="12" customFormat="1">
      <c r="A2585" s="33" t="str">
        <f t="shared" si="770"/>
        <v>FY 23/24</v>
      </c>
      <c r="B2585" s="152">
        <v>2023</v>
      </c>
      <c r="C2585" s="152">
        <v>4</v>
      </c>
      <c r="D2585" s="33" t="str">
        <f t="shared" si="771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72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3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88"/>
        <v>1.13</v>
      </c>
      <c r="Z2585" s="18">
        <f t="shared" si="789"/>
        <v>601000</v>
      </c>
      <c r="AA2585" s="13">
        <v>1.1399999999999999</v>
      </c>
      <c r="AB2585" s="21">
        <f t="shared" si="775"/>
        <v>606318.58407079638</v>
      </c>
      <c r="AC2585" s="130">
        <f t="shared" si="776"/>
        <v>64754.82477876106</v>
      </c>
      <c r="AD2585" s="169">
        <v>0.10680000000000001</v>
      </c>
      <c r="AE2585" s="154">
        <f t="shared" si="777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84"/>
        <v>30573205.452778768</v>
      </c>
      <c r="AJ2585" s="19">
        <f t="shared" si="785"/>
        <v>3790930.1683151261</v>
      </c>
      <c r="AK2585" s="20">
        <f t="shared" si="778"/>
        <v>0.12399518179964254</v>
      </c>
      <c r="AL2585" s="17"/>
      <c r="AM2585" s="17"/>
      <c r="AN2585" s="17"/>
      <c r="AO2585" s="17"/>
      <c r="AP2585" s="28" t="str">
        <f t="shared" si="779"/>
        <v>20234</v>
      </c>
      <c r="AQ2585" s="28" t="str">
        <f t="shared" si="780"/>
        <v>20234RMB</v>
      </c>
      <c r="AR2585" s="206" t="str">
        <f t="shared" si="781"/>
        <v>YAMAHA_Mounter</v>
      </c>
      <c r="AS2585" s="22">
        <f t="shared" si="782"/>
        <v>0</v>
      </c>
      <c r="AT2585" s="24" t="str">
        <f t="shared" si="783"/>
        <v>0-3 months</v>
      </c>
    </row>
    <row r="2586" spans="1:46" s="12" customFormat="1">
      <c r="A2586" s="33" t="str">
        <f t="shared" si="770"/>
        <v>FY 21/22</v>
      </c>
      <c r="B2586" s="152">
        <v>2021</v>
      </c>
      <c r="C2586" s="152">
        <v>6</v>
      </c>
      <c r="D2586" s="33" t="str">
        <f t="shared" si="771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72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3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88"/>
        <v>1.13</v>
      </c>
      <c r="Z2586" s="18">
        <f t="shared" si="789"/>
        <v>529000</v>
      </c>
      <c r="AA2586" s="13">
        <v>1.22</v>
      </c>
      <c r="AB2586" s="21">
        <f t="shared" si="775"/>
        <v>571132.74336283188</v>
      </c>
      <c r="AC2586" s="130">
        <f t="shared" si="776"/>
        <v>72590.971681415933</v>
      </c>
      <c r="AD2586" s="169">
        <v>0.12709999999999999</v>
      </c>
      <c r="AE2586" s="154">
        <f t="shared" si="777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84"/>
        <v>46600814.041769907</v>
      </c>
      <c r="AJ2586" s="19">
        <f t="shared" si="785"/>
        <v>5956366.3435927071</v>
      </c>
      <c r="AK2586" s="20">
        <f t="shared" si="778"/>
        <v>0.1278167874546958</v>
      </c>
      <c r="AL2586" s="17"/>
      <c r="AM2586" s="17"/>
      <c r="AN2586" s="17"/>
      <c r="AO2586" s="17"/>
      <c r="AP2586" s="28" t="str">
        <f t="shared" si="779"/>
        <v>20224</v>
      </c>
      <c r="AQ2586" s="28" t="str">
        <f t="shared" si="780"/>
        <v>20224RMB</v>
      </c>
      <c r="AR2586" s="206" t="str">
        <f t="shared" si="781"/>
        <v>YAMAHA_Mounter</v>
      </c>
      <c r="AS2586" s="22">
        <f t="shared" si="782"/>
        <v>10</v>
      </c>
      <c r="AT2586" s="24" t="str">
        <f t="shared" si="783"/>
        <v>&gt; 6 months</v>
      </c>
    </row>
    <row r="2587" spans="1:46" s="12" customFormat="1">
      <c r="A2587" s="33" t="str">
        <f t="shared" si="770"/>
        <v>FY 22/23</v>
      </c>
      <c r="B2587" s="152">
        <v>2023</v>
      </c>
      <c r="C2587" s="152">
        <v>3</v>
      </c>
      <c r="D2587" s="33" t="str">
        <f t="shared" si="771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72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3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88"/>
        <v>1.13</v>
      </c>
      <c r="Z2587" s="18">
        <f t="shared" si="789"/>
        <v>460000</v>
      </c>
      <c r="AA2587" s="13">
        <v>1.1299999999999999</v>
      </c>
      <c r="AB2587" s="21">
        <f t="shared" si="775"/>
        <v>460000</v>
      </c>
      <c r="AC2587" s="130">
        <f t="shared" si="776"/>
        <v>51060</v>
      </c>
      <c r="AD2587" s="169">
        <v>0.111</v>
      </c>
      <c r="AE2587" s="154">
        <f t="shared" si="777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84"/>
        <v>33543315.897345133</v>
      </c>
      <c r="AJ2587" s="19">
        <f t="shared" si="785"/>
        <v>4706169.3252984071</v>
      </c>
      <c r="AK2587" s="20">
        <f t="shared" si="778"/>
        <v>0.14030125523967318</v>
      </c>
      <c r="AL2587" s="17"/>
      <c r="AM2587" s="17"/>
      <c r="AN2587" s="17"/>
      <c r="AO2587" s="17"/>
      <c r="AP2587" s="28" t="str">
        <f t="shared" si="779"/>
        <v>20233</v>
      </c>
      <c r="AQ2587" s="28" t="str">
        <f t="shared" si="780"/>
        <v>20233RMB</v>
      </c>
      <c r="AR2587" s="206" t="str">
        <f t="shared" si="781"/>
        <v>YAMAHA_Mounter</v>
      </c>
      <c r="AS2587" s="22">
        <f t="shared" si="782"/>
        <v>0</v>
      </c>
      <c r="AT2587" s="24" t="str">
        <f t="shared" si="783"/>
        <v>0-3 months</v>
      </c>
    </row>
    <row r="2588" spans="1:46" s="12" customFormat="1">
      <c r="A2588" s="33" t="str">
        <f t="shared" si="770"/>
        <v>FY 22/23</v>
      </c>
      <c r="B2588" s="152">
        <v>2023</v>
      </c>
      <c r="C2588" s="152">
        <v>3</v>
      </c>
      <c r="D2588" s="33" t="str">
        <f t="shared" si="771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72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3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88"/>
        <v>1.13</v>
      </c>
      <c r="Z2588" s="18">
        <f t="shared" si="789"/>
        <v>510000</v>
      </c>
      <c r="AA2588" s="13">
        <v>1.1299999999999999</v>
      </c>
      <c r="AB2588" s="21">
        <f t="shared" si="775"/>
        <v>509999.99999999994</v>
      </c>
      <c r="AC2588" s="130">
        <f t="shared" si="776"/>
        <v>55232.999999999993</v>
      </c>
      <c r="AD2588" s="169">
        <v>0.10829999999999999</v>
      </c>
      <c r="AE2588" s="154">
        <f t="shared" si="777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84"/>
        <v>33543315.897345133</v>
      </c>
      <c r="AJ2588" s="19">
        <f t="shared" si="785"/>
        <v>4706169.3252984071</v>
      </c>
      <c r="AK2588" s="20">
        <f t="shared" si="778"/>
        <v>0.14030125523967318</v>
      </c>
      <c r="AL2588" s="17"/>
      <c r="AM2588" s="17"/>
      <c r="AN2588" s="17"/>
      <c r="AO2588" s="17"/>
      <c r="AP2588" s="28" t="str">
        <f t="shared" si="779"/>
        <v>20233</v>
      </c>
      <c r="AQ2588" s="28" t="str">
        <f t="shared" si="780"/>
        <v>20233RMB</v>
      </c>
      <c r="AR2588" s="206" t="str">
        <f t="shared" si="781"/>
        <v>YAMAHA_Mounter</v>
      </c>
      <c r="AS2588" s="22">
        <f t="shared" si="782"/>
        <v>0</v>
      </c>
      <c r="AT2588" s="24" t="str">
        <f t="shared" si="783"/>
        <v>0-3 months</v>
      </c>
    </row>
    <row r="2589" spans="1:46" s="12" customFormat="1">
      <c r="A2589" s="33" t="str">
        <f t="shared" si="770"/>
        <v>FY 22/23</v>
      </c>
      <c r="B2589" s="152">
        <v>2022</v>
      </c>
      <c r="C2589" s="152">
        <v>5</v>
      </c>
      <c r="D2589" s="33" t="str">
        <f t="shared" si="771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72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3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88"/>
        <v>1.13</v>
      </c>
      <c r="Z2589" s="18">
        <f t="shared" si="789"/>
        <v>900000</v>
      </c>
      <c r="AA2589" s="13">
        <v>1.163</v>
      </c>
      <c r="AB2589" s="21">
        <f t="shared" si="775"/>
        <v>926283.18584070809</v>
      </c>
      <c r="AC2589" s="130">
        <f t="shared" si="776"/>
        <v>132921.63716814161</v>
      </c>
      <c r="AD2589" s="169">
        <v>0.14349999999999999</v>
      </c>
      <c r="AE2589" s="154">
        <f t="shared" si="777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84"/>
        <v>35073581.838938057</v>
      </c>
      <c r="AJ2589" s="19">
        <f t="shared" si="785"/>
        <v>5034113.9728989396</v>
      </c>
      <c r="AK2589" s="20">
        <f t="shared" si="778"/>
        <v>0.14353007902118958</v>
      </c>
      <c r="AL2589" s="17"/>
      <c r="AM2589" s="17"/>
      <c r="AN2589" s="17"/>
      <c r="AO2589" s="17"/>
      <c r="AP2589" s="28" t="str">
        <f t="shared" si="779"/>
        <v>20228</v>
      </c>
      <c r="AQ2589" s="28" t="str">
        <f t="shared" si="780"/>
        <v>20228RMB</v>
      </c>
      <c r="AR2589" s="206" t="str">
        <f t="shared" si="781"/>
        <v>YAMAHA_Mounter</v>
      </c>
      <c r="AS2589" s="22">
        <f t="shared" si="782"/>
        <v>3</v>
      </c>
      <c r="AT2589" s="24" t="str">
        <f t="shared" si="783"/>
        <v>0-3 months</v>
      </c>
    </row>
    <row r="2590" spans="1:46" s="12" customFormat="1">
      <c r="A2590" s="33" t="str">
        <f t="shared" si="770"/>
        <v>FY 22/23</v>
      </c>
      <c r="B2590" s="152">
        <v>2022</v>
      </c>
      <c r="C2590" s="152">
        <v>5</v>
      </c>
      <c r="D2590" s="33" t="str">
        <f t="shared" si="771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72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3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88"/>
        <v>1.13</v>
      </c>
      <c r="Z2590" s="18">
        <f t="shared" si="789"/>
        <v>665000</v>
      </c>
      <c r="AA2590" s="13">
        <v>1.163</v>
      </c>
      <c r="AB2590" s="21">
        <f t="shared" si="775"/>
        <v>684420.35398230096</v>
      </c>
      <c r="AC2590" s="130">
        <f t="shared" si="776"/>
        <v>98214.320796460175</v>
      </c>
      <c r="AD2590" s="169">
        <v>0.14349999999999999</v>
      </c>
      <c r="AE2590" s="154">
        <f t="shared" si="777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84"/>
        <v>35073581.838938057</v>
      </c>
      <c r="AJ2590" s="19">
        <f t="shared" si="785"/>
        <v>5034113.9728989396</v>
      </c>
      <c r="AK2590" s="20">
        <f t="shared" si="778"/>
        <v>0.14353007902118958</v>
      </c>
      <c r="AL2590" s="17"/>
      <c r="AM2590" s="17"/>
      <c r="AN2590" s="17"/>
      <c r="AO2590" s="17"/>
      <c r="AP2590" s="28" t="str">
        <f t="shared" si="779"/>
        <v>20228</v>
      </c>
      <c r="AQ2590" s="28" t="str">
        <f t="shared" si="780"/>
        <v>20228RMB</v>
      </c>
      <c r="AR2590" s="206" t="str">
        <f t="shared" si="781"/>
        <v>YAMAHA_Mounter</v>
      </c>
      <c r="AS2590" s="22">
        <f t="shared" si="782"/>
        <v>3</v>
      </c>
      <c r="AT2590" s="24" t="str">
        <f t="shared" si="783"/>
        <v>0-3 months</v>
      </c>
    </row>
    <row r="2591" spans="1:46" s="12" customFormat="1">
      <c r="A2591" s="33" t="str">
        <f t="shared" si="770"/>
        <v>FY 20/21</v>
      </c>
      <c r="B2591" s="152">
        <v>2020</v>
      </c>
      <c r="C2591" s="152">
        <v>4</v>
      </c>
      <c r="D2591" s="33" t="str">
        <f t="shared" si="771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72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3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89"/>
        <v>1000000</v>
      </c>
      <c r="AA2591" s="13">
        <v>1.089</v>
      </c>
      <c r="AB2591" s="21">
        <f t="shared" si="775"/>
        <v>963716.81415929215</v>
      </c>
      <c r="AC2591" s="130">
        <f t="shared" si="776"/>
        <v>80759.469026548686</v>
      </c>
      <c r="AD2591" s="169">
        <v>8.3799999999999999E-2</v>
      </c>
      <c r="AE2591" s="154">
        <f t="shared" si="777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84"/>
        <v>29183109.05575221</v>
      </c>
      <c r="AJ2591" s="19">
        <f t="shared" si="785"/>
        <v>3741266.5648721238</v>
      </c>
      <c r="AK2591" s="20">
        <f t="shared" si="778"/>
        <v>0.12819972531798121</v>
      </c>
      <c r="AL2591" s="17"/>
      <c r="AM2591" s="17"/>
      <c r="AN2591" s="17"/>
      <c r="AO2591" s="17"/>
      <c r="AP2591" s="28" t="str">
        <f t="shared" si="779"/>
        <v>20206</v>
      </c>
      <c r="AQ2591" s="28" t="str">
        <f t="shared" si="780"/>
        <v>20206RMB</v>
      </c>
      <c r="AR2591" s="206" t="str">
        <f t="shared" si="781"/>
        <v>YAMAHA_Mounter</v>
      </c>
      <c r="AS2591" s="22">
        <f t="shared" si="782"/>
        <v>2</v>
      </c>
      <c r="AT2591" s="24" t="str">
        <f t="shared" si="783"/>
        <v>0-3 months</v>
      </c>
    </row>
    <row r="2592" spans="1:46" s="12" customFormat="1">
      <c r="A2592" s="33" t="str">
        <f t="shared" si="770"/>
        <v>FY 20/21</v>
      </c>
      <c r="B2592" s="152">
        <v>2020</v>
      </c>
      <c r="C2592" s="152">
        <v>4</v>
      </c>
      <c r="D2592" s="33" t="str">
        <f t="shared" si="771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72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3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89"/>
        <v>899000</v>
      </c>
      <c r="AA2592" s="13">
        <v>1.089</v>
      </c>
      <c r="AB2592" s="21">
        <f t="shared" si="775"/>
        <v>866381.41592920362</v>
      </c>
      <c r="AC2592" s="130">
        <f t="shared" si="776"/>
        <v>72602.762654867256</v>
      </c>
      <c r="AD2592" s="169">
        <v>8.3799999999999999E-2</v>
      </c>
      <c r="AE2592" s="154">
        <f t="shared" si="777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84"/>
        <v>29183109.05575221</v>
      </c>
      <c r="AJ2592" s="19">
        <f t="shared" si="785"/>
        <v>3741266.5648721238</v>
      </c>
      <c r="AK2592" s="20">
        <f t="shared" si="778"/>
        <v>0.12819972531798121</v>
      </c>
      <c r="AL2592" s="17"/>
      <c r="AM2592" s="17"/>
      <c r="AN2592" s="17"/>
      <c r="AO2592" s="17"/>
      <c r="AP2592" s="28" t="str">
        <f t="shared" si="779"/>
        <v>20206</v>
      </c>
      <c r="AQ2592" s="28" t="str">
        <f t="shared" si="780"/>
        <v>20206RMB</v>
      </c>
      <c r="AR2592" s="206" t="str">
        <f t="shared" si="781"/>
        <v>YAMAHA_Mounter</v>
      </c>
      <c r="AS2592" s="22">
        <f t="shared" si="782"/>
        <v>2</v>
      </c>
      <c r="AT2592" s="24" t="str">
        <f t="shared" si="783"/>
        <v>0-3 months</v>
      </c>
    </row>
    <row r="2593" spans="1:46" s="12" customFormat="1">
      <c r="A2593" s="33" t="str">
        <f t="shared" si="770"/>
        <v>FY 19/20</v>
      </c>
      <c r="B2593" s="152">
        <v>2019</v>
      </c>
      <c r="C2593" s="152">
        <v>11</v>
      </c>
      <c r="D2593" s="33" t="str">
        <f t="shared" si="771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72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3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89"/>
        <v>530000</v>
      </c>
      <c r="AA2593" s="13">
        <v>1.1100000000000001</v>
      </c>
      <c r="AB2593" s="21">
        <f t="shared" si="775"/>
        <v>520619.46902654879</v>
      </c>
      <c r="AC2593" s="130">
        <f t="shared" si="776"/>
        <v>62786.707964601781</v>
      </c>
      <c r="AD2593" s="169">
        <v>0.1206</v>
      </c>
      <c r="AE2593" s="154">
        <f t="shared" si="777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84"/>
        <v>26147030.909862842</v>
      </c>
      <c r="AJ2593" s="19">
        <f t="shared" si="785"/>
        <v>2743862.8630715334</v>
      </c>
      <c r="AK2593" s="20">
        <f t="shared" si="778"/>
        <v>0.10493974908778378</v>
      </c>
      <c r="AL2593" s="17"/>
      <c r="AM2593" s="17"/>
      <c r="AN2593" s="17"/>
      <c r="AO2593" s="17"/>
      <c r="AP2593" s="28" t="str">
        <f t="shared" si="779"/>
        <v>201911</v>
      </c>
      <c r="AQ2593" s="28" t="str">
        <f t="shared" si="780"/>
        <v>201911RMB</v>
      </c>
      <c r="AR2593" s="206" t="str">
        <f t="shared" si="781"/>
        <v>YAMAHA_Mounter</v>
      </c>
      <c r="AS2593" s="22">
        <f t="shared" si="782"/>
        <v>0</v>
      </c>
      <c r="AT2593" s="24" t="str">
        <f t="shared" si="783"/>
        <v>0-3 months</v>
      </c>
    </row>
    <row r="2594" spans="1:46" s="12" customFormat="1">
      <c r="A2594" s="33" t="str">
        <f t="shared" si="770"/>
        <v>FY 19/20</v>
      </c>
      <c r="B2594" s="152">
        <v>2019</v>
      </c>
      <c r="C2594" s="152">
        <v>11</v>
      </c>
      <c r="D2594" s="33" t="str">
        <f t="shared" si="771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72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3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89"/>
        <v>530000</v>
      </c>
      <c r="AA2594" s="13">
        <v>1.1100000000000001</v>
      </c>
      <c r="AB2594" s="21">
        <f t="shared" si="775"/>
        <v>520619.46902654879</v>
      </c>
      <c r="AC2594" s="130">
        <f t="shared" si="776"/>
        <v>62786.707964601781</v>
      </c>
      <c r="AD2594" s="169">
        <v>0.1206</v>
      </c>
      <c r="AE2594" s="154">
        <f t="shared" si="777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84"/>
        <v>26147030.909862842</v>
      </c>
      <c r="AJ2594" s="19">
        <f t="shared" si="785"/>
        <v>2743862.8630715334</v>
      </c>
      <c r="AK2594" s="20">
        <f t="shared" si="778"/>
        <v>0.10493974908778378</v>
      </c>
      <c r="AL2594" s="17"/>
      <c r="AM2594" s="17"/>
      <c r="AN2594" s="17"/>
      <c r="AO2594" s="17"/>
      <c r="AP2594" s="28" t="str">
        <f t="shared" si="779"/>
        <v>201911</v>
      </c>
      <c r="AQ2594" s="28" t="str">
        <f t="shared" si="780"/>
        <v>201911RMB</v>
      </c>
      <c r="AR2594" s="206" t="str">
        <f t="shared" si="781"/>
        <v>YAMAHA_Mounter</v>
      </c>
      <c r="AS2594" s="22">
        <f t="shared" si="782"/>
        <v>0</v>
      </c>
      <c r="AT2594" s="24" t="str">
        <f t="shared" si="783"/>
        <v>0-3 months</v>
      </c>
    </row>
    <row r="2595" spans="1:46" s="12" customFormat="1">
      <c r="A2595" s="33" t="str">
        <f t="shared" si="770"/>
        <v>FY 17/18</v>
      </c>
      <c r="B2595" s="152">
        <v>2018</v>
      </c>
      <c r="C2595" s="152">
        <v>2</v>
      </c>
      <c r="D2595" s="33" t="str">
        <f t="shared" si="771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72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3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89"/>
        <v>12280000</v>
      </c>
      <c r="AA2595" s="13">
        <v>7.0400000000000004E-2</v>
      </c>
      <c r="AB2595" s="21">
        <f t="shared" si="775"/>
        <v>864512</v>
      </c>
      <c r="AC2595" s="130">
        <f t="shared" si="776"/>
        <v>96738.892800000001</v>
      </c>
      <c r="AD2595" s="169">
        <v>0.1119</v>
      </c>
      <c r="AE2595" s="154">
        <f t="shared" si="777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84"/>
        <v>29840797.698275864</v>
      </c>
      <c r="AJ2595" s="19">
        <f t="shared" si="785"/>
        <v>3940167.6555448272</v>
      </c>
      <c r="AK2595" s="20">
        <f t="shared" si="778"/>
        <v>0.13203962224416277</v>
      </c>
      <c r="AL2595" s="17"/>
      <c r="AM2595" s="17"/>
      <c r="AN2595" s="17"/>
      <c r="AO2595" s="17"/>
      <c r="AP2595" s="28" t="str">
        <f t="shared" si="779"/>
        <v>201812</v>
      </c>
      <c r="AQ2595" s="28" t="str">
        <f t="shared" si="780"/>
        <v>201812JPY</v>
      </c>
      <c r="AR2595" s="206" t="str">
        <f t="shared" si="781"/>
        <v>YAMAHA_Mounter</v>
      </c>
      <c r="AS2595" s="22">
        <f t="shared" si="782"/>
        <v>10</v>
      </c>
      <c r="AT2595" s="24" t="str">
        <f t="shared" si="783"/>
        <v>&gt; 6 months</v>
      </c>
    </row>
    <row r="2596" spans="1:46" s="12" customFormat="1">
      <c r="A2596" s="33" t="str">
        <f t="shared" si="770"/>
        <v>FY 20/21</v>
      </c>
      <c r="B2596" s="152">
        <v>2021</v>
      </c>
      <c r="C2596" s="152">
        <v>3</v>
      </c>
      <c r="D2596" s="33" t="str">
        <f t="shared" si="771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72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3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89"/>
        <v>7300000</v>
      </c>
      <c r="AA2596" s="13">
        <v>6.9199999999999998E-2</v>
      </c>
      <c r="AB2596" s="21">
        <f t="shared" si="775"/>
        <v>505160</v>
      </c>
      <c r="AC2596" s="130">
        <f t="shared" si="776"/>
        <v>45919.043999999994</v>
      </c>
      <c r="AD2596" s="169">
        <v>9.0899999999999995E-2</v>
      </c>
      <c r="AE2596" s="154">
        <f t="shared" si="777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84"/>
        <v>31750699.113741599</v>
      </c>
      <c r="AJ2596" s="19">
        <f t="shared" si="785"/>
        <v>4396077.3195289988</v>
      </c>
      <c r="AK2596" s="20">
        <f t="shared" si="778"/>
        <v>0.13845607946397598</v>
      </c>
      <c r="AL2596" s="17"/>
      <c r="AM2596" s="17"/>
      <c r="AN2596" s="17"/>
      <c r="AO2596" s="17"/>
      <c r="AP2596" s="28" t="str">
        <f t="shared" si="779"/>
        <v>20222</v>
      </c>
      <c r="AQ2596" s="28" t="str">
        <f t="shared" si="780"/>
        <v>20222JPY</v>
      </c>
      <c r="AR2596" s="206" t="str">
        <f t="shared" si="781"/>
        <v>YAMAHA_Mounter</v>
      </c>
      <c r="AS2596" s="22">
        <f t="shared" si="782"/>
        <v>11</v>
      </c>
      <c r="AT2596" s="24" t="str">
        <f t="shared" si="783"/>
        <v>&gt; 6 months</v>
      </c>
    </row>
    <row r="2597" spans="1:46" s="12" customFormat="1">
      <c r="A2597" s="33" t="str">
        <f t="shared" si="770"/>
        <v>FY 18/19</v>
      </c>
      <c r="B2597" s="152">
        <v>2018</v>
      </c>
      <c r="C2597" s="152">
        <v>8</v>
      </c>
      <c r="D2597" s="33" t="str">
        <f t="shared" si="771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72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3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89"/>
        <v>10100000</v>
      </c>
      <c r="AA2597" s="13">
        <v>7.0400000000000004E-2</v>
      </c>
      <c r="AB2597" s="21">
        <f t="shared" si="775"/>
        <v>711040</v>
      </c>
      <c r="AC2597" s="130">
        <f t="shared" si="776"/>
        <v>114690.75199999999</v>
      </c>
      <c r="AD2597" s="169">
        <v>0.1613</v>
      </c>
      <c r="AE2597" s="154">
        <f t="shared" si="777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84"/>
        <v>29840797.698275864</v>
      </c>
      <c r="AJ2597" s="19">
        <f t="shared" si="785"/>
        <v>3940167.6555448272</v>
      </c>
      <c r="AK2597" s="20">
        <f t="shared" si="778"/>
        <v>0.13203962224416277</v>
      </c>
      <c r="AL2597" s="17"/>
      <c r="AM2597" s="17"/>
      <c r="AN2597" s="17"/>
      <c r="AO2597" s="17"/>
      <c r="AP2597" s="28" t="str">
        <f t="shared" si="779"/>
        <v>201812</v>
      </c>
      <c r="AQ2597" s="28" t="str">
        <f t="shared" si="780"/>
        <v>201812JPY</v>
      </c>
      <c r="AR2597" s="206" t="str">
        <f t="shared" si="781"/>
        <v>YAMAHA_Mounter</v>
      </c>
      <c r="AS2597" s="22">
        <f t="shared" si="782"/>
        <v>4</v>
      </c>
      <c r="AT2597" s="24" t="str">
        <f t="shared" si="783"/>
        <v>4-6 months</v>
      </c>
    </row>
    <row r="2598" spans="1:46" s="12" customFormat="1">
      <c r="A2598" s="33" t="str">
        <f t="shared" si="770"/>
        <v>FY 18/19</v>
      </c>
      <c r="B2598" s="152">
        <v>2018</v>
      </c>
      <c r="C2598" s="152">
        <v>8</v>
      </c>
      <c r="D2598" s="33" t="str">
        <f t="shared" si="771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72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3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89"/>
        <v>10100000</v>
      </c>
      <c r="AA2598" s="13">
        <v>7.0400000000000004E-2</v>
      </c>
      <c r="AB2598" s="21">
        <f t="shared" si="775"/>
        <v>711040</v>
      </c>
      <c r="AC2598" s="130">
        <f t="shared" si="776"/>
        <v>114690.75199999999</v>
      </c>
      <c r="AD2598" s="169">
        <v>0.1613</v>
      </c>
      <c r="AE2598" s="154">
        <f t="shared" si="777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84"/>
        <v>29840797.698275864</v>
      </c>
      <c r="AJ2598" s="19">
        <f t="shared" si="785"/>
        <v>3940167.6555448272</v>
      </c>
      <c r="AK2598" s="20">
        <f t="shared" si="778"/>
        <v>0.13203962224416277</v>
      </c>
      <c r="AL2598" s="17"/>
      <c r="AM2598" s="17"/>
      <c r="AN2598" s="17"/>
      <c r="AO2598" s="17"/>
      <c r="AP2598" s="28" t="str">
        <f t="shared" si="779"/>
        <v>201812</v>
      </c>
      <c r="AQ2598" s="28" t="str">
        <f t="shared" si="780"/>
        <v>201812JPY</v>
      </c>
      <c r="AR2598" s="206" t="str">
        <f t="shared" si="781"/>
        <v>YAMAHA_Mounter</v>
      </c>
      <c r="AS2598" s="22">
        <f t="shared" si="782"/>
        <v>4</v>
      </c>
      <c r="AT2598" s="24" t="str">
        <f t="shared" si="783"/>
        <v>4-6 months</v>
      </c>
    </row>
    <row r="2599" spans="1:46" s="12" customFormat="1">
      <c r="A2599" s="33" t="str">
        <f t="shared" si="770"/>
        <v>FY 18/19</v>
      </c>
      <c r="B2599" s="152">
        <v>2018</v>
      </c>
      <c r="C2599" s="152">
        <v>8</v>
      </c>
      <c r="D2599" s="33" t="str">
        <f t="shared" si="771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72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3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89"/>
        <v>10100000</v>
      </c>
      <c r="AA2599" s="13">
        <v>7.0400000000000004E-2</v>
      </c>
      <c r="AB2599" s="21">
        <f t="shared" si="775"/>
        <v>711040</v>
      </c>
      <c r="AC2599" s="130">
        <f t="shared" si="776"/>
        <v>114690.75199999999</v>
      </c>
      <c r="AD2599" s="169">
        <v>0.1613</v>
      </c>
      <c r="AE2599" s="154">
        <f t="shared" si="777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84"/>
        <v>29840797.698275864</v>
      </c>
      <c r="AJ2599" s="19">
        <f t="shared" si="785"/>
        <v>3940167.6555448272</v>
      </c>
      <c r="AK2599" s="20">
        <f t="shared" si="778"/>
        <v>0.13203962224416277</v>
      </c>
      <c r="AL2599" s="17"/>
      <c r="AM2599" s="17"/>
      <c r="AN2599" s="17"/>
      <c r="AO2599" s="17"/>
      <c r="AP2599" s="28" t="str">
        <f t="shared" si="779"/>
        <v>201812</v>
      </c>
      <c r="AQ2599" s="28" t="str">
        <f t="shared" si="780"/>
        <v>201812JPY</v>
      </c>
      <c r="AR2599" s="206" t="str">
        <f t="shared" si="781"/>
        <v>YAMAHA_Mounter</v>
      </c>
      <c r="AS2599" s="22">
        <f t="shared" si="782"/>
        <v>4</v>
      </c>
      <c r="AT2599" s="24" t="str">
        <f t="shared" si="783"/>
        <v>4-6 months</v>
      </c>
    </row>
    <row r="2600" spans="1:46" s="12" customFormat="1">
      <c r="A2600" s="33" t="str">
        <f t="shared" si="770"/>
        <v>FY 18/19</v>
      </c>
      <c r="B2600" s="152">
        <v>2018</v>
      </c>
      <c r="C2600" s="152">
        <v>8</v>
      </c>
      <c r="D2600" s="33" t="str">
        <f t="shared" si="771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72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3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89"/>
        <v>12120000</v>
      </c>
      <c r="AA2600" s="13">
        <v>7.22E-2</v>
      </c>
      <c r="AB2600" s="21">
        <f t="shared" si="775"/>
        <v>875064</v>
      </c>
      <c r="AC2600" s="130">
        <f t="shared" si="776"/>
        <v>105007.67999999999</v>
      </c>
      <c r="AD2600" s="169">
        <v>0.12</v>
      </c>
      <c r="AE2600" s="154">
        <f t="shared" si="777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84"/>
        <v>477651199.57437885</v>
      </c>
      <c r="AJ2600" s="19">
        <f t="shared" si="785"/>
        <v>56918800.518691957</v>
      </c>
      <c r="AK2600" s="20">
        <f t="shared" si="778"/>
        <v>0.11916394341605475</v>
      </c>
      <c r="AL2600" s="17"/>
      <c r="AM2600" s="17"/>
      <c r="AN2600" s="17"/>
      <c r="AO2600" s="17"/>
      <c r="AP2600" s="28" t="str">
        <f t="shared" si="779"/>
        <v>CancelCancel</v>
      </c>
      <c r="AQ2600" s="28" t="str">
        <f t="shared" si="780"/>
        <v>CancelCancelJPY</v>
      </c>
      <c r="AR2600" s="206" t="str">
        <f t="shared" si="781"/>
        <v>YAMAHA_Mounter</v>
      </c>
      <c r="AS2600" s="22" t="str">
        <f t="shared" si="782"/>
        <v/>
      </c>
      <c r="AT2600" s="24" t="str">
        <f t="shared" si="783"/>
        <v/>
      </c>
    </row>
    <row r="2601" spans="1:46" s="12" customFormat="1">
      <c r="A2601" s="33" t="str">
        <f t="shared" si="770"/>
        <v>FY 18/19</v>
      </c>
      <c r="B2601" s="152">
        <v>2018</v>
      </c>
      <c r="C2601" s="152">
        <v>8</v>
      </c>
      <c r="D2601" s="33" t="str">
        <f t="shared" si="771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72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3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89"/>
        <v>12120000</v>
      </c>
      <c r="AA2601" s="13">
        <v>7.22E-2</v>
      </c>
      <c r="AB2601" s="21">
        <f t="shared" si="775"/>
        <v>875064</v>
      </c>
      <c r="AC2601" s="130">
        <f t="shared" si="776"/>
        <v>105007.67999999999</v>
      </c>
      <c r="AD2601" s="169">
        <v>0.12</v>
      </c>
      <c r="AE2601" s="154">
        <f t="shared" si="777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84"/>
        <v>477651199.57437885</v>
      </c>
      <c r="AJ2601" s="19">
        <f t="shared" si="785"/>
        <v>56918800.518691957</v>
      </c>
      <c r="AK2601" s="20">
        <f t="shared" si="778"/>
        <v>0.11916394341605475</v>
      </c>
      <c r="AL2601" s="17"/>
      <c r="AM2601" s="17"/>
      <c r="AN2601" s="17"/>
      <c r="AO2601" s="17"/>
      <c r="AP2601" s="28" t="str">
        <f t="shared" si="779"/>
        <v>CancelCancel</v>
      </c>
      <c r="AQ2601" s="28" t="str">
        <f t="shared" si="780"/>
        <v>CancelCancelJPY</v>
      </c>
      <c r="AR2601" s="206" t="str">
        <f t="shared" si="781"/>
        <v>YAMAHA_Mounter</v>
      </c>
      <c r="AS2601" s="22" t="str">
        <f t="shared" si="782"/>
        <v/>
      </c>
      <c r="AT2601" s="24" t="str">
        <f t="shared" si="783"/>
        <v/>
      </c>
    </row>
    <row r="2602" spans="1:46" s="12" customFormat="1">
      <c r="A2602" s="33" t="str">
        <f t="shared" si="770"/>
        <v>FY 18/19</v>
      </c>
      <c r="B2602" s="152">
        <v>2019</v>
      </c>
      <c r="C2602" s="152">
        <v>3</v>
      </c>
      <c r="D2602" s="33" t="str">
        <f t="shared" si="771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72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3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89"/>
        <v>12320000</v>
      </c>
      <c r="AA2602" s="13">
        <v>7.2300000000000003E-2</v>
      </c>
      <c r="AB2602" s="21">
        <f t="shared" si="775"/>
        <v>890736</v>
      </c>
      <c r="AC2602" s="130">
        <f t="shared" si="776"/>
        <v>143230.34880000001</v>
      </c>
      <c r="AD2602" s="169">
        <v>0.1608</v>
      </c>
      <c r="AE2602" s="154">
        <f t="shared" si="777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84"/>
        <v>32843736.557277881</v>
      </c>
      <c r="AJ2602" s="19">
        <f t="shared" si="785"/>
        <v>3921470.6822663117</v>
      </c>
      <c r="AK2602" s="20">
        <f t="shared" si="778"/>
        <v>0.11939782416131177</v>
      </c>
      <c r="AL2602" s="17"/>
      <c r="AM2602" s="17"/>
      <c r="AN2602" s="17"/>
      <c r="AO2602" s="17"/>
      <c r="AP2602" s="28" t="str">
        <f t="shared" si="779"/>
        <v>20194</v>
      </c>
      <c r="AQ2602" s="28" t="str">
        <f t="shared" si="780"/>
        <v>20194JPY</v>
      </c>
      <c r="AR2602" s="206" t="str">
        <f t="shared" si="781"/>
        <v>YAMAHA_Mounter</v>
      </c>
      <c r="AS2602" s="22">
        <f t="shared" si="782"/>
        <v>1</v>
      </c>
      <c r="AT2602" s="24" t="str">
        <f t="shared" si="783"/>
        <v>0-3 months</v>
      </c>
    </row>
    <row r="2603" spans="1:46" s="12" customFormat="1">
      <c r="A2603" s="33" t="str">
        <f t="shared" si="770"/>
        <v>FY 18/19</v>
      </c>
      <c r="B2603" s="152">
        <v>2019</v>
      </c>
      <c r="C2603" s="152">
        <v>3</v>
      </c>
      <c r="D2603" s="33" t="str">
        <f t="shared" si="771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72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3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89"/>
        <v>12320000</v>
      </c>
      <c r="AA2603" s="13">
        <v>7.2300000000000003E-2</v>
      </c>
      <c r="AB2603" s="21">
        <f t="shared" si="775"/>
        <v>890736</v>
      </c>
      <c r="AC2603" s="130">
        <f t="shared" si="776"/>
        <v>143230.34880000001</v>
      </c>
      <c r="AD2603" s="169">
        <v>0.1608</v>
      </c>
      <c r="AE2603" s="154">
        <f t="shared" si="777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84"/>
        <v>32843736.557277881</v>
      </c>
      <c r="AJ2603" s="19">
        <f t="shared" si="785"/>
        <v>3921470.6822663117</v>
      </c>
      <c r="AK2603" s="20">
        <f t="shared" si="778"/>
        <v>0.11939782416131177</v>
      </c>
      <c r="AL2603" s="17"/>
      <c r="AM2603" s="17"/>
      <c r="AN2603" s="17"/>
      <c r="AO2603" s="17"/>
      <c r="AP2603" s="28" t="str">
        <f t="shared" si="779"/>
        <v>20194</v>
      </c>
      <c r="AQ2603" s="28" t="str">
        <f t="shared" si="780"/>
        <v>20194JPY</v>
      </c>
      <c r="AR2603" s="206" t="str">
        <f t="shared" si="781"/>
        <v>YAMAHA_Mounter</v>
      </c>
      <c r="AS2603" s="22">
        <f t="shared" si="782"/>
        <v>1</v>
      </c>
      <c r="AT2603" s="24" t="str">
        <f t="shared" si="783"/>
        <v>0-3 months</v>
      </c>
    </row>
    <row r="2604" spans="1:46" s="12" customFormat="1">
      <c r="A2604" s="33" t="str">
        <f t="shared" ref="A2604:A2667" si="790">IF(C2604="cancel","cancel",IFERROR(IF(D2604="Q4","FY "&amp;RIGHT(B2604,2)-1&amp;"/"&amp;RIGHT(B2604,2),"FY "&amp;RIGHT(B2604,2)&amp;"/"&amp;RIGHT(B2604,2)+1),""))</f>
        <v>FY 22/23</v>
      </c>
      <c r="B2604" s="152">
        <v>2022</v>
      </c>
      <c r="C2604" s="152">
        <v>8</v>
      </c>
      <c r="D2604" s="33" t="str">
        <f t="shared" ref="D2604:D2667" si="791">IF(B2604="","",IF(AND(C2604&gt;=10,C2604&lt;=12),"Q3",IF(AND(C2604&gt;=1,C2604&lt;=3),"Q4",IF(AND(C2604&gt;=7,C2604&lt;=9),"Q2",IF(AND(C2604&gt;=4,C2604&lt;=6),"Q1")))))</f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ref="I2604:I2667" si="792">IFERROR(IF(F2604="","",IF(F2604="TBA","TBA",IF(F2604="Cancel","Cancel",IF(AND(G2604&gt;=10,G2604&lt;=12),"Q3",IF(AND(G2604&gt;=1,G2604&lt;=3),"Q4",IF(AND(G2604&gt;=7,G2604&lt;=9),"Q2",IF(AND(G2604&gt;=4,G2604&lt;=6),"Q1"))))))),"")</f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ref="P2604:P2667" si="793">IF(M2604="","",IF(AND(N2604&gt;0,L2604&lt;&gt;""),"MAIN UNIT",IF(AND(O2604&gt;0,L2604&lt;&gt;""),"SERVICE/ PARTS","C66 SERVICE/OTHERS")))</f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89"/>
        <v>570000</v>
      </c>
      <c r="AA2604" s="13">
        <v>1.135</v>
      </c>
      <c r="AB2604" s="21">
        <f t="shared" ref="AB2604:AB2667" si="794">IF(AND(R2604&lt;&gt;"C66",R2604&lt;&gt;""),Z2604/Y2604*AA2604,"")</f>
        <v>572522.12389380543</v>
      </c>
      <c r="AC2604" s="130">
        <f t="shared" ref="AC2604:AC2667" si="795">IF(R2604&lt;&gt;"",AB2604*AD2604,"")</f>
        <v>80897.376106194715</v>
      </c>
      <c r="AD2604" s="169">
        <v>0.14130000000000001</v>
      </c>
      <c r="AE2604" s="154">
        <f t="shared" ref="AE2604:AE2667" si="796">IF(Q2604="","",IF(Q2604="Yes",1,0))</f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84"/>
        <v>15948576.102654871</v>
      </c>
      <c r="AJ2604" s="19">
        <f t="shared" si="785"/>
        <v>2739848.7004853105</v>
      </c>
      <c r="AK2604" s="20">
        <f t="shared" ref="AK2604:AK2667" si="797">IF(AJ2604&gt;0,AJ2604/AI2604,"")</f>
        <v>0.17179268436567344</v>
      </c>
      <c r="AL2604" s="17"/>
      <c r="AM2604" s="17"/>
      <c r="AN2604" s="17"/>
      <c r="AO2604" s="17"/>
      <c r="AP2604" s="28" t="str">
        <f t="shared" ref="AP2604:AP2667" si="798">IF(F2604="","",F2604&amp;G2604)</f>
        <v>20229</v>
      </c>
      <c r="AQ2604" s="28" t="str">
        <f t="shared" ref="AQ2604:AQ2667" si="799">IF(W2604="","",F2604&amp;G2604&amp;W2604)</f>
        <v>20229RMB</v>
      </c>
      <c r="AR2604" s="206" t="str">
        <f t="shared" ref="AR2604:AR2667" si="800">IFERROR(IF(AND(M2604="YAMAHA", R2604="C28"), "YAMAHA_Non_Mounter", IF(AND(M2604="YAMAHA", R2604="C49"), "YAMAHA_Mounter", M2604)),"")</f>
        <v>YAMAHA_Mounter</v>
      </c>
      <c r="AS2604" s="22">
        <f t="shared" ref="AS2604:AS2667" si="801">IFERROR(IF(OR(G2604="TBA", G2604=""), "", DATEDIF(DATE(B2604, C2604, 1), DATE(F2604, G2604, 1), "M")),"")</f>
        <v>1</v>
      </c>
      <c r="AT2604" s="24" t="str">
        <f t="shared" ref="AT2604:AT2667" si="802">IF(ISNUMBER(AS2604), IF(AS2604&gt;=0, IF(AS2604&lt;=3, "0-3 months", IF(AS2604&lt;=6, "4-6 months", "&gt; 6 months"))), "")</f>
        <v>0-3 months</v>
      </c>
    </row>
    <row r="2605" spans="1:46" s="12" customFormat="1">
      <c r="A2605" s="33" t="str">
        <f t="shared" si="790"/>
        <v>FY 22/23</v>
      </c>
      <c r="B2605" s="152">
        <v>2022</v>
      </c>
      <c r="C2605" s="152">
        <v>8</v>
      </c>
      <c r="D2605" s="33" t="str">
        <f t="shared" si="791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92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93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89"/>
        <v>800000</v>
      </c>
      <c r="AA2605" s="13">
        <v>1.135</v>
      </c>
      <c r="AB2605" s="21">
        <f t="shared" si="794"/>
        <v>803539.82300884963</v>
      </c>
      <c r="AC2605" s="130">
        <f t="shared" si="795"/>
        <v>113540.17699115047</v>
      </c>
      <c r="AD2605" s="169">
        <v>0.14130000000000001</v>
      </c>
      <c r="AE2605" s="154">
        <f t="shared" si="79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84"/>
        <v>15948576.102654871</v>
      </c>
      <c r="AJ2605" s="19">
        <f t="shared" si="785"/>
        <v>2739848.7004853105</v>
      </c>
      <c r="AK2605" s="20">
        <f t="shared" si="797"/>
        <v>0.17179268436567344</v>
      </c>
      <c r="AL2605" s="17"/>
      <c r="AM2605" s="17"/>
      <c r="AN2605" s="17"/>
      <c r="AO2605" s="17"/>
      <c r="AP2605" s="28" t="str">
        <f t="shared" si="798"/>
        <v>20229</v>
      </c>
      <c r="AQ2605" s="28" t="str">
        <f t="shared" si="799"/>
        <v>20229RMB</v>
      </c>
      <c r="AR2605" s="206" t="str">
        <f t="shared" si="800"/>
        <v>YAMAHA_Mounter</v>
      </c>
      <c r="AS2605" s="22">
        <f t="shared" si="801"/>
        <v>1</v>
      </c>
      <c r="AT2605" s="24" t="str">
        <f t="shared" si="802"/>
        <v>0-3 months</v>
      </c>
    </row>
    <row r="2606" spans="1:46" s="12" customFormat="1">
      <c r="A2606" s="33" t="str">
        <f t="shared" si="790"/>
        <v>FY 17/18</v>
      </c>
      <c r="B2606" s="152">
        <v>2018</v>
      </c>
      <c r="C2606" s="152">
        <v>1</v>
      </c>
      <c r="D2606" s="33" t="str">
        <f t="shared" si="791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92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93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89"/>
        <v>10140000</v>
      </c>
      <c r="AA2606" s="13">
        <v>7.2099999999999997E-2</v>
      </c>
      <c r="AB2606" s="21">
        <f t="shared" si="794"/>
        <v>731094</v>
      </c>
      <c r="AC2606" s="130">
        <f t="shared" si="795"/>
        <v>39113.529000000002</v>
      </c>
      <c r="AD2606" s="169">
        <v>5.3499999999999999E-2</v>
      </c>
      <c r="AE2606" s="154">
        <f t="shared" si="79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84"/>
        <v>26492741.106427077</v>
      </c>
      <c r="AJ2606" s="19">
        <f t="shared" si="785"/>
        <v>3348032.1325698122</v>
      </c>
      <c r="AK2606" s="20">
        <f t="shared" si="797"/>
        <v>0.12637545201985867</v>
      </c>
      <c r="AL2606" s="17"/>
      <c r="AM2606" s="17"/>
      <c r="AN2606" s="17"/>
      <c r="AO2606" s="17"/>
      <c r="AP2606" s="28" t="str">
        <f t="shared" si="798"/>
        <v>20189</v>
      </c>
      <c r="AQ2606" s="28" t="str">
        <f t="shared" si="799"/>
        <v>20189JPY</v>
      </c>
      <c r="AR2606" s="206" t="str">
        <f t="shared" si="800"/>
        <v>YAMAHA_Mounter</v>
      </c>
      <c r="AS2606" s="22">
        <f t="shared" si="801"/>
        <v>8</v>
      </c>
      <c r="AT2606" s="24" t="str">
        <f t="shared" si="802"/>
        <v>&gt; 6 months</v>
      </c>
    </row>
    <row r="2607" spans="1:46" s="12" customFormat="1">
      <c r="A2607" s="33" t="str">
        <f t="shared" si="790"/>
        <v>FY 20/21</v>
      </c>
      <c r="B2607" s="152">
        <v>2020</v>
      </c>
      <c r="C2607" s="152">
        <v>10</v>
      </c>
      <c r="D2607" s="33" t="str">
        <f t="shared" si="791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92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93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89"/>
        <v>11930000</v>
      </c>
      <c r="AA2607" s="13">
        <v>7.6100000000000001E-2</v>
      </c>
      <c r="AB2607" s="21">
        <f t="shared" si="794"/>
        <v>907873</v>
      </c>
      <c r="AC2607" s="130">
        <f t="shared" si="795"/>
        <v>90061.001600000003</v>
      </c>
      <c r="AD2607" s="169">
        <v>9.9199999999999997E-2</v>
      </c>
      <c r="AE2607" s="154">
        <f t="shared" si="79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84"/>
        <v>48763143.537654862</v>
      </c>
      <c r="AJ2607" s="19">
        <f t="shared" si="785"/>
        <v>5924029.9702154724</v>
      </c>
      <c r="AK2607" s="20">
        <f t="shared" si="797"/>
        <v>0.1214858095774925</v>
      </c>
      <c r="AL2607" s="17"/>
      <c r="AM2607" s="17"/>
      <c r="AN2607" s="17"/>
      <c r="AO2607" s="17"/>
      <c r="AP2607" s="28" t="str">
        <f t="shared" si="798"/>
        <v>202012</v>
      </c>
      <c r="AQ2607" s="28" t="str">
        <f t="shared" si="799"/>
        <v>202012JPY</v>
      </c>
      <c r="AR2607" s="206" t="str">
        <f t="shared" si="800"/>
        <v>YAMAHA_Mounter</v>
      </c>
      <c r="AS2607" s="22">
        <f t="shared" si="801"/>
        <v>2</v>
      </c>
      <c r="AT2607" s="24" t="str">
        <f t="shared" si="802"/>
        <v>0-3 months</v>
      </c>
    </row>
    <row r="2608" spans="1:46" s="12" customFormat="1">
      <c r="A2608" s="33" t="str">
        <f t="shared" si="790"/>
        <v>FY 21/22</v>
      </c>
      <c r="B2608" s="152">
        <v>2021</v>
      </c>
      <c r="C2608" s="152">
        <v>12</v>
      </c>
      <c r="D2608" s="33" t="str">
        <f t="shared" si="791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92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93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89"/>
        <v>8500000</v>
      </c>
      <c r="AA2608" s="13">
        <v>6.54E-2</v>
      </c>
      <c r="AB2608" s="21">
        <f t="shared" si="794"/>
        <v>555900</v>
      </c>
      <c r="AC2608" s="130">
        <f t="shared" si="795"/>
        <v>118629.06</v>
      </c>
      <c r="AD2608" s="169">
        <v>0.21340000000000001</v>
      </c>
      <c r="AE2608" s="154">
        <f t="shared" si="79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84"/>
        <v>46600814.041769907</v>
      </c>
      <c r="AJ2608" s="19">
        <f t="shared" si="785"/>
        <v>5956366.3435927071</v>
      </c>
      <c r="AK2608" s="20">
        <f t="shared" si="797"/>
        <v>0.1278167874546958</v>
      </c>
      <c r="AL2608" s="17"/>
      <c r="AM2608" s="17"/>
      <c r="AN2608" s="17"/>
      <c r="AO2608" s="17"/>
      <c r="AP2608" s="28" t="str">
        <f t="shared" si="798"/>
        <v>20224</v>
      </c>
      <c r="AQ2608" s="28" t="str">
        <f t="shared" si="799"/>
        <v>20224JPY</v>
      </c>
      <c r="AR2608" s="206" t="str">
        <f t="shared" si="800"/>
        <v>YAMAHA_Mounter</v>
      </c>
      <c r="AS2608" s="22">
        <f t="shared" si="801"/>
        <v>4</v>
      </c>
      <c r="AT2608" s="24" t="str">
        <f t="shared" si="802"/>
        <v>4-6 months</v>
      </c>
    </row>
    <row r="2609" spans="1:46" s="12" customFormat="1">
      <c r="A2609" s="33" t="str">
        <f t="shared" si="790"/>
        <v>FY 23/24</v>
      </c>
      <c r="B2609" s="23">
        <v>2024</v>
      </c>
      <c r="C2609" s="152">
        <v>3</v>
      </c>
      <c r="D2609" s="33" t="str">
        <f t="shared" si="791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92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93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89"/>
        <v>6900000</v>
      </c>
      <c r="AA2609" s="22">
        <v>5.3100000000000001E-2</v>
      </c>
      <c r="AB2609" s="21">
        <f t="shared" si="794"/>
        <v>366390</v>
      </c>
      <c r="AC2609" s="25">
        <f t="shared" si="795"/>
        <v>27918.918000000001</v>
      </c>
      <c r="AD2609" s="209">
        <v>7.6200000000000004E-2</v>
      </c>
      <c r="AE2609" s="26">
        <f t="shared" si="79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84"/>
        <v>21194662.454867262</v>
      </c>
      <c r="AJ2609" s="27">
        <f t="shared" si="785"/>
        <v>2981431.5970757701</v>
      </c>
      <c r="AK2609" s="28">
        <f t="shared" si="797"/>
        <v>0.14066898226968919</v>
      </c>
      <c r="AL2609" s="24"/>
      <c r="AM2609" s="24"/>
      <c r="AN2609" s="24"/>
      <c r="AO2609" s="24"/>
      <c r="AP2609" s="28" t="str">
        <f t="shared" si="798"/>
        <v>20243</v>
      </c>
      <c r="AQ2609" s="28" t="str">
        <f t="shared" si="799"/>
        <v>20243JPY</v>
      </c>
      <c r="AR2609" s="206" t="str">
        <f t="shared" si="800"/>
        <v>YAMAHA_Mounter</v>
      </c>
      <c r="AS2609" s="22">
        <f t="shared" si="801"/>
        <v>0</v>
      </c>
      <c r="AT2609" s="24" t="str">
        <f t="shared" si="802"/>
        <v>0-3 months</v>
      </c>
    </row>
    <row r="2610" spans="1:46" s="12" customFormat="1">
      <c r="A2610" s="33" t="str">
        <f t="shared" si="790"/>
        <v>FY 24/25</v>
      </c>
      <c r="B2610" s="23">
        <v>2024</v>
      </c>
      <c r="C2610" s="152">
        <v>4</v>
      </c>
      <c r="D2610" s="33" t="str">
        <f t="shared" si="791"/>
        <v>Q1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6</v>
      </c>
      <c r="H2610" s="29"/>
      <c r="I2610" s="33" t="str">
        <f t="shared" si="792"/>
        <v>Q1</v>
      </c>
      <c r="J2610" s="188" t="s">
        <v>3405</v>
      </c>
      <c r="K2610" s="29" t="s">
        <v>1971</v>
      </c>
      <c r="L2610" s="17" t="s">
        <v>2621</v>
      </c>
      <c r="M2610" s="22" t="s">
        <v>61</v>
      </c>
      <c r="N2610" s="22">
        <v>1</v>
      </c>
      <c r="O2610" s="22"/>
      <c r="P2610" s="33" t="str">
        <f t="shared" si="793"/>
        <v>MAIN UNIT</v>
      </c>
      <c r="Q2610" s="13" t="s">
        <v>62</v>
      </c>
      <c r="R2610" s="22" t="s">
        <v>2056</v>
      </c>
      <c r="S2610" s="22" t="s">
        <v>51</v>
      </c>
      <c r="T2610" s="22" t="s">
        <v>79</v>
      </c>
      <c r="U2610" s="22" t="s">
        <v>3407</v>
      </c>
      <c r="V2610" s="22" t="s">
        <v>122</v>
      </c>
      <c r="W2610" s="22" t="s">
        <v>110</v>
      </c>
      <c r="X2610" s="30">
        <v>7200000</v>
      </c>
      <c r="Y2610" s="31" t="str">
        <f>IF(W2610="","",IF(W2610="RMB","1.13", "1"))</f>
        <v>1</v>
      </c>
      <c r="Z2610" s="18">
        <f t="shared" si="789"/>
        <v>7200000</v>
      </c>
      <c r="AA2610" s="22">
        <v>5.0999999999999997E-2</v>
      </c>
      <c r="AB2610" s="21">
        <f t="shared" si="794"/>
        <v>367200</v>
      </c>
      <c r="AC2610" s="25">
        <f t="shared" si="795"/>
        <v>48213.36</v>
      </c>
      <c r="AD2610" s="170">
        <v>0.1313</v>
      </c>
      <c r="AE2610" s="26">
        <f t="shared" si="796"/>
        <v>0</v>
      </c>
      <c r="AF2610" s="26" t="str">
        <f>IF(AND(COUNTIFS($J$18:J2610,J2610)=1,AE2610=1),1,"")</f>
        <v/>
      </c>
      <c r="AG2610" s="26">
        <f>IF(C2610="","",IF(AND(COUNTIFS($J$18:J2610,J2610)=1,C2610&lt;&gt;""),1,""))</f>
        <v>1</v>
      </c>
      <c r="AH2610" s="26">
        <f>IF(G2610="","",IF(AND(COUNTIFS($J$18:J2610,J2610)=1,G2610&lt;&gt;""),1,""))</f>
        <v>1</v>
      </c>
      <c r="AI2610" s="27">
        <f t="shared" si="784"/>
        <v>27308925.887079656</v>
      </c>
      <c r="AJ2610" s="27">
        <f t="shared" si="785"/>
        <v>3319273.860338124</v>
      </c>
      <c r="AK2610" s="28">
        <f t="shared" si="797"/>
        <v>0.12154538314919709</v>
      </c>
      <c r="AL2610" s="24"/>
      <c r="AM2610" s="24"/>
      <c r="AN2610" s="24"/>
      <c r="AO2610" s="24"/>
      <c r="AP2610" s="28" t="str">
        <f t="shared" si="798"/>
        <v>20246</v>
      </c>
      <c r="AQ2610" s="28" t="str">
        <f t="shared" si="799"/>
        <v>20246JPY</v>
      </c>
      <c r="AR2610" s="206" t="str">
        <f t="shared" si="800"/>
        <v>YAMAHA_Non_Mounter</v>
      </c>
      <c r="AS2610" s="22">
        <f t="shared" si="801"/>
        <v>2</v>
      </c>
      <c r="AT2610" s="24" t="str">
        <f t="shared" si="802"/>
        <v>0-3 months</v>
      </c>
    </row>
    <row r="2611" spans="1:46" s="12" customFormat="1">
      <c r="A2611" s="33" t="str">
        <f t="shared" si="790"/>
        <v>FY 24/25</v>
      </c>
      <c r="B2611" s="23">
        <v>2024</v>
      </c>
      <c r="C2611" s="152">
        <v>5</v>
      </c>
      <c r="D2611" s="202" t="str">
        <f t="shared" si="791"/>
        <v>Q1</v>
      </c>
      <c r="E2611" s="33" t="s">
        <v>3173</v>
      </c>
      <c r="F2611" s="152">
        <v>2024</v>
      </c>
      <c r="G2611" s="23">
        <v>8</v>
      </c>
      <c r="H2611" s="29"/>
      <c r="I2611" s="202" t="str">
        <f t="shared" si="792"/>
        <v>Q2</v>
      </c>
      <c r="J2611" s="188" t="s">
        <v>3445</v>
      </c>
      <c r="K2611" s="29" t="s">
        <v>3446</v>
      </c>
      <c r="L2611" s="17" t="s">
        <v>68</v>
      </c>
      <c r="M2611" s="22" t="s">
        <v>61</v>
      </c>
      <c r="N2611" s="22">
        <v>1</v>
      </c>
      <c r="O2611" s="22"/>
      <c r="P2611" s="33" t="str">
        <f t="shared" si="793"/>
        <v>MAIN UNIT</v>
      </c>
      <c r="Q2611" s="22" t="s">
        <v>69</v>
      </c>
      <c r="R2611" s="22" t="s">
        <v>63</v>
      </c>
      <c r="S2611" s="22" t="s">
        <v>50</v>
      </c>
      <c r="T2611" s="22" t="s">
        <v>79</v>
      </c>
      <c r="U2611" s="22" t="s">
        <v>79</v>
      </c>
      <c r="V2611" s="22" t="s">
        <v>3135</v>
      </c>
      <c r="W2611" s="22" t="s">
        <v>110</v>
      </c>
      <c r="X2611" s="104">
        <v>9900000</v>
      </c>
      <c r="Y2611" s="195" t="str">
        <f>IF(W2611="","",IF(W2611="RMB","1.13", "1"))</f>
        <v>1</v>
      </c>
      <c r="Z2611" s="196">
        <f t="shared" si="789"/>
        <v>9900000</v>
      </c>
      <c r="AA2611" s="22">
        <v>5.2299999999999999E-2</v>
      </c>
      <c r="AB2611" s="197">
        <f t="shared" si="794"/>
        <v>517770</v>
      </c>
      <c r="AC2611" s="198">
        <f t="shared" si="795"/>
        <v>55763.829000000005</v>
      </c>
      <c r="AD2611" s="170">
        <v>0.1077</v>
      </c>
      <c r="AE2611" s="199">
        <f t="shared" si="796"/>
        <v>1</v>
      </c>
      <c r="AF2611" s="199">
        <f>IF(AND(COUNTIFS($J$18:J2611,J2611)=1,AE2611=1),1,"")</f>
        <v>1</v>
      </c>
      <c r="AG2611" s="199">
        <f>IF(C2611="","",IF(AND(COUNTIFS($J$18:J2611,J2611)=1,C2611&lt;&gt;""),1,""))</f>
        <v>1</v>
      </c>
      <c r="AH2611" s="199">
        <f>IF(G2611="","",IF(AND(COUNTIFS($J$18:J2611,J2611)=1,G2611&lt;&gt;""),1,""))</f>
        <v>1</v>
      </c>
      <c r="AI2611" s="200">
        <f t="shared" si="784"/>
        <v>25354039.366920356</v>
      </c>
      <c r="AJ2611" s="200">
        <f t="shared" si="785"/>
        <v>3027878.5311884549</v>
      </c>
      <c r="AK2611" s="201">
        <f t="shared" si="797"/>
        <v>0.11942391061910851</v>
      </c>
      <c r="AL2611" s="24"/>
      <c r="AM2611" s="24"/>
      <c r="AN2611" s="24"/>
      <c r="AO2611" s="24"/>
      <c r="AP2611" s="105" t="str">
        <f t="shared" si="798"/>
        <v>20248</v>
      </c>
      <c r="AQ2611" s="28" t="str">
        <f t="shared" si="799"/>
        <v>20248JPY</v>
      </c>
      <c r="AR2611" s="206" t="str">
        <f t="shared" si="800"/>
        <v>YAMAHA_Mounter</v>
      </c>
      <c r="AS2611" s="22">
        <f t="shared" si="801"/>
        <v>3</v>
      </c>
      <c r="AT2611" s="24" t="str">
        <f t="shared" si="802"/>
        <v>0-3 months</v>
      </c>
    </row>
    <row r="2612" spans="1:46" s="12" customFormat="1">
      <c r="A2612" s="33" t="str">
        <f t="shared" si="790"/>
        <v>FY 23/24</v>
      </c>
      <c r="B2612" s="23">
        <v>2024</v>
      </c>
      <c r="C2612" s="152">
        <v>3</v>
      </c>
      <c r="D2612" s="33" t="str">
        <f t="shared" si="791"/>
        <v>Q4</v>
      </c>
      <c r="E2612" s="33" t="str">
        <f>IF(G2612="Cancel","Cancel",IF(G2612="TBA","TBA",IFERROR(IF(I2612="Q4","FY "&amp;RIGHT(F2612,2)-1&amp;"/"&amp;RIGHT(F2612,2),"FY "&amp;RIGHT(F2612,2)&amp;"/"&amp;RIGHT(F2612,2)+1),"")))</f>
        <v>FY 24/25</v>
      </c>
      <c r="F2612" s="23">
        <v>2024</v>
      </c>
      <c r="G2612" s="23">
        <v>10</v>
      </c>
      <c r="H2612" s="29"/>
      <c r="I2612" s="33" t="str">
        <f t="shared" si="792"/>
        <v>Q3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93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89"/>
        <v>7800000</v>
      </c>
      <c r="AA2612" s="13">
        <v>5.5599999999999997E-2</v>
      </c>
      <c r="AB2612" s="21">
        <f t="shared" si="794"/>
        <v>433680</v>
      </c>
      <c r="AC2612" s="25">
        <f t="shared" si="795"/>
        <v>52041.599999999999</v>
      </c>
      <c r="AD2612" s="169">
        <v>0.12</v>
      </c>
      <c r="AE2612" s="26">
        <f t="shared" si="79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84"/>
        <v>25860689.500884958</v>
      </c>
      <c r="AJ2612" s="27">
        <f t="shared" si="785"/>
        <v>3153620.4547964605</v>
      </c>
      <c r="AK2612" s="28">
        <f t="shared" si="797"/>
        <v>0.1219464954593938</v>
      </c>
      <c r="AL2612" s="24"/>
      <c r="AM2612" s="24"/>
      <c r="AN2612" s="24"/>
      <c r="AO2612" s="24"/>
      <c r="AP2612" s="28" t="str">
        <f t="shared" si="798"/>
        <v>202410</v>
      </c>
      <c r="AQ2612" s="28" t="str">
        <f t="shared" si="799"/>
        <v>202410JPY</v>
      </c>
      <c r="AR2612" s="206" t="str">
        <f t="shared" si="800"/>
        <v>YAMAHA_Non_Mounter</v>
      </c>
      <c r="AS2612" s="22">
        <f t="shared" si="801"/>
        <v>7</v>
      </c>
      <c r="AT2612" s="24" t="str">
        <f t="shared" si="802"/>
        <v>&gt; 6 months</v>
      </c>
    </row>
    <row r="2613" spans="1:46" s="12" customFormat="1">
      <c r="A2613" s="33" t="str">
        <f t="shared" si="790"/>
        <v>FY 23/24</v>
      </c>
      <c r="B2613" s="23">
        <v>2024</v>
      </c>
      <c r="C2613" s="152">
        <v>3</v>
      </c>
      <c r="D2613" s="33" t="str">
        <f t="shared" si="791"/>
        <v>Q4</v>
      </c>
      <c r="E2613" s="33" t="str">
        <f>IF(G2613="Cancel","Cancel",IF(G2613="TBA","TBA",IFERROR(IF(I2613="Q4","FY "&amp;RIGHT(F2613,2)-1&amp;"/"&amp;RIGHT(F2613,2),"FY "&amp;RIGHT(F2613,2)&amp;"/"&amp;RIGHT(F2613,2)+1),"")))</f>
        <v>FY 24/25</v>
      </c>
      <c r="F2613" s="23">
        <v>2024</v>
      </c>
      <c r="G2613" s="23">
        <v>10</v>
      </c>
      <c r="H2613" s="29"/>
      <c r="I2613" s="33" t="str">
        <f t="shared" si="792"/>
        <v>Q3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93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89"/>
        <v>7800000</v>
      </c>
      <c r="AA2613" s="13">
        <v>5.5599999999999997E-2</v>
      </c>
      <c r="AB2613" s="21">
        <f t="shared" si="794"/>
        <v>433680</v>
      </c>
      <c r="AC2613" s="25">
        <f t="shared" si="795"/>
        <v>52041.599999999999</v>
      </c>
      <c r="AD2613" s="169">
        <v>0.12</v>
      </c>
      <c r="AE2613" s="26">
        <f t="shared" si="79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84"/>
        <v>25860689.500884958</v>
      </c>
      <c r="AJ2613" s="27">
        <f t="shared" si="785"/>
        <v>3153620.4547964605</v>
      </c>
      <c r="AK2613" s="28">
        <f t="shared" si="797"/>
        <v>0.1219464954593938</v>
      </c>
      <c r="AL2613" s="24"/>
      <c r="AM2613" s="24"/>
      <c r="AN2613" s="24"/>
      <c r="AO2613" s="24"/>
      <c r="AP2613" s="28" t="str">
        <f t="shared" si="798"/>
        <v>202410</v>
      </c>
      <c r="AQ2613" s="28" t="str">
        <f t="shared" si="799"/>
        <v>202410JPY</v>
      </c>
      <c r="AR2613" s="206" t="str">
        <f t="shared" si="800"/>
        <v>YAMAHA_Non_Mounter</v>
      </c>
      <c r="AS2613" s="22">
        <f t="shared" si="801"/>
        <v>7</v>
      </c>
      <c r="AT2613" s="24" t="str">
        <f t="shared" si="802"/>
        <v>&gt; 6 months</v>
      </c>
    </row>
    <row r="2614" spans="1:46" s="12" customFormat="1">
      <c r="A2614" s="33" t="str">
        <f t="shared" si="790"/>
        <v>FY 21/22</v>
      </c>
      <c r="B2614" s="152">
        <v>2021</v>
      </c>
      <c r="C2614" s="152">
        <v>5</v>
      </c>
      <c r="D2614" s="33" t="str">
        <f t="shared" si="791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92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93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89"/>
        <v>8221500</v>
      </c>
      <c r="AA2614" s="13">
        <v>6.9199999999999998E-2</v>
      </c>
      <c r="AB2614" s="21">
        <f t="shared" si="794"/>
        <v>568927.79999999993</v>
      </c>
      <c r="AC2614" s="130">
        <f t="shared" si="795"/>
        <v>64857.769199999995</v>
      </c>
      <c r="AD2614" s="169">
        <v>0.114</v>
      </c>
      <c r="AE2614" s="154">
        <f t="shared" si="79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84"/>
        <v>26407088.359292038</v>
      </c>
      <c r="AJ2614" s="19">
        <f t="shared" si="785"/>
        <v>3424510.6998470789</v>
      </c>
      <c r="AK2614" s="20">
        <f t="shared" si="797"/>
        <v>0.12968149510667554</v>
      </c>
      <c r="AL2614" s="17"/>
      <c r="AM2614" s="17"/>
      <c r="AN2614" s="17"/>
      <c r="AO2614" s="17"/>
      <c r="AP2614" s="28" t="str">
        <f t="shared" si="798"/>
        <v>20221</v>
      </c>
      <c r="AQ2614" s="28" t="str">
        <f t="shared" si="799"/>
        <v>20221JPY</v>
      </c>
      <c r="AR2614" s="206" t="str">
        <f t="shared" si="800"/>
        <v>YAMAHA_Mounter</v>
      </c>
      <c r="AS2614" s="22">
        <f t="shared" si="801"/>
        <v>8</v>
      </c>
      <c r="AT2614" s="24" t="str">
        <f t="shared" si="802"/>
        <v>&gt; 6 months</v>
      </c>
    </row>
    <row r="2615" spans="1:46" s="12" customFormat="1">
      <c r="A2615" s="33" t="str">
        <f t="shared" si="790"/>
        <v>FY 22/23</v>
      </c>
      <c r="B2615" s="152">
        <v>2022</v>
      </c>
      <c r="C2615" s="152">
        <v>11</v>
      </c>
      <c r="D2615" s="33" t="str">
        <f t="shared" si="791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92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93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89"/>
        <v>600000</v>
      </c>
      <c r="AA2615" s="13">
        <v>1.0900000000000001</v>
      </c>
      <c r="AB2615" s="21">
        <f t="shared" si="794"/>
        <v>578761.06194690277</v>
      </c>
      <c r="AC2615" s="130">
        <f t="shared" si="795"/>
        <v>104119.11504424781</v>
      </c>
      <c r="AD2615" s="169">
        <v>0.1799</v>
      </c>
      <c r="AE2615" s="154">
        <f t="shared" si="79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84"/>
        <v>17329060.066371687</v>
      </c>
      <c r="AJ2615" s="19">
        <f t="shared" si="785"/>
        <v>2472600.2142256643</v>
      </c>
      <c r="AK2615" s="20">
        <f t="shared" si="797"/>
        <v>0.14268518919984163</v>
      </c>
      <c r="AL2615" s="17"/>
      <c r="AM2615" s="17"/>
      <c r="AN2615" s="17"/>
      <c r="AO2615" s="17"/>
      <c r="AP2615" s="28" t="str">
        <f t="shared" si="798"/>
        <v>202212</v>
      </c>
      <c r="AQ2615" s="28" t="str">
        <f t="shared" si="799"/>
        <v>202212RMB</v>
      </c>
      <c r="AR2615" s="206" t="str">
        <f t="shared" si="800"/>
        <v>YAMAHA_Mounter</v>
      </c>
      <c r="AS2615" s="22">
        <f t="shared" si="801"/>
        <v>1</v>
      </c>
      <c r="AT2615" s="24" t="str">
        <f t="shared" si="802"/>
        <v>0-3 months</v>
      </c>
    </row>
    <row r="2616" spans="1:46" s="12" customFormat="1">
      <c r="A2616" s="33" t="str">
        <f t="shared" si="790"/>
        <v>FY 23/24</v>
      </c>
      <c r="B2616" s="23">
        <v>2023</v>
      </c>
      <c r="C2616" s="152">
        <v>12</v>
      </c>
      <c r="D2616" s="33" t="str">
        <f t="shared" si="791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92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93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89"/>
        <v>660000</v>
      </c>
      <c r="AA2616" s="22">
        <v>1.095</v>
      </c>
      <c r="AB2616" s="21">
        <f t="shared" si="794"/>
        <v>639557.52212389384</v>
      </c>
      <c r="AC2616" s="25">
        <f t="shared" si="795"/>
        <v>65170.911504424788</v>
      </c>
      <c r="AD2616" s="169">
        <v>0.1019</v>
      </c>
      <c r="AE2616" s="26">
        <f t="shared" si="79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84"/>
        <v>10271727.486725664</v>
      </c>
      <c r="AJ2616" s="27">
        <f t="shared" si="785"/>
        <v>1227228.7260761063</v>
      </c>
      <c r="AK2616" s="28">
        <f t="shared" si="797"/>
        <v>0.11947637120066472</v>
      </c>
      <c r="AL2616" s="24"/>
      <c r="AM2616" s="24"/>
      <c r="AN2616" s="24"/>
      <c r="AO2616" s="24"/>
      <c r="AP2616" s="28" t="str">
        <f t="shared" si="798"/>
        <v>202312</v>
      </c>
      <c r="AQ2616" s="28" t="str">
        <f t="shared" si="799"/>
        <v>202312RMB</v>
      </c>
      <c r="AR2616" s="206" t="str">
        <f t="shared" si="800"/>
        <v>YAMAHA_Mounter</v>
      </c>
      <c r="AS2616" s="22">
        <f t="shared" si="801"/>
        <v>0</v>
      </c>
      <c r="AT2616" s="24" t="str">
        <f t="shared" si="802"/>
        <v>0-3 months</v>
      </c>
    </row>
    <row r="2617" spans="1:46" s="12" customFormat="1">
      <c r="A2617" s="33" t="str">
        <f t="shared" si="790"/>
        <v>FY 24/25</v>
      </c>
      <c r="B2617" s="23">
        <v>2024</v>
      </c>
      <c r="C2617" s="152">
        <v>5</v>
      </c>
      <c r="D2617" s="202" t="str">
        <f t="shared" si="791"/>
        <v>Q1</v>
      </c>
      <c r="E2617" s="33" t="s">
        <v>3173</v>
      </c>
      <c r="F2617" s="152">
        <v>2024</v>
      </c>
      <c r="G2617" s="23">
        <v>9</v>
      </c>
      <c r="H2617" s="29"/>
      <c r="I2617" s="202" t="str">
        <f t="shared" si="792"/>
        <v>Q2</v>
      </c>
      <c r="J2617" s="188" t="s">
        <v>3441</v>
      </c>
      <c r="K2617" s="29" t="s">
        <v>2562</v>
      </c>
      <c r="L2617" s="17" t="s">
        <v>68</v>
      </c>
      <c r="M2617" s="22" t="s">
        <v>61</v>
      </c>
      <c r="N2617" s="22">
        <v>1</v>
      </c>
      <c r="O2617" s="22"/>
      <c r="P2617" s="33" t="str">
        <f t="shared" si="793"/>
        <v>MAIN UNIT</v>
      </c>
      <c r="Q2617" s="22" t="s">
        <v>62</v>
      </c>
      <c r="R2617" s="22" t="s">
        <v>63</v>
      </c>
      <c r="S2617" s="22" t="s">
        <v>51</v>
      </c>
      <c r="T2617" s="22" t="s">
        <v>326</v>
      </c>
      <c r="U2617" s="22" t="s">
        <v>71</v>
      </c>
      <c r="V2617" s="22" t="s">
        <v>1011</v>
      </c>
      <c r="W2617" s="22" t="s">
        <v>65</v>
      </c>
      <c r="X2617" s="104">
        <v>411668</v>
      </c>
      <c r="Y2617" s="195" t="str">
        <f>IF(W2617="","",IF(W2617="RMB","1.13", "1"))</f>
        <v>1.13</v>
      </c>
      <c r="Z2617" s="196">
        <f t="shared" si="789"/>
        <v>411668</v>
      </c>
      <c r="AA2617" s="22">
        <v>1.0980000000000001</v>
      </c>
      <c r="AB2617" s="197">
        <f t="shared" si="794"/>
        <v>400010.1451327434</v>
      </c>
      <c r="AC2617" s="198">
        <f t="shared" si="795"/>
        <v>26920.682767433631</v>
      </c>
      <c r="AD2617" s="170">
        <v>6.7299999999999999E-2</v>
      </c>
      <c r="AE2617" s="199">
        <f t="shared" si="796"/>
        <v>0</v>
      </c>
      <c r="AF2617" s="199" t="str">
        <f>IF(AND(COUNTIFS($J$18:J2617,J2617)=1,AE2617=1),1,"")</f>
        <v/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84"/>
        <v>35931087.732566379</v>
      </c>
      <c r="AJ2617" s="200">
        <f t="shared" si="785"/>
        <v>4346699.6584161064</v>
      </c>
      <c r="AK2617" s="201">
        <f t="shared" si="797"/>
        <v>0.12097322771769156</v>
      </c>
      <c r="AL2617" s="24"/>
      <c r="AM2617" s="24"/>
      <c r="AN2617" s="24"/>
      <c r="AO2617" s="24"/>
      <c r="AP2617" s="105" t="str">
        <f t="shared" si="798"/>
        <v>20249</v>
      </c>
      <c r="AQ2617" s="28" t="str">
        <f t="shared" si="799"/>
        <v>20249RMB</v>
      </c>
      <c r="AR2617" s="206" t="str">
        <f t="shared" si="800"/>
        <v>YAMAHA_Mounter</v>
      </c>
      <c r="AS2617" s="22">
        <f t="shared" si="801"/>
        <v>4</v>
      </c>
      <c r="AT2617" s="24" t="str">
        <f t="shared" si="802"/>
        <v>4-6 months</v>
      </c>
    </row>
    <row r="2618" spans="1:46" s="12" customFormat="1">
      <c r="A2618" s="33" t="str">
        <f t="shared" si="790"/>
        <v>FY 24/25</v>
      </c>
      <c r="B2618" s="23">
        <v>2024</v>
      </c>
      <c r="C2618" s="152">
        <v>5</v>
      </c>
      <c r="D2618" s="202" t="str">
        <f t="shared" si="791"/>
        <v>Q1</v>
      </c>
      <c r="E2618" s="33" t="s">
        <v>3173</v>
      </c>
      <c r="F2618" s="152">
        <v>2024</v>
      </c>
      <c r="G2618" s="23">
        <v>9</v>
      </c>
      <c r="H2618" s="29"/>
      <c r="I2618" s="202" t="str">
        <f t="shared" si="792"/>
        <v>Q2</v>
      </c>
      <c r="J2618" s="188" t="s">
        <v>3442</v>
      </c>
      <c r="K2618" s="29" t="s">
        <v>3444</v>
      </c>
      <c r="L2618" s="17" t="s">
        <v>68</v>
      </c>
      <c r="M2618" s="22" t="s">
        <v>61</v>
      </c>
      <c r="N2618" s="22">
        <v>1</v>
      </c>
      <c r="O2618" s="22"/>
      <c r="P2618" s="33" t="str">
        <f t="shared" si="793"/>
        <v>MAIN UNIT</v>
      </c>
      <c r="Q2618" s="22" t="s">
        <v>69</v>
      </c>
      <c r="R2618" s="22" t="s">
        <v>63</v>
      </c>
      <c r="S2618" s="22" t="s">
        <v>51</v>
      </c>
      <c r="T2618" s="22" t="s">
        <v>326</v>
      </c>
      <c r="U2618" s="22" t="s">
        <v>71</v>
      </c>
      <c r="V2618" s="22" t="s">
        <v>1011</v>
      </c>
      <c r="W2618" s="22" t="s">
        <v>65</v>
      </c>
      <c r="X2618" s="104">
        <v>525000</v>
      </c>
      <c r="Y2618" s="195" t="str">
        <f>IF(W2618="","",IF(W2618="RMB","1.13", "1"))</f>
        <v>1.13</v>
      </c>
      <c r="Z2618" s="196">
        <f t="shared" si="789"/>
        <v>525000</v>
      </c>
      <c r="AA2618" s="22">
        <v>1.0980000000000001</v>
      </c>
      <c r="AB2618" s="197">
        <f t="shared" si="794"/>
        <v>510132.74336283194</v>
      </c>
      <c r="AC2618" s="198">
        <f t="shared" si="795"/>
        <v>47850.451327433635</v>
      </c>
      <c r="AD2618" s="169">
        <v>9.3799999999999994E-2</v>
      </c>
      <c r="AE2618" s="199">
        <f t="shared" si="796"/>
        <v>1</v>
      </c>
      <c r="AF2618" s="199">
        <f>IF(AND(COUNTIFS($J$18:J2618,J2618)=1,AE2618=1),1,"")</f>
        <v>1</v>
      </c>
      <c r="AG2618" s="199">
        <f>IF(C2618="","",IF(AND(COUNTIFS($J$18:J2618,J2618)=1,C2618&lt;&gt;""),1,""))</f>
        <v>1</v>
      </c>
      <c r="AH2618" s="199">
        <f>IF(G2618="","",IF(AND(COUNTIFS($J$18:J2618,J2618)=1,G2618&lt;&gt;""),1,""))</f>
        <v>1</v>
      </c>
      <c r="AI2618" s="200">
        <f t="shared" si="784"/>
        <v>35931087.732566379</v>
      </c>
      <c r="AJ2618" s="200">
        <f t="shared" si="785"/>
        <v>4346699.6584161064</v>
      </c>
      <c r="AK2618" s="201">
        <f t="shared" si="797"/>
        <v>0.12097322771769156</v>
      </c>
      <c r="AL2618" s="24"/>
      <c r="AM2618" s="24"/>
      <c r="AN2618" s="24"/>
      <c r="AO2618" s="24"/>
      <c r="AP2618" s="105" t="str">
        <f t="shared" si="798"/>
        <v>20249</v>
      </c>
      <c r="AQ2618" s="28" t="str">
        <f t="shared" si="799"/>
        <v>20249RMB</v>
      </c>
      <c r="AR2618" s="206" t="str">
        <f t="shared" si="800"/>
        <v>YAMAHA_Mounter</v>
      </c>
      <c r="AS2618" s="22">
        <f t="shared" si="801"/>
        <v>4</v>
      </c>
      <c r="AT2618" s="24" t="str">
        <f t="shared" si="802"/>
        <v>4-6 months</v>
      </c>
    </row>
    <row r="2619" spans="1:46" s="12" customFormat="1">
      <c r="A2619" s="33" t="str">
        <f t="shared" si="790"/>
        <v>FY 20/21</v>
      </c>
      <c r="B2619" s="152">
        <v>2021</v>
      </c>
      <c r="C2619" s="152">
        <v>2</v>
      </c>
      <c r="D2619" s="33" t="str">
        <f t="shared" si="791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92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93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89"/>
        <v>8900000</v>
      </c>
      <c r="AA2619" s="13">
        <v>5.5599999999999997E-2</v>
      </c>
      <c r="AB2619" s="21">
        <f t="shared" si="794"/>
        <v>494839.99999999994</v>
      </c>
      <c r="AC2619" s="130">
        <f t="shared" si="795"/>
        <v>59380.799999999988</v>
      </c>
      <c r="AD2619" s="169">
        <v>0.12</v>
      </c>
      <c r="AE2619" s="154">
        <f t="shared" si="79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84"/>
        <v>22399988.308672566</v>
      </c>
      <c r="AJ2619" s="19">
        <f t="shared" si="785"/>
        <v>2687998.5970407082</v>
      </c>
      <c r="AK2619" s="20">
        <f t="shared" si="797"/>
        <v>0.12000000000000001</v>
      </c>
      <c r="AL2619" s="17"/>
      <c r="AM2619" s="17"/>
      <c r="AN2619" s="17"/>
      <c r="AO2619" s="17"/>
      <c r="AP2619" s="28" t="str">
        <f t="shared" si="798"/>
        <v>202412</v>
      </c>
      <c r="AQ2619" s="28" t="str">
        <f t="shared" si="799"/>
        <v>202412JPY</v>
      </c>
      <c r="AR2619" s="206" t="str">
        <f t="shared" si="800"/>
        <v>YAMAHA_Mounter</v>
      </c>
      <c r="AS2619" s="22">
        <f t="shared" si="801"/>
        <v>46</v>
      </c>
      <c r="AT2619" s="24" t="str">
        <f t="shared" si="802"/>
        <v>&gt; 6 months</v>
      </c>
    </row>
    <row r="2620" spans="1:46" s="12" customFormat="1">
      <c r="A2620" s="33" t="str">
        <f t="shared" si="790"/>
        <v>FY 21/22</v>
      </c>
      <c r="B2620" s="152">
        <v>2022</v>
      </c>
      <c r="C2620" s="152">
        <v>3</v>
      </c>
      <c r="D2620" s="33" t="str">
        <f t="shared" si="791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92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93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89"/>
        <v>25000000</v>
      </c>
      <c r="AA2620" s="13">
        <v>6.25E-2</v>
      </c>
      <c r="AB2620" s="21">
        <f t="shared" si="794"/>
        <v>1562500</v>
      </c>
      <c r="AC2620" s="130">
        <f t="shared" si="795"/>
        <v>211249.99999999997</v>
      </c>
      <c r="AD2620" s="169">
        <v>0.13519999999999999</v>
      </c>
      <c r="AE2620" s="154">
        <f t="shared" si="79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84"/>
        <v>35682787.057522126</v>
      </c>
      <c r="AJ2620" s="19">
        <f t="shared" si="785"/>
        <v>5833368.3789623892</v>
      </c>
      <c r="AK2620" s="20">
        <f t="shared" si="797"/>
        <v>0.16347849649632912</v>
      </c>
      <c r="AL2620" s="17"/>
      <c r="AM2620" s="17"/>
      <c r="AN2620" s="17"/>
      <c r="AO2620" s="17"/>
      <c r="AP2620" s="28" t="str">
        <f t="shared" si="798"/>
        <v>20226</v>
      </c>
      <c r="AQ2620" s="28" t="str">
        <f t="shared" si="799"/>
        <v>20226JPY</v>
      </c>
      <c r="AR2620" s="206" t="str">
        <f t="shared" si="800"/>
        <v>YAMAHA_Mounter</v>
      </c>
      <c r="AS2620" s="22">
        <f t="shared" si="801"/>
        <v>3</v>
      </c>
      <c r="AT2620" s="24" t="str">
        <f t="shared" si="802"/>
        <v>0-3 months</v>
      </c>
    </row>
    <row r="2621" spans="1:46" s="12" customFormat="1">
      <c r="A2621" s="33" t="str">
        <f t="shared" si="790"/>
        <v>FY 21/22</v>
      </c>
      <c r="B2621" s="152">
        <v>2022</v>
      </c>
      <c r="C2621" s="152">
        <v>3</v>
      </c>
      <c r="D2621" s="33" t="str">
        <f t="shared" si="791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92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93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89"/>
        <v>6700000</v>
      </c>
      <c r="AA2621" s="13">
        <v>6.25E-2</v>
      </c>
      <c r="AB2621" s="21">
        <f t="shared" si="794"/>
        <v>418750</v>
      </c>
      <c r="AC2621" s="130">
        <f t="shared" si="795"/>
        <v>126881.25</v>
      </c>
      <c r="AD2621" s="169">
        <v>0.30299999999999999</v>
      </c>
      <c r="AE2621" s="154">
        <f t="shared" si="79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84"/>
        <v>35682787.057522126</v>
      </c>
      <c r="AJ2621" s="19">
        <f t="shared" si="785"/>
        <v>5833368.3789623892</v>
      </c>
      <c r="AK2621" s="20">
        <f t="shared" si="797"/>
        <v>0.16347849649632912</v>
      </c>
      <c r="AL2621" s="17"/>
      <c r="AM2621" s="17"/>
      <c r="AN2621" s="17"/>
      <c r="AO2621" s="17"/>
      <c r="AP2621" s="28" t="str">
        <f t="shared" si="798"/>
        <v>20226</v>
      </c>
      <c r="AQ2621" s="28" t="str">
        <f t="shared" si="799"/>
        <v>20226JPY</v>
      </c>
      <c r="AR2621" s="206" t="str">
        <f t="shared" si="800"/>
        <v>YAMAHA_Non_Mounter</v>
      </c>
      <c r="AS2621" s="22">
        <f t="shared" si="801"/>
        <v>3</v>
      </c>
      <c r="AT2621" s="24" t="str">
        <f t="shared" si="802"/>
        <v>0-3 months</v>
      </c>
    </row>
    <row r="2622" spans="1:46" s="12" customFormat="1">
      <c r="A2622" s="33" t="str">
        <f t="shared" si="790"/>
        <v>FY 21/22</v>
      </c>
      <c r="B2622" s="152">
        <v>2022</v>
      </c>
      <c r="C2622" s="152">
        <v>3</v>
      </c>
      <c r="D2622" s="33" t="str">
        <f t="shared" si="791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92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93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89"/>
        <v>12800000</v>
      </c>
      <c r="AA2622" s="13">
        <v>6.25E-2</v>
      </c>
      <c r="AB2622" s="21">
        <f t="shared" si="794"/>
        <v>800000</v>
      </c>
      <c r="AC2622" s="130">
        <f t="shared" si="795"/>
        <v>242400</v>
      </c>
      <c r="AD2622" s="169">
        <v>0.30299999999999999</v>
      </c>
      <c r="AE2622" s="154">
        <f t="shared" si="79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84"/>
        <v>35682787.057522126</v>
      </c>
      <c r="AJ2622" s="19">
        <f t="shared" si="785"/>
        <v>5833368.3789623892</v>
      </c>
      <c r="AK2622" s="20">
        <f t="shared" si="797"/>
        <v>0.16347849649632912</v>
      </c>
      <c r="AL2622" s="17"/>
      <c r="AM2622" s="17"/>
      <c r="AN2622" s="17"/>
      <c r="AO2622" s="17"/>
      <c r="AP2622" s="28" t="str">
        <f t="shared" si="798"/>
        <v>20226</v>
      </c>
      <c r="AQ2622" s="28" t="str">
        <f t="shared" si="799"/>
        <v>20226JPY</v>
      </c>
      <c r="AR2622" s="206" t="str">
        <f t="shared" si="800"/>
        <v>YAMAHA_Non_Mounter</v>
      </c>
      <c r="AS2622" s="22">
        <f t="shared" si="801"/>
        <v>3</v>
      </c>
      <c r="AT2622" s="24" t="str">
        <f t="shared" si="802"/>
        <v>0-3 months</v>
      </c>
    </row>
    <row r="2623" spans="1:46" s="12" customFormat="1">
      <c r="A2623" s="33" t="str">
        <f t="shared" si="790"/>
        <v>FY 21/22</v>
      </c>
      <c r="B2623" s="152">
        <v>2022</v>
      </c>
      <c r="C2623" s="152">
        <v>3</v>
      </c>
      <c r="D2623" s="33" t="str">
        <f t="shared" si="791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92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93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89"/>
        <v>57000</v>
      </c>
      <c r="AA2623" s="13">
        <v>7.8</v>
      </c>
      <c r="AB2623" s="21">
        <f t="shared" si="794"/>
        <v>444600</v>
      </c>
      <c r="AC2623" s="130">
        <f t="shared" si="795"/>
        <v>63622.26</v>
      </c>
      <c r="AD2623" s="169">
        <v>0.1431</v>
      </c>
      <c r="AE2623" s="154">
        <f t="shared" si="79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84"/>
        <v>35682787.057522126</v>
      </c>
      <c r="AJ2623" s="19">
        <f t="shared" si="785"/>
        <v>5833368.3789623892</v>
      </c>
      <c r="AK2623" s="20">
        <f t="shared" si="797"/>
        <v>0.16347849649632912</v>
      </c>
      <c r="AL2623" s="17"/>
      <c r="AM2623" s="17"/>
      <c r="AN2623" s="17"/>
      <c r="AO2623" s="17"/>
      <c r="AP2623" s="28" t="str">
        <f t="shared" si="798"/>
        <v>20226</v>
      </c>
      <c r="AQ2623" s="28" t="str">
        <f t="shared" si="799"/>
        <v>20226USD</v>
      </c>
      <c r="AR2623" s="206" t="str">
        <f t="shared" si="800"/>
        <v>HELLER</v>
      </c>
      <c r="AS2623" s="22">
        <f t="shared" si="801"/>
        <v>3</v>
      </c>
      <c r="AT2623" s="24" t="str">
        <f t="shared" si="802"/>
        <v>0-3 months</v>
      </c>
    </row>
    <row r="2624" spans="1:46" s="12" customFormat="1">
      <c r="A2624" s="33" t="str">
        <f t="shared" si="790"/>
        <v>FY 17/18</v>
      </c>
      <c r="B2624" s="152">
        <v>2017</v>
      </c>
      <c r="C2624" s="152">
        <v>12</v>
      </c>
      <c r="D2624" s="33" t="str">
        <f t="shared" si="791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92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93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89"/>
        <v>11820000</v>
      </c>
      <c r="AA2624" s="13">
        <v>7.2099999999999997E-2</v>
      </c>
      <c r="AB2624" s="21">
        <f t="shared" si="794"/>
        <v>852222</v>
      </c>
      <c r="AC2624" s="130">
        <f t="shared" si="795"/>
        <v>137122.51979999998</v>
      </c>
      <c r="AD2624" s="169">
        <v>0.16089999999999999</v>
      </c>
      <c r="AE2624" s="154">
        <f t="shared" si="79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84"/>
        <v>26754147.763010349</v>
      </c>
      <c r="AJ2624" s="19">
        <f t="shared" si="785"/>
        <v>3429137.9965357962</v>
      </c>
      <c r="AK2624" s="20">
        <f t="shared" si="797"/>
        <v>0.12817220069617921</v>
      </c>
      <c r="AL2624" s="17"/>
      <c r="AM2624" s="17"/>
      <c r="AN2624" s="17"/>
      <c r="AO2624" s="17"/>
      <c r="AP2624" s="28" t="str">
        <f t="shared" si="798"/>
        <v>20188</v>
      </c>
      <c r="AQ2624" s="28" t="str">
        <f t="shared" si="799"/>
        <v>20188JPY</v>
      </c>
      <c r="AR2624" s="206" t="str">
        <f t="shared" si="800"/>
        <v>YAMAHA_Mounter</v>
      </c>
      <c r="AS2624" s="22">
        <f t="shared" si="801"/>
        <v>8</v>
      </c>
      <c r="AT2624" s="24" t="str">
        <f t="shared" si="802"/>
        <v>&gt; 6 months</v>
      </c>
    </row>
    <row r="2625" spans="1:46" s="12" customFormat="1">
      <c r="A2625" s="33" t="str">
        <f t="shared" si="790"/>
        <v>FY 18/19</v>
      </c>
      <c r="B2625" s="152">
        <v>2018</v>
      </c>
      <c r="C2625" s="152">
        <v>8</v>
      </c>
      <c r="D2625" s="33" t="str">
        <f t="shared" si="791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92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93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89"/>
        <v>11000000</v>
      </c>
      <c r="AA2625" s="13">
        <v>7.0199999999999999E-2</v>
      </c>
      <c r="AB2625" s="21">
        <f t="shared" si="794"/>
        <v>772200</v>
      </c>
      <c r="AC2625" s="130">
        <f t="shared" si="795"/>
        <v>81853.2</v>
      </c>
      <c r="AD2625" s="169">
        <v>0.106</v>
      </c>
      <c r="AE2625" s="154">
        <f t="shared" si="79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84"/>
        <v>10786543.370020689</v>
      </c>
      <c r="AJ2625" s="19">
        <f t="shared" si="785"/>
        <v>1330367.5841569281</v>
      </c>
      <c r="AK2625" s="20">
        <f t="shared" si="797"/>
        <v>0.123335858255987</v>
      </c>
      <c r="AL2625" s="17"/>
      <c r="AM2625" s="17"/>
      <c r="AN2625" s="17"/>
      <c r="AO2625" s="17"/>
      <c r="AP2625" s="28" t="str">
        <f t="shared" si="798"/>
        <v>201810</v>
      </c>
      <c r="AQ2625" s="28" t="str">
        <f t="shared" si="799"/>
        <v>201810JPY</v>
      </c>
      <c r="AR2625" s="206" t="str">
        <f t="shared" si="800"/>
        <v>YAMAHA_Mounter</v>
      </c>
      <c r="AS2625" s="22">
        <f t="shared" si="801"/>
        <v>2</v>
      </c>
      <c r="AT2625" s="24" t="str">
        <f t="shared" si="802"/>
        <v>0-3 months</v>
      </c>
    </row>
    <row r="2626" spans="1:46" s="12" customFormat="1">
      <c r="A2626" s="33" t="str">
        <f t="shared" si="790"/>
        <v>FY 20/21</v>
      </c>
      <c r="B2626" s="152">
        <v>2020</v>
      </c>
      <c r="C2626" s="152">
        <v>8</v>
      </c>
      <c r="D2626" s="33" t="str">
        <f t="shared" si="791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92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93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89"/>
        <v>500000</v>
      </c>
      <c r="AA2626" s="13">
        <v>1.155</v>
      </c>
      <c r="AB2626" s="21">
        <f t="shared" si="794"/>
        <v>511061.94690265495</v>
      </c>
      <c r="AC2626" s="130">
        <f t="shared" si="795"/>
        <v>63422.787610619482</v>
      </c>
      <c r="AD2626" s="169">
        <v>0.1241</v>
      </c>
      <c r="AE2626" s="154">
        <f t="shared" si="79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803">IF(P2626="C66 SERVICE","",SUMIFS(AB:AB,F:F,F2626,G:G,G2626,E:E,E2626))</f>
        <v>44078731.611185849</v>
      </c>
      <c r="AJ2626" s="19">
        <f t="shared" ref="AJ2626:AJ2689" si="804">IF(P2626="C66 SERVICE","",SUMIFS(AC:AC,F:F,F2626,G:G,G2626,E:E,E2626))</f>
        <v>5508173.2163771465</v>
      </c>
      <c r="AK2626" s="20">
        <f t="shared" si="797"/>
        <v>0.12496215328889679</v>
      </c>
      <c r="AL2626" s="17"/>
      <c r="AM2626" s="17"/>
      <c r="AN2626" s="17"/>
      <c r="AO2626" s="17"/>
      <c r="AP2626" s="28" t="str">
        <f t="shared" si="798"/>
        <v>202011</v>
      </c>
      <c r="AQ2626" s="28" t="str">
        <f t="shared" si="799"/>
        <v>202011RMB</v>
      </c>
      <c r="AR2626" s="206" t="str">
        <f t="shared" si="800"/>
        <v>YAMAHA_Mounter</v>
      </c>
      <c r="AS2626" s="22">
        <f t="shared" si="801"/>
        <v>3</v>
      </c>
      <c r="AT2626" s="24" t="str">
        <f t="shared" si="802"/>
        <v>0-3 months</v>
      </c>
    </row>
    <row r="2627" spans="1:46" s="12" customFormat="1">
      <c r="A2627" s="33" t="str">
        <f t="shared" si="790"/>
        <v>cancel</v>
      </c>
      <c r="B2627" s="152"/>
      <c r="C2627" s="152" t="s">
        <v>186</v>
      </c>
      <c r="D2627" s="33" t="str">
        <f t="shared" si="791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92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93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89"/>
        <v>11000000</v>
      </c>
      <c r="AA2627" s="13">
        <v>7.0199999999999999E-2</v>
      </c>
      <c r="AB2627" s="21">
        <f t="shared" si="794"/>
        <v>772200</v>
      </c>
      <c r="AC2627" s="130">
        <f t="shared" si="795"/>
        <v>92664</v>
      </c>
      <c r="AD2627" s="169">
        <v>0.12</v>
      </c>
      <c r="AE2627" s="154">
        <f t="shared" si="79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803"/>
        <v>477651199.57437885</v>
      </c>
      <c r="AJ2627" s="19">
        <f t="shared" si="804"/>
        <v>56918800.518691957</v>
      </c>
      <c r="AK2627" s="20">
        <f t="shared" si="797"/>
        <v>0.11916394341605475</v>
      </c>
      <c r="AL2627" s="17"/>
      <c r="AM2627" s="17"/>
      <c r="AN2627" s="17"/>
      <c r="AO2627" s="17"/>
      <c r="AP2627" s="28" t="str">
        <f t="shared" si="798"/>
        <v>CancelCancel</v>
      </c>
      <c r="AQ2627" s="28" t="str">
        <f t="shared" si="799"/>
        <v>CancelCancelJPY</v>
      </c>
      <c r="AR2627" s="206" t="str">
        <f t="shared" si="800"/>
        <v>YAMAHA_Mounter</v>
      </c>
      <c r="AS2627" s="22" t="str">
        <f t="shared" si="801"/>
        <v/>
      </c>
      <c r="AT2627" s="24" t="str">
        <f t="shared" si="802"/>
        <v/>
      </c>
    </row>
    <row r="2628" spans="1:46" s="12" customFormat="1">
      <c r="A2628" s="33" t="str">
        <f t="shared" si="790"/>
        <v>FY 20/21</v>
      </c>
      <c r="B2628" s="152">
        <v>2021</v>
      </c>
      <c r="C2628" s="152">
        <v>3</v>
      </c>
      <c r="D2628" s="33" t="str">
        <f t="shared" si="791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92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93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89"/>
        <v>10100000</v>
      </c>
      <c r="AA2628" s="13">
        <v>7.0000000000000007E-2</v>
      </c>
      <c r="AB2628" s="21">
        <f t="shared" si="794"/>
        <v>707000.00000000012</v>
      </c>
      <c r="AC2628" s="130">
        <f t="shared" si="795"/>
        <v>54863.200000000012</v>
      </c>
      <c r="AD2628" s="169">
        <v>7.7600000000000002E-2</v>
      </c>
      <c r="AE2628" s="154">
        <f t="shared" si="79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803"/>
        <v>29500529.005044252</v>
      </c>
      <c r="AJ2628" s="19">
        <f t="shared" si="804"/>
        <v>3253064.846231177</v>
      </c>
      <c r="AK2628" s="20">
        <f t="shared" si="797"/>
        <v>0.11027140718984871</v>
      </c>
      <c r="AL2628" s="17"/>
      <c r="AM2628" s="17"/>
      <c r="AN2628" s="17"/>
      <c r="AO2628" s="17"/>
      <c r="AP2628" s="28" t="str">
        <f t="shared" si="798"/>
        <v>202111</v>
      </c>
      <c r="AQ2628" s="28" t="str">
        <f t="shared" si="799"/>
        <v>202111JPY</v>
      </c>
      <c r="AR2628" s="206" t="str">
        <f t="shared" si="800"/>
        <v>YAMAHA_Mounter</v>
      </c>
      <c r="AS2628" s="22">
        <f t="shared" si="801"/>
        <v>8</v>
      </c>
      <c r="AT2628" s="24" t="str">
        <f t="shared" si="802"/>
        <v>&gt; 6 months</v>
      </c>
    </row>
    <row r="2629" spans="1:46" s="12" customFormat="1">
      <c r="A2629" s="33" t="str">
        <f t="shared" si="790"/>
        <v>FY 23/24</v>
      </c>
      <c r="B2629" s="152">
        <v>2023</v>
      </c>
      <c r="C2629" s="152">
        <v>7</v>
      </c>
      <c r="D2629" s="33" t="str">
        <f t="shared" si="791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92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93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89"/>
        <v>420000</v>
      </c>
      <c r="AA2629" s="13">
        <v>1.0920000000000001</v>
      </c>
      <c r="AB2629" s="21">
        <f t="shared" si="794"/>
        <v>405876.10619469034</v>
      </c>
      <c r="AC2629" s="130">
        <f t="shared" si="795"/>
        <v>48542.782300884966</v>
      </c>
      <c r="AD2629" s="169">
        <v>0.1196</v>
      </c>
      <c r="AE2629" s="154">
        <f t="shared" si="79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803"/>
        <v>22953677.784070797</v>
      </c>
      <c r="AJ2629" s="19">
        <f t="shared" si="804"/>
        <v>4168706.6744155753</v>
      </c>
      <c r="AK2629" s="20">
        <f t="shared" si="797"/>
        <v>0.18161388835511752</v>
      </c>
      <c r="AL2629" s="17"/>
      <c r="AM2629" s="17"/>
      <c r="AN2629" s="17"/>
      <c r="AO2629" s="17"/>
      <c r="AP2629" s="28" t="str">
        <f t="shared" si="798"/>
        <v>20238</v>
      </c>
      <c r="AQ2629" s="28" t="str">
        <f t="shared" si="799"/>
        <v>20238RMB</v>
      </c>
      <c r="AR2629" s="206" t="str">
        <f t="shared" si="800"/>
        <v>YAMAHA_Mounter</v>
      </c>
      <c r="AS2629" s="22">
        <f t="shared" si="801"/>
        <v>1</v>
      </c>
      <c r="AT2629" s="24" t="str">
        <f t="shared" si="802"/>
        <v>0-3 months</v>
      </c>
    </row>
    <row r="2630" spans="1:46" s="12" customFormat="1">
      <c r="A2630" s="33" t="str">
        <f t="shared" si="790"/>
        <v>FY 19/20</v>
      </c>
      <c r="B2630" s="152">
        <v>2019</v>
      </c>
      <c r="C2630" s="152">
        <v>8</v>
      </c>
      <c r="D2630" s="33" t="str">
        <f t="shared" si="791"/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si="792"/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93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89"/>
        <v>785000</v>
      </c>
      <c r="AA2630" s="13">
        <v>1.095</v>
      </c>
      <c r="AB2630" s="21">
        <f t="shared" si="794"/>
        <v>760685.84070796461</v>
      </c>
      <c r="AC2630" s="130">
        <f t="shared" si="795"/>
        <v>84436.128318584073</v>
      </c>
      <c r="AD2630" s="169">
        <v>0.111</v>
      </c>
      <c r="AE2630" s="154">
        <f t="shared" si="796"/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803"/>
        <v>37599388.802345134</v>
      </c>
      <c r="AJ2630" s="19">
        <f t="shared" si="804"/>
        <v>4866784.3630338367</v>
      </c>
      <c r="AK2630" s="20">
        <f t="shared" si="797"/>
        <v>0.12943785838163113</v>
      </c>
      <c r="AL2630" s="17"/>
      <c r="AM2630" s="17"/>
      <c r="AN2630" s="17"/>
      <c r="AO2630" s="17"/>
      <c r="AP2630" s="28" t="str">
        <f t="shared" si="798"/>
        <v>20199</v>
      </c>
      <c r="AQ2630" s="28" t="str">
        <f t="shared" si="799"/>
        <v>20199RMB</v>
      </c>
      <c r="AR2630" s="206" t="str">
        <f t="shared" si="800"/>
        <v>YAMAHA_Mounter</v>
      </c>
      <c r="AS2630" s="22">
        <f t="shared" si="801"/>
        <v>1</v>
      </c>
      <c r="AT2630" s="24" t="str">
        <f t="shared" si="802"/>
        <v>0-3 months</v>
      </c>
    </row>
    <row r="2631" spans="1:46" s="12" customFormat="1">
      <c r="A2631" s="33" t="str">
        <f t="shared" si="790"/>
        <v>FY 20/21</v>
      </c>
      <c r="B2631" s="152">
        <v>2020</v>
      </c>
      <c r="C2631" s="152">
        <v>6</v>
      </c>
      <c r="D2631" s="33" t="str">
        <f t="shared" si="791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92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93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89"/>
        <v>590000</v>
      </c>
      <c r="AA2631" s="13">
        <v>1.095</v>
      </c>
      <c r="AB2631" s="21">
        <f t="shared" si="794"/>
        <v>571725.66371681425</v>
      </c>
      <c r="AC2631" s="130">
        <f t="shared" si="795"/>
        <v>77182.964601769927</v>
      </c>
      <c r="AD2631" s="169">
        <v>0.13500000000000001</v>
      </c>
      <c r="AE2631" s="154">
        <f t="shared" si="796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803"/>
        <v>35384300.169380538</v>
      </c>
      <c r="AJ2631" s="19">
        <f t="shared" si="804"/>
        <v>5044538.8896988509</v>
      </c>
      <c r="AK2631" s="20">
        <f t="shared" si="797"/>
        <v>0.14256432557804533</v>
      </c>
      <c r="AL2631" s="17"/>
      <c r="AM2631" s="17"/>
      <c r="AN2631" s="17"/>
      <c r="AO2631" s="17"/>
      <c r="AP2631" s="28" t="str">
        <f t="shared" si="798"/>
        <v>20207</v>
      </c>
      <c r="AQ2631" s="28" t="str">
        <f t="shared" si="799"/>
        <v>20207RMB</v>
      </c>
      <c r="AR2631" s="206" t="str">
        <f t="shared" si="800"/>
        <v>YAMAHA_Mounter</v>
      </c>
      <c r="AS2631" s="22">
        <f t="shared" si="801"/>
        <v>1</v>
      </c>
      <c r="AT2631" s="24" t="str">
        <f t="shared" si="802"/>
        <v>0-3 months</v>
      </c>
    </row>
    <row r="2632" spans="1:46" s="12" customFormat="1">
      <c r="A2632" s="33" t="str">
        <f t="shared" si="790"/>
        <v>FY 20/21</v>
      </c>
      <c r="B2632" s="152">
        <v>2020</v>
      </c>
      <c r="C2632" s="152">
        <v>4</v>
      </c>
      <c r="D2632" s="33" t="str">
        <f t="shared" si="791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92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93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89"/>
        <v>530000</v>
      </c>
      <c r="AA2632" s="13">
        <v>1.095</v>
      </c>
      <c r="AB2632" s="21">
        <f t="shared" si="794"/>
        <v>513584.0707964602</v>
      </c>
      <c r="AC2632" s="130">
        <f t="shared" si="795"/>
        <v>66252.345132743372</v>
      </c>
      <c r="AD2632" s="169">
        <v>0.129</v>
      </c>
      <c r="AE2632" s="154">
        <f t="shared" si="796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803"/>
        <v>33477255.428389374</v>
      </c>
      <c r="AJ2632" s="19">
        <f t="shared" si="804"/>
        <v>4578663.362915583</v>
      </c>
      <c r="AK2632" s="20">
        <f t="shared" si="797"/>
        <v>0.13676937682988152</v>
      </c>
      <c r="AL2632" s="17"/>
      <c r="AM2632" s="17"/>
      <c r="AN2632" s="17"/>
      <c r="AO2632" s="17"/>
      <c r="AP2632" s="28" t="str">
        <f t="shared" si="798"/>
        <v>20204</v>
      </c>
      <c r="AQ2632" s="28" t="str">
        <f t="shared" si="799"/>
        <v>20204RMB</v>
      </c>
      <c r="AR2632" s="206" t="str">
        <f t="shared" si="800"/>
        <v>YAMAHA_Mounter</v>
      </c>
      <c r="AS2632" s="22">
        <f t="shared" si="801"/>
        <v>0</v>
      </c>
      <c r="AT2632" s="24" t="str">
        <f t="shared" si="802"/>
        <v>0-3 months</v>
      </c>
    </row>
    <row r="2633" spans="1:46" s="12" customFormat="1">
      <c r="A2633" s="33" t="str">
        <f t="shared" si="790"/>
        <v>FY 20/21</v>
      </c>
      <c r="B2633" s="152">
        <v>2021</v>
      </c>
      <c r="C2633" s="152">
        <v>2</v>
      </c>
      <c r="D2633" s="33" t="str">
        <f t="shared" si="791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92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93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89"/>
        <v>500000</v>
      </c>
      <c r="AA2633" s="13">
        <v>1.18</v>
      </c>
      <c r="AB2633" s="21">
        <f t="shared" si="794"/>
        <v>522123.89380530978</v>
      </c>
      <c r="AC2633" s="130">
        <f t="shared" si="795"/>
        <v>96801.769911504438</v>
      </c>
      <c r="AD2633" s="169">
        <v>0.18540000000000001</v>
      </c>
      <c r="AE2633" s="154">
        <f t="shared" si="796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803"/>
        <v>43684091.636631854</v>
      </c>
      <c r="AJ2633" s="19">
        <f t="shared" si="804"/>
        <v>6483951.8242071122</v>
      </c>
      <c r="AK2633" s="20">
        <f t="shared" si="797"/>
        <v>0.14842821680123736</v>
      </c>
      <c r="AL2633" s="17"/>
      <c r="AM2633" s="17"/>
      <c r="AN2633" s="17"/>
      <c r="AO2633" s="17"/>
      <c r="AP2633" s="28" t="str">
        <f t="shared" si="798"/>
        <v>20214</v>
      </c>
      <c r="AQ2633" s="28" t="str">
        <f t="shared" si="799"/>
        <v>20214RMB</v>
      </c>
      <c r="AR2633" s="206" t="str">
        <f t="shared" si="800"/>
        <v>YAMAHA_Mounter</v>
      </c>
      <c r="AS2633" s="22">
        <f t="shared" si="801"/>
        <v>2</v>
      </c>
      <c r="AT2633" s="24" t="str">
        <f t="shared" si="802"/>
        <v>0-3 months</v>
      </c>
    </row>
    <row r="2634" spans="1:46" s="12" customFormat="1">
      <c r="A2634" s="33" t="str">
        <f t="shared" si="790"/>
        <v>FY 22/23</v>
      </c>
      <c r="B2634" s="152">
        <v>2022</v>
      </c>
      <c r="C2634" s="152">
        <v>7</v>
      </c>
      <c r="D2634" s="33" t="str">
        <f t="shared" si="791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92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93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si="789"/>
        <v>475000</v>
      </c>
      <c r="AA2634" s="13">
        <v>1.163</v>
      </c>
      <c r="AB2634" s="21">
        <f t="shared" si="794"/>
        <v>488871.68141592928</v>
      </c>
      <c r="AC2634" s="130">
        <f t="shared" si="795"/>
        <v>55731.371681415942</v>
      </c>
      <c r="AD2634" s="169">
        <v>0.114</v>
      </c>
      <c r="AE2634" s="154">
        <f t="shared" si="796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803"/>
        <v>35073581.838938057</v>
      </c>
      <c r="AJ2634" s="19">
        <f t="shared" si="804"/>
        <v>5034113.9728989396</v>
      </c>
      <c r="AK2634" s="20">
        <f t="shared" si="797"/>
        <v>0.14353007902118958</v>
      </c>
      <c r="AL2634" s="17"/>
      <c r="AM2634" s="17"/>
      <c r="AN2634" s="17"/>
      <c r="AO2634" s="17"/>
      <c r="AP2634" s="28" t="str">
        <f t="shared" si="798"/>
        <v>20228</v>
      </c>
      <c r="AQ2634" s="28" t="str">
        <f t="shared" si="799"/>
        <v>20228RMB</v>
      </c>
      <c r="AR2634" s="206" t="str">
        <f t="shared" si="800"/>
        <v>YAMAHA_Mounter</v>
      </c>
      <c r="AS2634" s="22">
        <f t="shared" si="801"/>
        <v>1</v>
      </c>
      <c r="AT2634" s="24" t="str">
        <f t="shared" si="802"/>
        <v>0-3 months</v>
      </c>
    </row>
    <row r="2635" spans="1:46" s="12" customFormat="1">
      <c r="A2635" s="33" t="str">
        <f t="shared" si="790"/>
        <v>FY 22/23</v>
      </c>
      <c r="B2635" s="152">
        <v>2022</v>
      </c>
      <c r="C2635" s="152">
        <v>7</v>
      </c>
      <c r="D2635" s="33" t="str">
        <f t="shared" si="791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92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93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89"/>
        <v>475000</v>
      </c>
      <c r="AA2635" s="13">
        <v>1.135</v>
      </c>
      <c r="AB2635" s="21">
        <f t="shared" si="794"/>
        <v>477101.76991150453</v>
      </c>
      <c r="AC2635" s="130">
        <f t="shared" si="795"/>
        <v>54389.601769911518</v>
      </c>
      <c r="AD2635" s="169">
        <v>0.114</v>
      </c>
      <c r="AE2635" s="154">
        <f t="shared" si="796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803"/>
        <v>15948576.102654871</v>
      </c>
      <c r="AJ2635" s="19">
        <f t="shared" si="804"/>
        <v>2739848.7004853105</v>
      </c>
      <c r="AK2635" s="20">
        <f t="shared" si="797"/>
        <v>0.17179268436567344</v>
      </c>
      <c r="AL2635" s="17"/>
      <c r="AM2635" s="17"/>
      <c r="AN2635" s="17"/>
      <c r="AO2635" s="17"/>
      <c r="AP2635" s="28" t="str">
        <f t="shared" si="798"/>
        <v>20229</v>
      </c>
      <c r="AQ2635" s="28" t="str">
        <f t="shared" si="799"/>
        <v>20229RMB</v>
      </c>
      <c r="AR2635" s="206" t="str">
        <f t="shared" si="800"/>
        <v>YAMAHA_Mounter</v>
      </c>
      <c r="AS2635" s="22">
        <f t="shared" si="801"/>
        <v>2</v>
      </c>
      <c r="AT2635" s="24" t="str">
        <f t="shared" si="802"/>
        <v>0-3 months</v>
      </c>
    </row>
    <row r="2636" spans="1:46" s="12" customFormat="1">
      <c r="A2636" s="33" t="str">
        <f t="shared" si="790"/>
        <v>FY 22/23</v>
      </c>
      <c r="B2636" s="152">
        <v>2022</v>
      </c>
      <c r="C2636" s="152">
        <v>10</v>
      </c>
      <c r="D2636" s="33" t="str">
        <f t="shared" si="791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92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93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89"/>
        <v>18000000</v>
      </c>
      <c r="AA2636" s="13">
        <v>5.5399999999999998E-2</v>
      </c>
      <c r="AB2636" s="21">
        <f t="shared" si="794"/>
        <v>997200</v>
      </c>
      <c r="AC2636" s="130">
        <f t="shared" si="795"/>
        <v>80075.16</v>
      </c>
      <c r="AD2636" s="169">
        <v>8.0299999999999996E-2</v>
      </c>
      <c r="AE2636" s="154">
        <f t="shared" si="796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803"/>
        <v>22717528.991150443</v>
      </c>
      <c r="AJ2636" s="19">
        <f t="shared" si="804"/>
        <v>3947747.192555753</v>
      </c>
      <c r="AK2636" s="20">
        <f t="shared" si="797"/>
        <v>0.1737753782153679</v>
      </c>
      <c r="AL2636" s="17"/>
      <c r="AM2636" s="17"/>
      <c r="AN2636" s="17"/>
      <c r="AO2636" s="17"/>
      <c r="AP2636" s="28" t="str">
        <f t="shared" si="798"/>
        <v>202210</v>
      </c>
      <c r="AQ2636" s="28" t="str">
        <f t="shared" si="799"/>
        <v>202210JPY</v>
      </c>
      <c r="AR2636" s="206" t="str">
        <f t="shared" si="800"/>
        <v>YAMAHA_Mounter</v>
      </c>
      <c r="AS2636" s="22">
        <f t="shared" si="801"/>
        <v>0</v>
      </c>
      <c r="AT2636" s="24" t="str">
        <f t="shared" si="802"/>
        <v>0-3 months</v>
      </c>
    </row>
    <row r="2637" spans="1:46" s="12" customFormat="1">
      <c r="A2637" s="33" t="str">
        <f t="shared" si="790"/>
        <v>FY 22/23</v>
      </c>
      <c r="B2637" s="152">
        <v>2022</v>
      </c>
      <c r="C2637" s="152">
        <v>10</v>
      </c>
      <c r="D2637" s="33" t="str">
        <f t="shared" si="791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92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93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89"/>
        <v>11500000</v>
      </c>
      <c r="AA2637" s="13">
        <v>5.5399999999999998E-2</v>
      </c>
      <c r="AB2637" s="21">
        <f t="shared" si="794"/>
        <v>637100</v>
      </c>
      <c r="AC2637" s="130">
        <f t="shared" si="795"/>
        <v>51159.13</v>
      </c>
      <c r="AD2637" s="169">
        <v>8.0299999999999996E-2</v>
      </c>
      <c r="AE2637" s="154">
        <f t="shared" si="796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803"/>
        <v>22717528.991150443</v>
      </c>
      <c r="AJ2637" s="19">
        <f t="shared" si="804"/>
        <v>3947747.192555753</v>
      </c>
      <c r="AK2637" s="20">
        <f t="shared" si="797"/>
        <v>0.1737753782153679</v>
      </c>
      <c r="AL2637" s="17"/>
      <c r="AM2637" s="17"/>
      <c r="AN2637" s="17"/>
      <c r="AO2637" s="17"/>
      <c r="AP2637" s="28" t="str">
        <f t="shared" si="798"/>
        <v>202210</v>
      </c>
      <c r="AQ2637" s="28" t="str">
        <f t="shared" si="799"/>
        <v>202210JPY</v>
      </c>
      <c r="AR2637" s="206" t="str">
        <f t="shared" si="800"/>
        <v>YAMAHA_Mounter</v>
      </c>
      <c r="AS2637" s="22">
        <f t="shared" si="801"/>
        <v>0</v>
      </c>
      <c r="AT2637" s="24" t="str">
        <f t="shared" si="802"/>
        <v>0-3 months</v>
      </c>
    </row>
    <row r="2638" spans="1:46" s="12" customFormat="1">
      <c r="A2638" s="33" t="str">
        <f t="shared" si="790"/>
        <v>FY 20/21</v>
      </c>
      <c r="B2638" s="152">
        <v>2020</v>
      </c>
      <c r="C2638" s="152">
        <v>7</v>
      </c>
      <c r="D2638" s="33" t="str">
        <f t="shared" si="791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92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93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89"/>
        <v>1600000</v>
      </c>
      <c r="AA2638" s="13">
        <v>1.135</v>
      </c>
      <c r="AB2638" s="21">
        <f t="shared" si="794"/>
        <v>1607079.6460176993</v>
      </c>
      <c r="AC2638" s="130">
        <f t="shared" si="795"/>
        <v>260186.19469026549</v>
      </c>
      <c r="AD2638" s="169">
        <v>0.16189999999999999</v>
      </c>
      <c r="AE2638" s="154">
        <f t="shared" si="796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803"/>
        <v>28011162.254106201</v>
      </c>
      <c r="AJ2638" s="19">
        <f t="shared" si="804"/>
        <v>3401347.1124888416</v>
      </c>
      <c r="AK2638" s="20">
        <f t="shared" si="797"/>
        <v>0.12142827497242578</v>
      </c>
      <c r="AL2638" s="17"/>
      <c r="AM2638" s="17"/>
      <c r="AN2638" s="17"/>
      <c r="AO2638" s="17"/>
      <c r="AP2638" s="28" t="str">
        <f t="shared" si="798"/>
        <v>202010</v>
      </c>
      <c r="AQ2638" s="28" t="str">
        <f t="shared" si="799"/>
        <v>202010RMB</v>
      </c>
      <c r="AR2638" s="206" t="str">
        <f t="shared" si="800"/>
        <v>YAMAHA_Mounter</v>
      </c>
      <c r="AS2638" s="22">
        <f t="shared" si="801"/>
        <v>3</v>
      </c>
      <c r="AT2638" s="24" t="str">
        <f t="shared" si="802"/>
        <v>0-3 months</v>
      </c>
    </row>
    <row r="2639" spans="1:46" s="12" customFormat="1">
      <c r="A2639" s="33" t="str">
        <f t="shared" si="790"/>
        <v>FY 21/22</v>
      </c>
      <c r="B2639" s="152">
        <v>2021</v>
      </c>
      <c r="C2639" s="152">
        <v>11</v>
      </c>
      <c r="D2639" s="33" t="str">
        <f t="shared" si="791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92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93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805">IF(W2639="RMB","1.13", "1")</f>
        <v>1</v>
      </c>
      <c r="Z2639" s="18">
        <f t="shared" si="789"/>
        <v>14500000</v>
      </c>
      <c r="AA2639" s="13">
        <v>6.9199999999999998E-2</v>
      </c>
      <c r="AB2639" s="21">
        <f t="shared" si="794"/>
        <v>1003400</v>
      </c>
      <c r="AC2639" s="130">
        <f t="shared" si="795"/>
        <v>142683.47999999998</v>
      </c>
      <c r="AD2639" s="169">
        <v>0.14219999999999999</v>
      </c>
      <c r="AE2639" s="154">
        <f t="shared" si="796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803"/>
        <v>31750699.113741599</v>
      </c>
      <c r="AJ2639" s="19">
        <f t="shared" si="804"/>
        <v>4396077.3195289988</v>
      </c>
      <c r="AK2639" s="20">
        <f t="shared" si="797"/>
        <v>0.13845607946397598</v>
      </c>
      <c r="AL2639" s="17"/>
      <c r="AM2639" s="17"/>
      <c r="AN2639" s="17"/>
      <c r="AO2639" s="17"/>
      <c r="AP2639" s="28" t="str">
        <f t="shared" si="798"/>
        <v>20222</v>
      </c>
      <c r="AQ2639" s="28" t="str">
        <f t="shared" si="799"/>
        <v>20222JPY</v>
      </c>
      <c r="AR2639" s="206" t="str">
        <f t="shared" si="800"/>
        <v>YAMAHA_Mounter</v>
      </c>
      <c r="AS2639" s="22">
        <f t="shared" si="801"/>
        <v>3</v>
      </c>
      <c r="AT2639" s="24" t="str">
        <f t="shared" si="802"/>
        <v>0-3 months</v>
      </c>
    </row>
    <row r="2640" spans="1:46" s="12" customFormat="1">
      <c r="A2640" s="33" t="str">
        <f t="shared" si="790"/>
        <v>FY 21/22</v>
      </c>
      <c r="B2640" s="152">
        <v>2021</v>
      </c>
      <c r="C2640" s="152">
        <v>11</v>
      </c>
      <c r="D2640" s="33" t="str">
        <f t="shared" si="791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92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93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805"/>
        <v>1</v>
      </c>
      <c r="Z2640" s="18">
        <f t="shared" si="789"/>
        <v>14500000</v>
      </c>
      <c r="AA2640" s="13">
        <v>6.9199999999999998E-2</v>
      </c>
      <c r="AB2640" s="21">
        <f t="shared" si="794"/>
        <v>1003400</v>
      </c>
      <c r="AC2640" s="130">
        <f t="shared" si="795"/>
        <v>142683.47999999998</v>
      </c>
      <c r="AD2640" s="169">
        <v>0.14219999999999999</v>
      </c>
      <c r="AE2640" s="154">
        <f t="shared" si="796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803"/>
        <v>31750699.113741599</v>
      </c>
      <c r="AJ2640" s="19">
        <f t="shared" si="804"/>
        <v>4396077.3195289988</v>
      </c>
      <c r="AK2640" s="20">
        <f t="shared" si="797"/>
        <v>0.13845607946397598</v>
      </c>
      <c r="AL2640" s="17"/>
      <c r="AM2640" s="17"/>
      <c r="AN2640" s="17"/>
      <c r="AO2640" s="17"/>
      <c r="AP2640" s="28" t="str">
        <f t="shared" si="798"/>
        <v>20222</v>
      </c>
      <c r="AQ2640" s="28" t="str">
        <f t="shared" si="799"/>
        <v>20222JPY</v>
      </c>
      <c r="AR2640" s="206" t="str">
        <f t="shared" si="800"/>
        <v>YAMAHA_Mounter</v>
      </c>
      <c r="AS2640" s="22">
        <f t="shared" si="801"/>
        <v>3</v>
      </c>
      <c r="AT2640" s="24" t="str">
        <f t="shared" si="802"/>
        <v>0-3 months</v>
      </c>
    </row>
    <row r="2641" spans="1:46" s="12" customFormat="1">
      <c r="A2641" s="33" t="str">
        <f t="shared" si="790"/>
        <v>FY 21/22</v>
      </c>
      <c r="B2641" s="152">
        <v>2021</v>
      </c>
      <c r="C2641" s="152">
        <v>11</v>
      </c>
      <c r="D2641" s="33" t="str">
        <f t="shared" si="791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92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93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805"/>
        <v>1</v>
      </c>
      <c r="Z2641" s="18">
        <f t="shared" si="789"/>
        <v>10000000</v>
      </c>
      <c r="AA2641" s="13">
        <v>6.9199999999999998E-2</v>
      </c>
      <c r="AB2641" s="21">
        <f t="shared" si="794"/>
        <v>692000</v>
      </c>
      <c r="AC2641" s="130">
        <f t="shared" si="795"/>
        <v>98402.4</v>
      </c>
      <c r="AD2641" s="169">
        <v>0.14219999999999999</v>
      </c>
      <c r="AE2641" s="154">
        <f t="shared" si="796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803"/>
        <v>31750699.113741599</v>
      </c>
      <c r="AJ2641" s="19">
        <f t="shared" si="804"/>
        <v>4396077.3195289988</v>
      </c>
      <c r="AK2641" s="20">
        <f t="shared" si="797"/>
        <v>0.13845607946397598</v>
      </c>
      <c r="AL2641" s="17"/>
      <c r="AM2641" s="17"/>
      <c r="AN2641" s="17"/>
      <c r="AO2641" s="17"/>
      <c r="AP2641" s="28" t="str">
        <f t="shared" si="798"/>
        <v>20222</v>
      </c>
      <c r="AQ2641" s="28" t="str">
        <f t="shared" si="799"/>
        <v>20222JPY</v>
      </c>
      <c r="AR2641" s="206" t="str">
        <f t="shared" si="800"/>
        <v>YAMAHA_Mounter</v>
      </c>
      <c r="AS2641" s="22">
        <f t="shared" si="801"/>
        <v>3</v>
      </c>
      <c r="AT2641" s="24" t="str">
        <f t="shared" si="802"/>
        <v>0-3 months</v>
      </c>
    </row>
    <row r="2642" spans="1:46" s="12" customFormat="1">
      <c r="A2642" s="33" t="str">
        <f t="shared" si="790"/>
        <v>FY 23/24</v>
      </c>
      <c r="B2642" s="152">
        <v>2023</v>
      </c>
      <c r="C2642" s="152">
        <v>7</v>
      </c>
      <c r="D2642" s="33" t="str">
        <f t="shared" si="791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92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93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805"/>
        <v>1</v>
      </c>
      <c r="Z2642" s="18">
        <f t="shared" si="789"/>
        <v>15000000</v>
      </c>
      <c r="AA2642" s="13">
        <v>5.3400000000000003E-2</v>
      </c>
      <c r="AB2642" s="21">
        <f t="shared" si="794"/>
        <v>801000</v>
      </c>
      <c r="AC2642" s="130">
        <f t="shared" si="795"/>
        <v>123193.79999999999</v>
      </c>
      <c r="AD2642" s="169">
        <v>0.15379999999999999</v>
      </c>
      <c r="AE2642" s="154">
        <f t="shared" si="796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803"/>
        <v>477651199.57437885</v>
      </c>
      <c r="AJ2642" s="19">
        <f t="shared" si="804"/>
        <v>56918800.518691957</v>
      </c>
      <c r="AK2642" s="20">
        <f t="shared" si="797"/>
        <v>0.11916394341605475</v>
      </c>
      <c r="AL2642" s="17"/>
      <c r="AM2642" s="17"/>
      <c r="AN2642" s="17"/>
      <c r="AO2642" s="17"/>
      <c r="AP2642" s="28" t="str">
        <f t="shared" si="798"/>
        <v>CancelCancel</v>
      </c>
      <c r="AQ2642" s="28" t="str">
        <f t="shared" si="799"/>
        <v>CancelCancelJPY</v>
      </c>
      <c r="AR2642" s="206" t="str">
        <f t="shared" si="800"/>
        <v>YAMAHA_Mounter</v>
      </c>
      <c r="AS2642" s="22" t="str">
        <f t="shared" si="801"/>
        <v/>
      </c>
      <c r="AT2642" s="24" t="str">
        <f t="shared" si="802"/>
        <v/>
      </c>
    </row>
    <row r="2643" spans="1:46" s="12" customFormat="1">
      <c r="A2643" s="33" t="str">
        <f t="shared" si="790"/>
        <v>FY 23/24</v>
      </c>
      <c r="B2643" s="152">
        <v>2023</v>
      </c>
      <c r="C2643" s="152">
        <v>7</v>
      </c>
      <c r="D2643" s="33" t="str">
        <f t="shared" si="791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92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93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805"/>
        <v>1</v>
      </c>
      <c r="Z2643" s="18">
        <f t="shared" si="789"/>
        <v>15000000</v>
      </c>
      <c r="AA2643" s="13">
        <v>5.3400000000000003E-2</v>
      </c>
      <c r="AB2643" s="21">
        <f t="shared" si="794"/>
        <v>801000</v>
      </c>
      <c r="AC2643" s="130">
        <f t="shared" si="795"/>
        <v>123193.79999999999</v>
      </c>
      <c r="AD2643" s="169">
        <v>0.15379999999999999</v>
      </c>
      <c r="AE2643" s="154">
        <f t="shared" si="796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803"/>
        <v>477651199.57437885</v>
      </c>
      <c r="AJ2643" s="19">
        <f t="shared" si="804"/>
        <v>56918800.518691957</v>
      </c>
      <c r="AK2643" s="20">
        <f t="shared" si="797"/>
        <v>0.11916394341605475</v>
      </c>
      <c r="AL2643" s="17"/>
      <c r="AM2643" s="17"/>
      <c r="AN2643" s="17"/>
      <c r="AO2643" s="17"/>
      <c r="AP2643" s="28" t="str">
        <f t="shared" si="798"/>
        <v>CancelCancel</v>
      </c>
      <c r="AQ2643" s="28" t="str">
        <f t="shared" si="799"/>
        <v>CancelCancelJPY</v>
      </c>
      <c r="AR2643" s="206" t="str">
        <f t="shared" si="800"/>
        <v>YAMAHA_Mounter</v>
      </c>
      <c r="AS2643" s="22" t="str">
        <f t="shared" si="801"/>
        <v/>
      </c>
      <c r="AT2643" s="24" t="str">
        <f t="shared" si="802"/>
        <v/>
      </c>
    </row>
    <row r="2644" spans="1:46" s="12" customFormat="1">
      <c r="A2644" s="33" t="str">
        <f t="shared" si="790"/>
        <v>FY 23/24</v>
      </c>
      <c r="B2644" s="152">
        <v>2023</v>
      </c>
      <c r="C2644" s="152">
        <v>7</v>
      </c>
      <c r="D2644" s="33" t="str">
        <f t="shared" si="791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92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93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805"/>
        <v>1</v>
      </c>
      <c r="Z2644" s="18">
        <f t="shared" si="789"/>
        <v>15000000</v>
      </c>
      <c r="AA2644" s="13">
        <v>5.3400000000000003E-2</v>
      </c>
      <c r="AB2644" s="21">
        <f t="shared" si="794"/>
        <v>801000</v>
      </c>
      <c r="AC2644" s="130">
        <f t="shared" si="795"/>
        <v>96120</v>
      </c>
      <c r="AD2644" s="169">
        <v>0.12</v>
      </c>
      <c r="AE2644" s="154">
        <f t="shared" si="796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803"/>
        <v>11730565.00042478</v>
      </c>
      <c r="AJ2644" s="19">
        <f t="shared" si="804"/>
        <v>1439625.5685810833</v>
      </c>
      <c r="AK2644" s="20">
        <f t="shared" si="797"/>
        <v>0.12272431622253084</v>
      </c>
      <c r="AL2644" s="17"/>
      <c r="AM2644" s="17"/>
      <c r="AN2644" s="17"/>
      <c r="AO2644" s="17"/>
      <c r="AP2644" s="28" t="str">
        <f t="shared" si="798"/>
        <v>202311</v>
      </c>
      <c r="AQ2644" s="28" t="str">
        <f t="shared" si="799"/>
        <v>202311JPY</v>
      </c>
      <c r="AR2644" s="206" t="str">
        <f t="shared" si="800"/>
        <v>YAMAHA_Mounter</v>
      </c>
      <c r="AS2644" s="22">
        <f t="shared" si="801"/>
        <v>4</v>
      </c>
      <c r="AT2644" s="24" t="str">
        <f t="shared" si="802"/>
        <v>4-6 months</v>
      </c>
    </row>
    <row r="2645" spans="1:46" s="12" customFormat="1">
      <c r="A2645" s="33" t="str">
        <f t="shared" si="790"/>
        <v>FY 23/24</v>
      </c>
      <c r="B2645" s="152">
        <v>2023</v>
      </c>
      <c r="C2645" s="152">
        <v>7</v>
      </c>
      <c r="D2645" s="33" t="str">
        <f t="shared" si="791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92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93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805"/>
        <v>1</v>
      </c>
      <c r="Z2645" s="18">
        <f t="shared" si="789"/>
        <v>15000000</v>
      </c>
      <c r="AA2645" s="13">
        <v>5.3400000000000003E-2</v>
      </c>
      <c r="AB2645" s="21">
        <f t="shared" si="794"/>
        <v>801000</v>
      </c>
      <c r="AC2645" s="130">
        <f t="shared" si="795"/>
        <v>96120</v>
      </c>
      <c r="AD2645" s="169">
        <v>0.12</v>
      </c>
      <c r="AE2645" s="154">
        <f t="shared" si="796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803"/>
        <v>11730565.00042478</v>
      </c>
      <c r="AJ2645" s="19">
        <f t="shared" si="804"/>
        <v>1439625.5685810833</v>
      </c>
      <c r="AK2645" s="20">
        <f t="shared" si="797"/>
        <v>0.12272431622253084</v>
      </c>
      <c r="AL2645" s="17"/>
      <c r="AM2645" s="17"/>
      <c r="AN2645" s="17"/>
      <c r="AO2645" s="17"/>
      <c r="AP2645" s="28" t="str">
        <f t="shared" si="798"/>
        <v>202311</v>
      </c>
      <c r="AQ2645" s="28" t="str">
        <f t="shared" si="799"/>
        <v>202311JPY</v>
      </c>
      <c r="AR2645" s="206" t="str">
        <f t="shared" si="800"/>
        <v>YAMAHA_Mounter</v>
      </c>
      <c r="AS2645" s="22">
        <f t="shared" si="801"/>
        <v>4</v>
      </c>
      <c r="AT2645" s="24" t="str">
        <f t="shared" si="802"/>
        <v>4-6 months</v>
      </c>
    </row>
    <row r="2646" spans="1:46" s="12" customFormat="1">
      <c r="A2646" s="33" t="str">
        <f t="shared" si="790"/>
        <v>FY 23/24</v>
      </c>
      <c r="B2646" s="152">
        <v>2023</v>
      </c>
      <c r="C2646" s="152">
        <v>7</v>
      </c>
      <c r="D2646" s="33" t="str">
        <f t="shared" si="791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92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si="793"/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805"/>
        <v>1</v>
      </c>
      <c r="Z2646" s="18">
        <f t="shared" ref="Z2646:Z2709" si="806">IF(X2646="","",X2646*MAX(O2646,N2646))</f>
        <v>15000000</v>
      </c>
      <c r="AA2646" s="13">
        <v>5.4199999999999998E-2</v>
      </c>
      <c r="AB2646" s="21">
        <f t="shared" si="794"/>
        <v>813000</v>
      </c>
      <c r="AC2646" s="130">
        <f t="shared" si="795"/>
        <v>97560</v>
      </c>
      <c r="AD2646" s="169">
        <v>0.12</v>
      </c>
      <c r="AE2646" s="154">
        <f t="shared" si="796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803"/>
        <v>477651199.57437885</v>
      </c>
      <c r="AJ2646" s="19">
        <f t="shared" si="804"/>
        <v>56918800.518691957</v>
      </c>
      <c r="AK2646" s="20">
        <f t="shared" si="797"/>
        <v>0.11916394341605475</v>
      </c>
      <c r="AL2646" s="17"/>
      <c r="AM2646" s="17"/>
      <c r="AN2646" s="17"/>
      <c r="AO2646" s="17"/>
      <c r="AP2646" s="28" t="str">
        <f t="shared" si="798"/>
        <v>CancelCancel</v>
      </c>
      <c r="AQ2646" s="28" t="str">
        <f t="shared" si="799"/>
        <v>CancelCancelJPY</v>
      </c>
      <c r="AR2646" s="206" t="str">
        <f t="shared" si="800"/>
        <v>YAMAHA_Mounter</v>
      </c>
      <c r="AS2646" s="22" t="str">
        <f t="shared" si="801"/>
        <v/>
      </c>
      <c r="AT2646" s="24" t="str">
        <f t="shared" si="802"/>
        <v/>
      </c>
    </row>
    <row r="2647" spans="1:46" s="12" customFormat="1">
      <c r="A2647" s="33" t="str">
        <f t="shared" si="790"/>
        <v>FY 23/24</v>
      </c>
      <c r="B2647" s="152">
        <v>2023</v>
      </c>
      <c r="C2647" s="152">
        <v>7</v>
      </c>
      <c r="D2647" s="33" t="str">
        <f t="shared" si="791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92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3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805"/>
        <v>1</v>
      </c>
      <c r="Z2647" s="18">
        <f t="shared" si="806"/>
        <v>15000000</v>
      </c>
      <c r="AA2647" s="13">
        <v>5.4199999999999998E-2</v>
      </c>
      <c r="AB2647" s="21">
        <f t="shared" si="794"/>
        <v>813000</v>
      </c>
      <c r="AC2647" s="130">
        <f t="shared" si="795"/>
        <v>97560</v>
      </c>
      <c r="AD2647" s="169">
        <v>0.12</v>
      </c>
      <c r="AE2647" s="154">
        <f t="shared" si="796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803"/>
        <v>477651199.57437885</v>
      </c>
      <c r="AJ2647" s="19">
        <f t="shared" si="804"/>
        <v>56918800.518691957</v>
      </c>
      <c r="AK2647" s="20">
        <f t="shared" si="797"/>
        <v>0.11916394341605475</v>
      </c>
      <c r="AL2647" s="17"/>
      <c r="AM2647" s="17"/>
      <c r="AN2647" s="17"/>
      <c r="AO2647" s="17"/>
      <c r="AP2647" s="28" t="str">
        <f t="shared" si="798"/>
        <v>CancelCancel</v>
      </c>
      <c r="AQ2647" s="28" t="str">
        <f t="shared" si="799"/>
        <v>CancelCancelJPY</v>
      </c>
      <c r="AR2647" s="206" t="str">
        <f t="shared" si="800"/>
        <v>YAMAHA_Mounter</v>
      </c>
      <c r="AS2647" s="22" t="str">
        <f t="shared" si="801"/>
        <v/>
      </c>
      <c r="AT2647" s="24" t="str">
        <f t="shared" si="802"/>
        <v/>
      </c>
    </row>
    <row r="2648" spans="1:46" s="12" customFormat="1">
      <c r="A2648" s="33" t="str">
        <f t="shared" si="790"/>
        <v>FY 23/24</v>
      </c>
      <c r="B2648" s="23">
        <v>2024</v>
      </c>
      <c r="C2648" s="152">
        <v>3</v>
      </c>
      <c r="D2648" s="33" t="str">
        <f t="shared" si="791"/>
        <v>Q4</v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4</v>
      </c>
      <c r="H2648" s="29"/>
      <c r="I2648" s="33" t="str">
        <f t="shared" si="792"/>
        <v>Q1</v>
      </c>
      <c r="J2648" s="188" t="s">
        <v>3362</v>
      </c>
      <c r="K2648" s="29" t="s">
        <v>3363</v>
      </c>
      <c r="L2648" s="17" t="s">
        <v>93</v>
      </c>
      <c r="M2648" s="22" t="s">
        <v>61</v>
      </c>
      <c r="N2648" s="22">
        <v>1</v>
      </c>
      <c r="O2648" s="22"/>
      <c r="P2648" s="33" t="str">
        <f t="shared" si="793"/>
        <v>MAIN UNIT</v>
      </c>
      <c r="Q2648" s="13" t="s">
        <v>69</v>
      </c>
      <c r="R2648" s="22" t="s">
        <v>63</v>
      </c>
      <c r="S2648" s="22" t="s">
        <v>50</v>
      </c>
      <c r="T2648" s="22" t="s">
        <v>79</v>
      </c>
      <c r="U2648" s="22" t="s">
        <v>79</v>
      </c>
      <c r="V2648" s="22" t="s">
        <v>127</v>
      </c>
      <c r="W2648" s="22" t="s">
        <v>110</v>
      </c>
      <c r="X2648" s="30">
        <v>13950000</v>
      </c>
      <c r="Y2648" s="31" t="str">
        <f>IF(W2648="","",IF(W2648="RMB","1.13", "1"))</f>
        <v>1</v>
      </c>
      <c r="Z2648" s="18">
        <f t="shared" si="806"/>
        <v>13950000</v>
      </c>
      <c r="AA2648" s="13">
        <v>5.2699999999999997E-2</v>
      </c>
      <c r="AB2648" s="21">
        <f t="shared" si="794"/>
        <v>735165</v>
      </c>
      <c r="AC2648" s="25">
        <f t="shared" si="795"/>
        <v>65797.267500000002</v>
      </c>
      <c r="AD2648" s="169">
        <v>8.9499999999999996E-2</v>
      </c>
      <c r="AE2648" s="26">
        <f t="shared" si="796"/>
        <v>1</v>
      </c>
      <c r="AF2648" s="26">
        <f>IF(AND(COUNTIFS($J$18:J2648,J2648)=1,AE2648=1),1,"")</f>
        <v>1</v>
      </c>
      <c r="AG2648" s="26">
        <f>IF(C2648="","",IF(AND(COUNTIFS($J$18:J2648,J2648)=1,C2648&lt;&gt;""),1,""))</f>
        <v>1</v>
      </c>
      <c r="AH2648" s="26">
        <f>IF(G2648="","",IF(AND(COUNTIFS($J$18:J2648,J2648)=1,G2648&lt;&gt;""),1,""))</f>
        <v>1</v>
      </c>
      <c r="AI2648" s="27">
        <f t="shared" si="803"/>
        <v>20319282.700884953</v>
      </c>
      <c r="AJ2648" s="27">
        <f t="shared" si="804"/>
        <v>2408851.9638623013</v>
      </c>
      <c r="AK2648" s="28">
        <f t="shared" si="797"/>
        <v>0.11855004919821259</v>
      </c>
      <c r="AL2648" s="24"/>
      <c r="AM2648" s="24"/>
      <c r="AN2648" s="24"/>
      <c r="AO2648" s="24"/>
      <c r="AP2648" s="28" t="str">
        <f t="shared" si="798"/>
        <v>20244</v>
      </c>
      <c r="AQ2648" s="28" t="str">
        <f t="shared" si="799"/>
        <v>20244JPY</v>
      </c>
      <c r="AR2648" s="206" t="str">
        <f t="shared" si="800"/>
        <v>YAMAHA_Mounter</v>
      </c>
      <c r="AS2648" s="22">
        <f t="shared" si="801"/>
        <v>1</v>
      </c>
      <c r="AT2648" s="24" t="str">
        <f t="shared" si="802"/>
        <v>0-3 months</v>
      </c>
    </row>
    <row r="2649" spans="1:46" s="12" customFormat="1">
      <c r="A2649" s="33" t="str">
        <f t="shared" si="790"/>
        <v>FY 21/22</v>
      </c>
      <c r="B2649" s="152">
        <v>2021</v>
      </c>
      <c r="C2649" s="152">
        <v>12</v>
      </c>
      <c r="D2649" s="33" t="str">
        <f t="shared" si="791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92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3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806"/>
        <v>768000</v>
      </c>
      <c r="AA2649" s="13">
        <v>1.1950000000000001</v>
      </c>
      <c r="AB2649" s="21">
        <f t="shared" si="794"/>
        <v>812176.99115044263</v>
      </c>
      <c r="AC2649" s="130">
        <f t="shared" si="795"/>
        <v>122882.37876106196</v>
      </c>
      <c r="AD2649" s="169">
        <v>0.15129999999999999</v>
      </c>
      <c r="AE2649" s="154">
        <f t="shared" si="796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803"/>
        <v>44014086.982070789</v>
      </c>
      <c r="AJ2649" s="19">
        <f t="shared" si="804"/>
        <v>6419974.0221889298</v>
      </c>
      <c r="AK2649" s="20">
        <f t="shared" si="797"/>
        <v>0.14586180158193709</v>
      </c>
      <c r="AL2649" s="17"/>
      <c r="AM2649" s="17"/>
      <c r="AN2649" s="17"/>
      <c r="AO2649" s="17"/>
      <c r="AP2649" s="28" t="str">
        <f t="shared" si="798"/>
        <v>20225</v>
      </c>
      <c r="AQ2649" s="28" t="str">
        <f t="shared" si="799"/>
        <v>20225RMB</v>
      </c>
      <c r="AR2649" s="206" t="str">
        <f t="shared" si="800"/>
        <v>YAMAHA_Mounter</v>
      </c>
      <c r="AS2649" s="22">
        <f t="shared" si="801"/>
        <v>5</v>
      </c>
      <c r="AT2649" s="24" t="str">
        <f t="shared" si="802"/>
        <v>4-6 months</v>
      </c>
    </row>
    <row r="2650" spans="1:46" s="12" customFormat="1">
      <c r="A2650" s="33" t="str">
        <f t="shared" si="790"/>
        <v>FY 18/19</v>
      </c>
      <c r="B2650" s="152">
        <v>2018</v>
      </c>
      <c r="C2650" s="152">
        <v>6</v>
      </c>
      <c r="D2650" s="33" t="str">
        <f t="shared" si="791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92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3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806"/>
        <v>11400000</v>
      </c>
      <c r="AA2650" s="13">
        <v>7.2099999999999997E-2</v>
      </c>
      <c r="AB2650" s="21">
        <f t="shared" si="794"/>
        <v>821940</v>
      </c>
      <c r="AC2650" s="130">
        <f t="shared" si="795"/>
        <v>105537.09599999999</v>
      </c>
      <c r="AD2650" s="169">
        <v>0.12839999999999999</v>
      </c>
      <c r="AE2650" s="154">
        <f t="shared" si="796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803"/>
        <v>26492741.106427077</v>
      </c>
      <c r="AJ2650" s="19">
        <f t="shared" si="804"/>
        <v>3348032.1325698122</v>
      </c>
      <c r="AK2650" s="20">
        <f t="shared" si="797"/>
        <v>0.12637545201985867</v>
      </c>
      <c r="AL2650" s="17"/>
      <c r="AM2650" s="17"/>
      <c r="AN2650" s="17"/>
      <c r="AO2650" s="17"/>
      <c r="AP2650" s="28" t="str">
        <f t="shared" si="798"/>
        <v>20189</v>
      </c>
      <c r="AQ2650" s="28" t="str">
        <f t="shared" si="799"/>
        <v>20189JPY</v>
      </c>
      <c r="AR2650" s="206" t="str">
        <f t="shared" si="800"/>
        <v>YAMAHA_Mounter</v>
      </c>
      <c r="AS2650" s="22">
        <f t="shared" si="801"/>
        <v>3</v>
      </c>
      <c r="AT2650" s="24" t="str">
        <f t="shared" si="802"/>
        <v>0-3 months</v>
      </c>
    </row>
    <row r="2651" spans="1:46" s="12" customFormat="1">
      <c r="A2651" s="33" t="str">
        <f t="shared" si="790"/>
        <v>FY 18/19</v>
      </c>
      <c r="B2651" s="152">
        <v>2018</v>
      </c>
      <c r="C2651" s="152">
        <v>6</v>
      </c>
      <c r="D2651" s="33" t="str">
        <f t="shared" si="791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92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3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806"/>
        <v>9400000</v>
      </c>
      <c r="AA2651" s="13">
        <v>7.2099999999999997E-2</v>
      </c>
      <c r="AB2651" s="21">
        <f t="shared" si="794"/>
        <v>677740</v>
      </c>
      <c r="AC2651" s="130">
        <f t="shared" si="795"/>
        <v>87021.815999999992</v>
      </c>
      <c r="AD2651" s="169">
        <v>0.12839999999999999</v>
      </c>
      <c r="AE2651" s="154">
        <f t="shared" si="796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803"/>
        <v>26492741.106427077</v>
      </c>
      <c r="AJ2651" s="19">
        <f t="shared" si="804"/>
        <v>3348032.1325698122</v>
      </c>
      <c r="AK2651" s="20">
        <f t="shared" si="797"/>
        <v>0.12637545201985867</v>
      </c>
      <c r="AL2651" s="17"/>
      <c r="AM2651" s="17"/>
      <c r="AN2651" s="17"/>
      <c r="AO2651" s="17"/>
      <c r="AP2651" s="28" t="str">
        <f t="shared" si="798"/>
        <v>20189</v>
      </c>
      <c r="AQ2651" s="28" t="str">
        <f t="shared" si="799"/>
        <v>20189JPY</v>
      </c>
      <c r="AR2651" s="206" t="str">
        <f t="shared" si="800"/>
        <v>YAMAHA_Mounter</v>
      </c>
      <c r="AS2651" s="22">
        <f t="shared" si="801"/>
        <v>3</v>
      </c>
      <c r="AT2651" s="24" t="str">
        <f t="shared" si="802"/>
        <v>0-3 months</v>
      </c>
    </row>
    <row r="2652" spans="1:46" s="12" customFormat="1">
      <c r="A2652" s="33" t="str">
        <f t="shared" si="790"/>
        <v>FY 18/19</v>
      </c>
      <c r="B2652" s="152">
        <v>2018</v>
      </c>
      <c r="C2652" s="152">
        <v>6</v>
      </c>
      <c r="D2652" s="33" t="str">
        <f t="shared" si="791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92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3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806"/>
        <v>17000000</v>
      </c>
      <c r="AA2652" s="13">
        <v>7.2099999999999997E-2</v>
      </c>
      <c r="AB2652" s="21">
        <f t="shared" si="794"/>
        <v>1225700</v>
      </c>
      <c r="AC2652" s="130">
        <f t="shared" si="795"/>
        <v>147084</v>
      </c>
      <c r="AD2652" s="169">
        <v>0.12</v>
      </c>
      <c r="AE2652" s="154">
        <f t="shared" si="796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803"/>
        <v>477651199.57437885</v>
      </c>
      <c r="AJ2652" s="19">
        <f t="shared" si="804"/>
        <v>56918800.518691957</v>
      </c>
      <c r="AK2652" s="20">
        <f t="shared" si="797"/>
        <v>0.11916394341605475</v>
      </c>
      <c r="AL2652" s="17"/>
      <c r="AM2652" s="17"/>
      <c r="AN2652" s="17"/>
      <c r="AO2652" s="17"/>
      <c r="AP2652" s="28" t="str">
        <f t="shared" si="798"/>
        <v>CancelCancel</v>
      </c>
      <c r="AQ2652" s="28" t="str">
        <f t="shared" si="799"/>
        <v>CancelCancelJPY</v>
      </c>
      <c r="AR2652" s="206" t="str">
        <f t="shared" si="800"/>
        <v>YAMAHA_Mounter</v>
      </c>
      <c r="AS2652" s="22" t="str">
        <f t="shared" si="801"/>
        <v/>
      </c>
      <c r="AT2652" s="24" t="str">
        <f t="shared" si="802"/>
        <v/>
      </c>
    </row>
    <row r="2653" spans="1:46" s="12" customFormat="1">
      <c r="A2653" s="33" t="str">
        <f t="shared" si="790"/>
        <v>FY 18/19</v>
      </c>
      <c r="B2653" s="152">
        <v>2019</v>
      </c>
      <c r="C2653" s="152">
        <v>3</v>
      </c>
      <c r="D2653" s="33" t="str">
        <f t="shared" si="791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92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3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806"/>
        <v>13200000</v>
      </c>
      <c r="AA2653" s="13">
        <v>7.17E-2</v>
      </c>
      <c r="AB2653" s="21">
        <f t="shared" si="794"/>
        <v>946440</v>
      </c>
      <c r="AC2653" s="130">
        <f t="shared" si="795"/>
        <v>151430.39999999999</v>
      </c>
      <c r="AD2653" s="169">
        <v>0.16</v>
      </c>
      <c r="AE2653" s="154">
        <f t="shared" si="796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803"/>
        <v>14593788.187146019</v>
      </c>
      <c r="AJ2653" s="19">
        <f t="shared" si="804"/>
        <v>1868647.7321969916</v>
      </c>
      <c r="AK2653" s="20">
        <f t="shared" si="797"/>
        <v>0.12804404916900652</v>
      </c>
      <c r="AL2653" s="17"/>
      <c r="AM2653" s="17"/>
      <c r="AN2653" s="17"/>
      <c r="AO2653" s="17"/>
      <c r="AP2653" s="28" t="str">
        <f t="shared" si="798"/>
        <v>20195</v>
      </c>
      <c r="AQ2653" s="28" t="str">
        <f t="shared" si="799"/>
        <v>20195JPY</v>
      </c>
      <c r="AR2653" s="206" t="str">
        <f t="shared" si="800"/>
        <v>YAMAHA_Mounter</v>
      </c>
      <c r="AS2653" s="22">
        <f t="shared" si="801"/>
        <v>2</v>
      </c>
      <c r="AT2653" s="24" t="str">
        <f t="shared" si="802"/>
        <v>0-3 months</v>
      </c>
    </row>
    <row r="2654" spans="1:46" s="12" customFormat="1">
      <c r="A2654" s="33" t="str">
        <f t="shared" si="790"/>
        <v>FY 18/19</v>
      </c>
      <c r="B2654" s="152">
        <v>2019</v>
      </c>
      <c r="C2654" s="152">
        <v>3</v>
      </c>
      <c r="D2654" s="33" t="str">
        <f t="shared" si="791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92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3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806"/>
        <v>13200000</v>
      </c>
      <c r="AA2654" s="13">
        <v>7.17E-2</v>
      </c>
      <c r="AB2654" s="21">
        <f t="shared" si="794"/>
        <v>946440</v>
      </c>
      <c r="AC2654" s="130">
        <f t="shared" si="795"/>
        <v>151430.39999999999</v>
      </c>
      <c r="AD2654" s="169">
        <v>0.16</v>
      </c>
      <c r="AE2654" s="154">
        <f t="shared" si="796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803"/>
        <v>14593788.187146019</v>
      </c>
      <c r="AJ2654" s="19">
        <f t="shared" si="804"/>
        <v>1868647.7321969916</v>
      </c>
      <c r="AK2654" s="20">
        <f t="shared" si="797"/>
        <v>0.12804404916900652</v>
      </c>
      <c r="AL2654" s="17"/>
      <c r="AM2654" s="17"/>
      <c r="AN2654" s="17"/>
      <c r="AO2654" s="17"/>
      <c r="AP2654" s="28" t="str">
        <f t="shared" si="798"/>
        <v>20195</v>
      </c>
      <c r="AQ2654" s="28" t="str">
        <f t="shared" si="799"/>
        <v>20195JPY</v>
      </c>
      <c r="AR2654" s="206" t="str">
        <f t="shared" si="800"/>
        <v>YAMAHA_Mounter</v>
      </c>
      <c r="AS2654" s="22">
        <f t="shared" si="801"/>
        <v>2</v>
      </c>
      <c r="AT2654" s="24" t="str">
        <f t="shared" si="802"/>
        <v>0-3 months</v>
      </c>
    </row>
    <row r="2655" spans="1:46" s="12" customFormat="1">
      <c r="A2655" s="33" t="str">
        <f t="shared" si="790"/>
        <v>FY 18/19</v>
      </c>
      <c r="B2655" s="152">
        <v>2019</v>
      </c>
      <c r="C2655" s="152">
        <v>3</v>
      </c>
      <c r="D2655" s="33" t="str">
        <f t="shared" si="791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92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3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806"/>
        <v>9400000</v>
      </c>
      <c r="AA2655" s="13">
        <v>7.17E-2</v>
      </c>
      <c r="AB2655" s="21">
        <f t="shared" si="794"/>
        <v>673980</v>
      </c>
      <c r="AC2655" s="130">
        <f t="shared" si="795"/>
        <v>107836.8</v>
      </c>
      <c r="AD2655" s="169">
        <v>0.16</v>
      </c>
      <c r="AE2655" s="154">
        <f t="shared" si="796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803"/>
        <v>14593788.187146019</v>
      </c>
      <c r="AJ2655" s="19">
        <f t="shared" si="804"/>
        <v>1868647.7321969916</v>
      </c>
      <c r="AK2655" s="20">
        <f t="shared" si="797"/>
        <v>0.12804404916900652</v>
      </c>
      <c r="AL2655" s="17"/>
      <c r="AM2655" s="17"/>
      <c r="AN2655" s="17"/>
      <c r="AO2655" s="17"/>
      <c r="AP2655" s="28" t="str">
        <f t="shared" si="798"/>
        <v>20195</v>
      </c>
      <c r="AQ2655" s="28" t="str">
        <f t="shared" si="799"/>
        <v>20195JPY</v>
      </c>
      <c r="AR2655" s="206" t="str">
        <f t="shared" si="800"/>
        <v>YAMAHA_Mounter</v>
      </c>
      <c r="AS2655" s="22">
        <f t="shared" si="801"/>
        <v>2</v>
      </c>
      <c r="AT2655" s="24" t="str">
        <f t="shared" si="802"/>
        <v>0-3 months</v>
      </c>
    </row>
    <row r="2656" spans="1:46" s="12" customFormat="1">
      <c r="A2656" s="33" t="str">
        <f t="shared" si="790"/>
        <v>FY 18/19</v>
      </c>
      <c r="B2656" s="152">
        <v>2019</v>
      </c>
      <c r="C2656" s="152">
        <v>3</v>
      </c>
      <c r="D2656" s="33" t="str">
        <f t="shared" si="791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92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3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806"/>
        <v>9400000</v>
      </c>
      <c r="AA2656" s="13">
        <v>7.17E-2</v>
      </c>
      <c r="AB2656" s="21">
        <f t="shared" si="794"/>
        <v>673980</v>
      </c>
      <c r="AC2656" s="130">
        <f t="shared" si="795"/>
        <v>107836.8</v>
      </c>
      <c r="AD2656" s="169">
        <v>0.16</v>
      </c>
      <c r="AE2656" s="154">
        <f t="shared" si="796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803"/>
        <v>14593788.187146019</v>
      </c>
      <c r="AJ2656" s="19">
        <f t="shared" si="804"/>
        <v>1868647.7321969916</v>
      </c>
      <c r="AK2656" s="20">
        <f t="shared" si="797"/>
        <v>0.12804404916900652</v>
      </c>
      <c r="AL2656" s="17"/>
      <c r="AM2656" s="17"/>
      <c r="AN2656" s="17"/>
      <c r="AO2656" s="17"/>
      <c r="AP2656" s="28" t="str">
        <f t="shared" si="798"/>
        <v>20195</v>
      </c>
      <c r="AQ2656" s="28" t="str">
        <f t="shared" si="799"/>
        <v>20195JPY</v>
      </c>
      <c r="AR2656" s="206" t="str">
        <f t="shared" si="800"/>
        <v>YAMAHA_Mounter</v>
      </c>
      <c r="AS2656" s="22">
        <f t="shared" si="801"/>
        <v>2</v>
      </c>
      <c r="AT2656" s="24" t="str">
        <f t="shared" si="802"/>
        <v>0-3 months</v>
      </c>
    </row>
    <row r="2657" spans="1:46" s="12" customFormat="1">
      <c r="A2657" s="33" t="str">
        <f t="shared" si="790"/>
        <v>FY 20/21</v>
      </c>
      <c r="B2657" s="152">
        <v>2020</v>
      </c>
      <c r="C2657" s="152">
        <v>9</v>
      </c>
      <c r="D2657" s="33" t="str">
        <f t="shared" si="791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92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3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806"/>
        <v>9000000</v>
      </c>
      <c r="AA2657" s="13">
        <v>7.6100000000000001E-2</v>
      </c>
      <c r="AB2657" s="21">
        <f t="shared" si="794"/>
        <v>684900</v>
      </c>
      <c r="AC2657" s="130">
        <f t="shared" si="795"/>
        <v>84996.09</v>
      </c>
      <c r="AD2657" s="169">
        <v>0.1241</v>
      </c>
      <c r="AE2657" s="154">
        <f t="shared" si="796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803"/>
        <v>48763143.537654862</v>
      </c>
      <c r="AJ2657" s="19">
        <f t="shared" si="804"/>
        <v>5924029.9702154724</v>
      </c>
      <c r="AK2657" s="20">
        <f t="shared" si="797"/>
        <v>0.1214858095774925</v>
      </c>
      <c r="AL2657" s="17"/>
      <c r="AM2657" s="17"/>
      <c r="AN2657" s="17"/>
      <c r="AO2657" s="17"/>
      <c r="AP2657" s="28" t="str">
        <f t="shared" si="798"/>
        <v>202012</v>
      </c>
      <c r="AQ2657" s="28" t="str">
        <f t="shared" si="799"/>
        <v>202012JPY</v>
      </c>
      <c r="AR2657" s="206" t="str">
        <f t="shared" si="800"/>
        <v>YAMAHA_Mounter</v>
      </c>
      <c r="AS2657" s="22">
        <f t="shared" si="801"/>
        <v>3</v>
      </c>
      <c r="AT2657" s="24" t="str">
        <f t="shared" si="802"/>
        <v>0-3 months</v>
      </c>
    </row>
    <row r="2658" spans="1:46" s="12" customFormat="1">
      <c r="A2658" s="33" t="str">
        <f t="shared" si="790"/>
        <v>FY 20/21</v>
      </c>
      <c r="B2658" s="152">
        <v>2020</v>
      </c>
      <c r="C2658" s="152">
        <v>9</v>
      </c>
      <c r="D2658" s="33" t="str">
        <f t="shared" si="791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92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3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806"/>
        <v>13300000</v>
      </c>
      <c r="AA2658" s="13">
        <v>7.6100000000000001E-2</v>
      </c>
      <c r="AB2658" s="21">
        <f t="shared" si="794"/>
        <v>1012130</v>
      </c>
      <c r="AC2658" s="130">
        <f t="shared" si="795"/>
        <v>125605.333</v>
      </c>
      <c r="AD2658" s="169">
        <v>0.1241</v>
      </c>
      <c r="AE2658" s="154">
        <f t="shared" si="796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803"/>
        <v>48763143.537654862</v>
      </c>
      <c r="AJ2658" s="19">
        <f t="shared" si="804"/>
        <v>5924029.9702154724</v>
      </c>
      <c r="AK2658" s="20">
        <f t="shared" si="797"/>
        <v>0.1214858095774925</v>
      </c>
      <c r="AL2658" s="17"/>
      <c r="AM2658" s="17"/>
      <c r="AN2658" s="17"/>
      <c r="AO2658" s="17"/>
      <c r="AP2658" s="28" t="str">
        <f t="shared" si="798"/>
        <v>202012</v>
      </c>
      <c r="AQ2658" s="28" t="str">
        <f t="shared" si="799"/>
        <v>202012JPY</v>
      </c>
      <c r="AR2658" s="206" t="str">
        <f t="shared" si="800"/>
        <v>YAMAHA_Mounter</v>
      </c>
      <c r="AS2658" s="22">
        <f t="shared" si="801"/>
        <v>3</v>
      </c>
      <c r="AT2658" s="24" t="str">
        <f t="shared" si="802"/>
        <v>0-3 months</v>
      </c>
    </row>
    <row r="2659" spans="1:46" s="12" customFormat="1">
      <c r="A2659" s="33" t="str">
        <f t="shared" si="790"/>
        <v>FY 20/21</v>
      </c>
      <c r="B2659" s="152">
        <v>2020</v>
      </c>
      <c r="C2659" s="152">
        <v>10</v>
      </c>
      <c r="D2659" s="33" t="str">
        <f t="shared" si="791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92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3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806"/>
        <v>12000000</v>
      </c>
      <c r="AA2659" s="13">
        <v>7.6799999999999993E-2</v>
      </c>
      <c r="AB2659" s="21">
        <f t="shared" si="794"/>
        <v>921599.99999999988</v>
      </c>
      <c r="AC2659" s="130">
        <f t="shared" si="795"/>
        <v>98703.359999999986</v>
      </c>
      <c r="AD2659" s="169">
        <v>0.1071</v>
      </c>
      <c r="AE2659" s="154">
        <f t="shared" si="796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803"/>
        <v>45803245.025628321</v>
      </c>
      <c r="AJ2659" s="19">
        <f t="shared" si="804"/>
        <v>5664636.2584379362</v>
      </c>
      <c r="AK2659" s="20">
        <f t="shared" si="797"/>
        <v>0.12367325186825515</v>
      </c>
      <c r="AL2659" s="17"/>
      <c r="AM2659" s="17"/>
      <c r="AN2659" s="17"/>
      <c r="AO2659" s="17"/>
      <c r="AP2659" s="28" t="str">
        <f t="shared" si="798"/>
        <v>20211</v>
      </c>
      <c r="AQ2659" s="28" t="str">
        <f t="shared" si="799"/>
        <v>20211JPY</v>
      </c>
      <c r="AR2659" s="206" t="str">
        <f t="shared" si="800"/>
        <v>YAMAHA_Mounter</v>
      </c>
      <c r="AS2659" s="22">
        <f t="shared" si="801"/>
        <v>3</v>
      </c>
      <c r="AT2659" s="24" t="str">
        <f t="shared" si="802"/>
        <v>0-3 months</v>
      </c>
    </row>
    <row r="2660" spans="1:46" s="12" customFormat="1">
      <c r="A2660" s="33" t="str">
        <f t="shared" si="790"/>
        <v>FY 20/21</v>
      </c>
      <c r="B2660" s="152">
        <v>2020</v>
      </c>
      <c r="C2660" s="152">
        <v>10</v>
      </c>
      <c r="D2660" s="33" t="str">
        <f t="shared" si="791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92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3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806"/>
        <v>12000000</v>
      </c>
      <c r="AA2660" s="13">
        <v>7.6799999999999993E-2</v>
      </c>
      <c r="AB2660" s="21">
        <f t="shared" si="794"/>
        <v>921599.99999999988</v>
      </c>
      <c r="AC2660" s="130">
        <f t="shared" si="795"/>
        <v>98703.359999999986</v>
      </c>
      <c r="AD2660" s="169">
        <v>0.1071</v>
      </c>
      <c r="AE2660" s="154">
        <f t="shared" si="796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803"/>
        <v>45803245.025628321</v>
      </c>
      <c r="AJ2660" s="19">
        <f t="shared" si="804"/>
        <v>5664636.2584379362</v>
      </c>
      <c r="AK2660" s="20">
        <f t="shared" si="797"/>
        <v>0.12367325186825515</v>
      </c>
      <c r="AL2660" s="17"/>
      <c r="AM2660" s="17"/>
      <c r="AN2660" s="17"/>
      <c r="AO2660" s="17"/>
      <c r="AP2660" s="28" t="str">
        <f t="shared" si="798"/>
        <v>20211</v>
      </c>
      <c r="AQ2660" s="28" t="str">
        <f t="shared" si="799"/>
        <v>20211JPY</v>
      </c>
      <c r="AR2660" s="206" t="str">
        <f t="shared" si="800"/>
        <v>YAMAHA_Mounter</v>
      </c>
      <c r="AS2660" s="22">
        <f t="shared" si="801"/>
        <v>3</v>
      </c>
      <c r="AT2660" s="24" t="str">
        <f t="shared" si="802"/>
        <v>0-3 months</v>
      </c>
    </row>
    <row r="2661" spans="1:46" s="12" customFormat="1">
      <c r="A2661" s="33" t="str">
        <f t="shared" si="790"/>
        <v>FY 20/21</v>
      </c>
      <c r="B2661" s="152">
        <v>2020</v>
      </c>
      <c r="C2661" s="152">
        <v>10</v>
      </c>
      <c r="D2661" s="33" t="str">
        <f t="shared" si="791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92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3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806"/>
        <v>9000000</v>
      </c>
      <c r="AA2661" s="13">
        <v>7.6799999999999993E-2</v>
      </c>
      <c r="AB2661" s="21">
        <f t="shared" si="794"/>
        <v>691199.99999999988</v>
      </c>
      <c r="AC2661" s="130">
        <f t="shared" si="795"/>
        <v>74027.51999999999</v>
      </c>
      <c r="AD2661" s="169">
        <v>0.1071</v>
      </c>
      <c r="AE2661" s="154">
        <f t="shared" si="796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803"/>
        <v>45803245.025628321</v>
      </c>
      <c r="AJ2661" s="19">
        <f t="shared" si="804"/>
        <v>5664636.2584379362</v>
      </c>
      <c r="AK2661" s="20">
        <f t="shared" si="797"/>
        <v>0.12367325186825515</v>
      </c>
      <c r="AL2661" s="17"/>
      <c r="AM2661" s="17"/>
      <c r="AN2661" s="17"/>
      <c r="AO2661" s="17"/>
      <c r="AP2661" s="28" t="str">
        <f t="shared" si="798"/>
        <v>20211</v>
      </c>
      <c r="AQ2661" s="28" t="str">
        <f t="shared" si="799"/>
        <v>20211JPY</v>
      </c>
      <c r="AR2661" s="206" t="str">
        <f t="shared" si="800"/>
        <v>YAMAHA_Mounter</v>
      </c>
      <c r="AS2661" s="22">
        <f t="shared" si="801"/>
        <v>3</v>
      </c>
      <c r="AT2661" s="24" t="str">
        <f t="shared" si="802"/>
        <v>0-3 months</v>
      </c>
    </row>
    <row r="2662" spans="1:46" s="12" customFormat="1">
      <c r="A2662" s="33" t="str">
        <f t="shared" si="790"/>
        <v>FY 19/20</v>
      </c>
      <c r="B2662" s="152">
        <v>2019</v>
      </c>
      <c r="C2662" s="152">
        <v>12</v>
      </c>
      <c r="D2662" s="33" t="str">
        <f t="shared" si="791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92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3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806"/>
        <v>12500000</v>
      </c>
      <c r="AA2662" s="13">
        <v>7.2999999999999995E-2</v>
      </c>
      <c r="AB2662" s="21">
        <f t="shared" si="794"/>
        <v>912500</v>
      </c>
      <c r="AC2662" s="130">
        <f t="shared" si="795"/>
        <v>120906.25</v>
      </c>
      <c r="AD2662" s="169">
        <v>0.13250000000000001</v>
      </c>
      <c r="AE2662" s="154">
        <f t="shared" si="796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803"/>
        <v>11620538.477876106</v>
      </c>
      <c r="AJ2662" s="19">
        <f t="shared" si="804"/>
        <v>1598596.3145221241</v>
      </c>
      <c r="AK2662" s="20">
        <f t="shared" si="797"/>
        <v>0.13756645766163331</v>
      </c>
      <c r="AL2662" s="17"/>
      <c r="AM2662" s="17"/>
      <c r="AN2662" s="17"/>
      <c r="AO2662" s="17"/>
      <c r="AP2662" s="28" t="str">
        <f t="shared" si="798"/>
        <v>20201</v>
      </c>
      <c r="AQ2662" s="28" t="str">
        <f t="shared" si="799"/>
        <v>20201JPY</v>
      </c>
      <c r="AR2662" s="206" t="str">
        <f t="shared" si="800"/>
        <v>YAMAHA_Mounter</v>
      </c>
      <c r="AS2662" s="22">
        <f t="shared" si="801"/>
        <v>1</v>
      </c>
      <c r="AT2662" s="24" t="str">
        <f t="shared" si="802"/>
        <v>0-3 months</v>
      </c>
    </row>
    <row r="2663" spans="1:46" s="12" customFormat="1">
      <c r="A2663" s="33" t="str">
        <f t="shared" si="790"/>
        <v>FY 19/20</v>
      </c>
      <c r="B2663" s="152">
        <v>2019</v>
      </c>
      <c r="C2663" s="152">
        <v>12</v>
      </c>
      <c r="D2663" s="33" t="str">
        <f t="shared" si="791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92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3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806"/>
        <v>9000000</v>
      </c>
      <c r="AA2663" s="13">
        <v>7.2999999999999995E-2</v>
      </c>
      <c r="AB2663" s="21">
        <f t="shared" si="794"/>
        <v>657000</v>
      </c>
      <c r="AC2663" s="130">
        <f t="shared" si="795"/>
        <v>87052.5</v>
      </c>
      <c r="AD2663" s="169">
        <v>0.13250000000000001</v>
      </c>
      <c r="AE2663" s="154">
        <f t="shared" si="796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803"/>
        <v>11620538.477876106</v>
      </c>
      <c r="AJ2663" s="19">
        <f t="shared" si="804"/>
        <v>1598596.3145221241</v>
      </c>
      <c r="AK2663" s="20">
        <f t="shared" si="797"/>
        <v>0.13756645766163331</v>
      </c>
      <c r="AL2663" s="17"/>
      <c r="AM2663" s="17"/>
      <c r="AN2663" s="17"/>
      <c r="AO2663" s="17"/>
      <c r="AP2663" s="28" t="str">
        <f t="shared" si="798"/>
        <v>20201</v>
      </c>
      <c r="AQ2663" s="28" t="str">
        <f t="shared" si="799"/>
        <v>20201JPY</v>
      </c>
      <c r="AR2663" s="206" t="str">
        <f t="shared" si="800"/>
        <v>YAMAHA_Mounter</v>
      </c>
      <c r="AS2663" s="22">
        <f t="shared" si="801"/>
        <v>1</v>
      </c>
      <c r="AT2663" s="24" t="str">
        <f t="shared" si="802"/>
        <v>0-3 months</v>
      </c>
    </row>
    <row r="2664" spans="1:46" s="12" customFormat="1">
      <c r="A2664" s="33" t="str">
        <f t="shared" si="790"/>
        <v>FY 21/22</v>
      </c>
      <c r="B2664" s="152">
        <v>2021</v>
      </c>
      <c r="C2664" s="152">
        <v>6</v>
      </c>
      <c r="D2664" s="33" t="str">
        <f t="shared" si="791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92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3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807">IF(W2664="RMB","1.13", "1")</f>
        <v>1</v>
      </c>
      <c r="Z2664" s="18">
        <f t="shared" si="806"/>
        <v>12700000</v>
      </c>
      <c r="AA2664" s="13">
        <v>6.9199999999999998E-2</v>
      </c>
      <c r="AB2664" s="21">
        <f t="shared" si="794"/>
        <v>878840</v>
      </c>
      <c r="AC2664" s="130">
        <f t="shared" si="795"/>
        <v>70482.967999999993</v>
      </c>
      <c r="AD2664" s="169">
        <v>8.0199999999999994E-2</v>
      </c>
      <c r="AE2664" s="154">
        <f t="shared" si="796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803"/>
        <v>26407088.359292038</v>
      </c>
      <c r="AJ2664" s="19">
        <f t="shared" si="804"/>
        <v>3424510.6998470789</v>
      </c>
      <c r="AK2664" s="20">
        <f t="shared" si="797"/>
        <v>0.12968149510667554</v>
      </c>
      <c r="AL2664" s="17"/>
      <c r="AM2664" s="17"/>
      <c r="AN2664" s="17"/>
      <c r="AO2664" s="17"/>
      <c r="AP2664" s="28" t="str">
        <f t="shared" si="798"/>
        <v>20221</v>
      </c>
      <c r="AQ2664" s="28" t="str">
        <f t="shared" si="799"/>
        <v>20221JPY</v>
      </c>
      <c r="AR2664" s="206" t="str">
        <f t="shared" si="800"/>
        <v>YAMAHA_Mounter</v>
      </c>
      <c r="AS2664" s="22">
        <f t="shared" si="801"/>
        <v>7</v>
      </c>
      <c r="AT2664" s="24" t="str">
        <f t="shared" si="802"/>
        <v>&gt; 6 months</v>
      </c>
    </row>
    <row r="2665" spans="1:46" s="12" customFormat="1">
      <c r="A2665" s="33" t="str">
        <f t="shared" si="790"/>
        <v>FY 21/22</v>
      </c>
      <c r="B2665" s="152">
        <v>2021</v>
      </c>
      <c r="C2665" s="152">
        <v>6</v>
      </c>
      <c r="D2665" s="33" t="str">
        <f t="shared" si="791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92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3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807"/>
        <v>1</v>
      </c>
      <c r="Z2665" s="18">
        <f t="shared" si="806"/>
        <v>12700000</v>
      </c>
      <c r="AA2665" s="13">
        <v>6.9199999999999998E-2</v>
      </c>
      <c r="AB2665" s="21">
        <f t="shared" si="794"/>
        <v>878840</v>
      </c>
      <c r="AC2665" s="130">
        <f t="shared" si="795"/>
        <v>70482.967999999993</v>
      </c>
      <c r="AD2665" s="169">
        <v>8.0199999999999994E-2</v>
      </c>
      <c r="AE2665" s="154">
        <f t="shared" si="796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803"/>
        <v>26407088.359292038</v>
      </c>
      <c r="AJ2665" s="19">
        <f t="shared" si="804"/>
        <v>3424510.6998470789</v>
      </c>
      <c r="AK2665" s="20">
        <f t="shared" si="797"/>
        <v>0.12968149510667554</v>
      </c>
      <c r="AL2665" s="17"/>
      <c r="AM2665" s="17"/>
      <c r="AN2665" s="17"/>
      <c r="AO2665" s="17"/>
      <c r="AP2665" s="28" t="str">
        <f t="shared" si="798"/>
        <v>20221</v>
      </c>
      <c r="AQ2665" s="28" t="str">
        <f t="shared" si="799"/>
        <v>20221JPY</v>
      </c>
      <c r="AR2665" s="206" t="str">
        <f t="shared" si="800"/>
        <v>YAMAHA_Mounter</v>
      </c>
      <c r="AS2665" s="22">
        <f t="shared" si="801"/>
        <v>7</v>
      </c>
      <c r="AT2665" s="24" t="str">
        <f t="shared" si="802"/>
        <v>&gt; 6 months</v>
      </c>
    </row>
    <row r="2666" spans="1:46" s="12" customFormat="1">
      <c r="A2666" s="33" t="str">
        <f t="shared" si="790"/>
        <v>FY 21/22</v>
      </c>
      <c r="B2666" s="152">
        <v>2021</v>
      </c>
      <c r="C2666" s="152">
        <v>6</v>
      </c>
      <c r="D2666" s="33" t="str">
        <f t="shared" si="791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92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3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807"/>
        <v>1</v>
      </c>
      <c r="Z2666" s="18">
        <f t="shared" si="806"/>
        <v>9880000</v>
      </c>
      <c r="AA2666" s="13">
        <v>6.9199999999999998E-2</v>
      </c>
      <c r="AB2666" s="21">
        <f t="shared" si="794"/>
        <v>683696</v>
      </c>
      <c r="AC2666" s="130">
        <f t="shared" si="795"/>
        <v>54832.419199999997</v>
      </c>
      <c r="AD2666" s="169">
        <v>8.0199999999999994E-2</v>
      </c>
      <c r="AE2666" s="154">
        <f t="shared" si="796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803"/>
        <v>26407088.359292038</v>
      </c>
      <c r="AJ2666" s="19">
        <f t="shared" si="804"/>
        <v>3424510.6998470789</v>
      </c>
      <c r="AK2666" s="20">
        <f t="shared" si="797"/>
        <v>0.12968149510667554</v>
      </c>
      <c r="AL2666" s="17"/>
      <c r="AM2666" s="17"/>
      <c r="AN2666" s="17"/>
      <c r="AO2666" s="17"/>
      <c r="AP2666" s="28" t="str">
        <f t="shared" si="798"/>
        <v>20221</v>
      </c>
      <c r="AQ2666" s="28" t="str">
        <f t="shared" si="799"/>
        <v>20221JPY</v>
      </c>
      <c r="AR2666" s="206" t="str">
        <f t="shared" si="800"/>
        <v>YAMAHA_Mounter</v>
      </c>
      <c r="AS2666" s="22">
        <f t="shared" si="801"/>
        <v>7</v>
      </c>
      <c r="AT2666" s="24" t="str">
        <f t="shared" si="802"/>
        <v>&gt; 6 months</v>
      </c>
    </row>
    <row r="2667" spans="1:46" s="12" customFormat="1">
      <c r="A2667" s="33" t="str">
        <f t="shared" si="790"/>
        <v>FY 21/22</v>
      </c>
      <c r="B2667" s="152">
        <v>2021</v>
      </c>
      <c r="C2667" s="152">
        <v>6</v>
      </c>
      <c r="D2667" s="33" t="str">
        <f t="shared" si="791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92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3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807"/>
        <v>1</v>
      </c>
      <c r="Z2667" s="18">
        <f t="shared" si="806"/>
        <v>9880000</v>
      </c>
      <c r="AA2667" s="13">
        <v>6.9199999999999998E-2</v>
      </c>
      <c r="AB2667" s="21">
        <f t="shared" si="794"/>
        <v>683696</v>
      </c>
      <c r="AC2667" s="130">
        <f t="shared" si="795"/>
        <v>54832.419199999997</v>
      </c>
      <c r="AD2667" s="169">
        <v>8.0199999999999994E-2</v>
      </c>
      <c r="AE2667" s="154">
        <f t="shared" si="796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803"/>
        <v>26407088.359292038</v>
      </c>
      <c r="AJ2667" s="19">
        <f t="shared" si="804"/>
        <v>3424510.6998470789</v>
      </c>
      <c r="AK2667" s="20">
        <f t="shared" si="797"/>
        <v>0.12968149510667554</v>
      </c>
      <c r="AL2667" s="17"/>
      <c r="AM2667" s="17"/>
      <c r="AN2667" s="17"/>
      <c r="AO2667" s="17"/>
      <c r="AP2667" s="28" t="str">
        <f t="shared" si="798"/>
        <v>20221</v>
      </c>
      <c r="AQ2667" s="28" t="str">
        <f t="shared" si="799"/>
        <v>20221JPY</v>
      </c>
      <c r="AR2667" s="206" t="str">
        <f t="shared" si="800"/>
        <v>YAMAHA_Mounter</v>
      </c>
      <c r="AS2667" s="22">
        <f t="shared" si="801"/>
        <v>7</v>
      </c>
      <c r="AT2667" s="24" t="str">
        <f t="shared" si="802"/>
        <v>&gt; 6 months</v>
      </c>
    </row>
    <row r="2668" spans="1:46" s="12" customFormat="1">
      <c r="A2668" s="33" t="str">
        <f t="shared" ref="A2668:A2731" si="808">IF(C2668="cancel","cancel",IFERROR(IF(D2668="Q4","FY "&amp;RIGHT(B2668,2)-1&amp;"/"&amp;RIGHT(B2668,2),"FY "&amp;RIGHT(B2668,2)&amp;"/"&amp;RIGHT(B2668,2)+1),""))</f>
        <v>FY 20/21</v>
      </c>
      <c r="B2668" s="152">
        <v>2020</v>
      </c>
      <c r="C2668" s="152">
        <v>11</v>
      </c>
      <c r="D2668" s="33" t="str">
        <f t="shared" ref="D2668:D2731" si="809">IF(B2668="","",IF(AND(C2668&gt;=10,C2668&lt;=12),"Q3",IF(AND(C2668&gt;=1,C2668&lt;=3),"Q4",IF(AND(C2668&gt;=7,C2668&lt;=9),"Q2",IF(AND(C2668&gt;=4,C2668&lt;=6),"Q1")))))</f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ref="I2668:I2731" si="810">IFERROR(IF(F2668="","",IF(F2668="TBA","TBA",IF(F2668="Cancel","Cancel",IF(AND(G2668&gt;=10,G2668&lt;=12),"Q3",IF(AND(G2668&gt;=1,G2668&lt;=3),"Q4",IF(AND(G2668&gt;=7,G2668&lt;=9),"Q2",IF(AND(G2668&gt;=4,G2668&lt;=6),"Q1"))))))),"")</f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ref="P2668:P2731" si="811">IF(M2668="","",IF(AND(N2668&gt;0,L2668&lt;&gt;""),"MAIN UNIT",IF(AND(O2668&gt;0,L2668&lt;&gt;""),"SERVICE/ PARTS","C66 SERVICE/OTHERS")))</f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807"/>
        <v>1.13</v>
      </c>
      <c r="Z2668" s="18">
        <f t="shared" si="806"/>
        <v>707000</v>
      </c>
      <c r="AA2668" s="13">
        <v>1.1850000000000001</v>
      </c>
      <c r="AB2668" s="21">
        <f t="shared" ref="AB2668:AB2731" si="812">IF(AND(R2668&lt;&gt;"C66",R2668&lt;&gt;""),Z2668/Y2668*AA2668,"")</f>
        <v>741411.50442477886</v>
      </c>
      <c r="AC2668" s="130">
        <f t="shared" ref="AC2668:AC2731" si="813">IF(R2668&lt;&gt;"",AB2668*AD2668,"")</f>
        <v>89117.662831858426</v>
      </c>
      <c r="AD2668" s="169">
        <v>0.1202</v>
      </c>
      <c r="AE2668" s="154">
        <f t="shared" ref="AE2668:AE2731" si="814">IF(Q2668="","",IF(Q2668="Yes",1,0))</f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803"/>
        <v>45803245.025628321</v>
      </c>
      <c r="AJ2668" s="19">
        <f t="shared" si="804"/>
        <v>5664636.2584379362</v>
      </c>
      <c r="AK2668" s="20">
        <f t="shared" ref="AK2668:AK2731" si="815">IF(AJ2668&gt;0,AJ2668/AI2668,"")</f>
        <v>0.12367325186825515</v>
      </c>
      <c r="AL2668" s="17"/>
      <c r="AM2668" s="17"/>
      <c r="AN2668" s="17"/>
      <c r="AO2668" s="17"/>
      <c r="AP2668" s="28" t="str">
        <f t="shared" ref="AP2668:AP2731" si="816">IF(F2668="","",F2668&amp;G2668)</f>
        <v>20211</v>
      </c>
      <c r="AQ2668" s="28" t="str">
        <f t="shared" ref="AQ2668:AQ2731" si="817">IF(W2668="","",F2668&amp;G2668&amp;W2668)</f>
        <v>20211RMB</v>
      </c>
      <c r="AR2668" s="206" t="str">
        <f t="shared" ref="AR2668:AR2731" si="818">IFERROR(IF(AND(M2668="YAMAHA", R2668="C28"), "YAMAHA_Non_Mounter", IF(AND(M2668="YAMAHA", R2668="C49"), "YAMAHA_Mounter", M2668)),"")</f>
        <v>YAMAHA_Non_Mounter</v>
      </c>
      <c r="AS2668" s="22">
        <f t="shared" ref="AS2668:AS2731" si="819">IFERROR(IF(OR(G2668="TBA", G2668=""), "", DATEDIF(DATE(B2668, C2668, 1), DATE(F2668, G2668, 1), "M")),"")</f>
        <v>2</v>
      </c>
      <c r="AT2668" s="24" t="str">
        <f t="shared" ref="AT2668:AT2731" si="820">IF(ISNUMBER(AS2668), IF(AS2668&gt;=0, IF(AS2668&lt;=3, "0-3 months", IF(AS2668&lt;=6, "4-6 months", "&gt; 6 months"))), "")</f>
        <v>0-3 months</v>
      </c>
    </row>
    <row r="2669" spans="1:46" s="12" customFormat="1">
      <c r="A2669" s="33" t="str">
        <f t="shared" si="808"/>
        <v>FY 20/21</v>
      </c>
      <c r="B2669" s="152">
        <v>2020</v>
      </c>
      <c r="C2669" s="152">
        <v>11</v>
      </c>
      <c r="D2669" s="33" t="str">
        <f t="shared" si="809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810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811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807"/>
        <v>1.13</v>
      </c>
      <c r="Z2669" s="18">
        <f t="shared" si="806"/>
        <v>707000</v>
      </c>
      <c r="AA2669" s="13">
        <v>1.1950000000000001</v>
      </c>
      <c r="AB2669" s="21">
        <f t="shared" si="812"/>
        <v>747668.14159292041</v>
      </c>
      <c r="AC2669" s="130">
        <f t="shared" si="813"/>
        <v>133383.996460177</v>
      </c>
      <c r="AD2669" s="169">
        <v>0.1784</v>
      </c>
      <c r="AE2669" s="154">
        <f t="shared" si="814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803"/>
        <v>63006605.696460173</v>
      </c>
      <c r="AJ2669" s="19">
        <f t="shared" si="804"/>
        <v>8897485.660753984</v>
      </c>
      <c r="AK2669" s="20">
        <f t="shared" si="815"/>
        <v>0.141215124388995</v>
      </c>
      <c r="AL2669" s="17"/>
      <c r="AM2669" s="17"/>
      <c r="AN2669" s="17"/>
      <c r="AO2669" s="17"/>
      <c r="AP2669" s="28" t="str">
        <f t="shared" si="816"/>
        <v>20215</v>
      </c>
      <c r="AQ2669" s="28" t="str">
        <f t="shared" si="817"/>
        <v>20215RMB</v>
      </c>
      <c r="AR2669" s="206" t="str">
        <f t="shared" si="818"/>
        <v>YAMAHA_Non_Mounter</v>
      </c>
      <c r="AS2669" s="22">
        <f t="shared" si="819"/>
        <v>6</v>
      </c>
      <c r="AT2669" s="24" t="str">
        <f t="shared" si="820"/>
        <v>4-6 months</v>
      </c>
    </row>
    <row r="2670" spans="1:46" s="12" customFormat="1">
      <c r="A2670" s="33" t="str">
        <f t="shared" si="808"/>
        <v>FY 20/21</v>
      </c>
      <c r="B2670" s="152">
        <v>2020</v>
      </c>
      <c r="C2670" s="152">
        <v>11</v>
      </c>
      <c r="D2670" s="33" t="str">
        <f t="shared" si="809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810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811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807"/>
        <v>1.13</v>
      </c>
      <c r="Z2670" s="18">
        <f t="shared" si="806"/>
        <v>707000</v>
      </c>
      <c r="AA2670" s="13">
        <v>1.1950000000000001</v>
      </c>
      <c r="AB2670" s="21">
        <f t="shared" si="812"/>
        <v>747668.14159292041</v>
      </c>
      <c r="AC2670" s="130">
        <f t="shared" si="813"/>
        <v>133383.996460177</v>
      </c>
      <c r="AD2670" s="169">
        <v>0.1784</v>
      </c>
      <c r="AE2670" s="154">
        <f t="shared" si="814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803"/>
        <v>63006605.696460173</v>
      </c>
      <c r="AJ2670" s="19">
        <f t="shared" si="804"/>
        <v>8897485.660753984</v>
      </c>
      <c r="AK2670" s="20">
        <f t="shared" si="815"/>
        <v>0.141215124388995</v>
      </c>
      <c r="AL2670" s="17"/>
      <c r="AM2670" s="17"/>
      <c r="AN2670" s="17"/>
      <c r="AO2670" s="17"/>
      <c r="AP2670" s="28" t="str">
        <f t="shared" si="816"/>
        <v>20215</v>
      </c>
      <c r="AQ2670" s="28" t="str">
        <f t="shared" si="817"/>
        <v>20215RMB</v>
      </c>
      <c r="AR2670" s="206" t="str">
        <f t="shared" si="818"/>
        <v>YAMAHA_Non_Mounter</v>
      </c>
      <c r="AS2670" s="22">
        <f t="shared" si="819"/>
        <v>6</v>
      </c>
      <c r="AT2670" s="24" t="str">
        <f t="shared" si="820"/>
        <v>4-6 months</v>
      </c>
    </row>
    <row r="2671" spans="1:46" s="12" customFormat="1">
      <c r="A2671" s="33" t="str">
        <f t="shared" si="808"/>
        <v>FY 22/23</v>
      </c>
      <c r="B2671" s="152">
        <v>2022</v>
      </c>
      <c r="C2671" s="152">
        <v>8</v>
      </c>
      <c r="D2671" s="33" t="str">
        <f t="shared" si="809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810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811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806"/>
        <v>11500000</v>
      </c>
      <c r="AA2671" s="13">
        <v>5.4100000000000002E-2</v>
      </c>
      <c r="AB2671" s="21">
        <f t="shared" si="812"/>
        <v>622150</v>
      </c>
      <c r="AC2671" s="130">
        <f t="shared" si="813"/>
        <v>132206.875</v>
      </c>
      <c r="AD2671" s="169">
        <v>0.21249999999999999</v>
      </c>
      <c r="AE2671" s="154">
        <f t="shared" si="814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803"/>
        <v>31017966.201968137</v>
      </c>
      <c r="AJ2671" s="19">
        <f t="shared" si="804"/>
        <v>4704250.3347305888</v>
      </c>
      <c r="AK2671" s="20">
        <f t="shared" si="815"/>
        <v>0.15166211427595458</v>
      </c>
      <c r="AL2671" s="17"/>
      <c r="AM2671" s="17"/>
      <c r="AN2671" s="17"/>
      <c r="AO2671" s="17"/>
      <c r="AP2671" s="28" t="str">
        <f t="shared" si="816"/>
        <v>202211</v>
      </c>
      <c r="AQ2671" s="28" t="str">
        <f t="shared" si="817"/>
        <v>202211JPY</v>
      </c>
      <c r="AR2671" s="206" t="str">
        <f t="shared" si="818"/>
        <v>YAMAHA_Non_Mounter</v>
      </c>
      <c r="AS2671" s="22">
        <f t="shared" si="819"/>
        <v>3</v>
      </c>
      <c r="AT2671" s="24" t="str">
        <f t="shared" si="820"/>
        <v>0-3 months</v>
      </c>
    </row>
    <row r="2672" spans="1:46" s="12" customFormat="1">
      <c r="A2672" s="33" t="str">
        <f t="shared" si="808"/>
        <v>FY 20/21</v>
      </c>
      <c r="B2672" s="152">
        <v>2021</v>
      </c>
      <c r="C2672" s="152">
        <v>3</v>
      </c>
      <c r="D2672" s="33" t="str">
        <f t="shared" si="809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810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811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806"/>
        <v>10540000</v>
      </c>
      <c r="AA2672" s="13">
        <v>7.2800000000000004E-2</v>
      </c>
      <c r="AB2672" s="21">
        <f t="shared" si="812"/>
        <v>767312</v>
      </c>
      <c r="AC2672" s="130">
        <f t="shared" si="813"/>
        <v>198964.00159999999</v>
      </c>
      <c r="AD2672" s="169">
        <v>0.25929999999999997</v>
      </c>
      <c r="AE2672" s="154">
        <f t="shared" si="814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803"/>
        <v>63006605.696460173</v>
      </c>
      <c r="AJ2672" s="19">
        <f t="shared" si="804"/>
        <v>8897485.660753984</v>
      </c>
      <c r="AK2672" s="20">
        <f t="shared" si="815"/>
        <v>0.141215124388995</v>
      </c>
      <c r="AL2672" s="17"/>
      <c r="AM2672" s="17"/>
      <c r="AN2672" s="17"/>
      <c r="AO2672" s="17"/>
      <c r="AP2672" s="28" t="str">
        <f t="shared" si="816"/>
        <v>20215</v>
      </c>
      <c r="AQ2672" s="28" t="str">
        <f t="shared" si="817"/>
        <v>20215JPY</v>
      </c>
      <c r="AR2672" s="206" t="str">
        <f t="shared" si="818"/>
        <v>YAMAHA_Mounter</v>
      </c>
      <c r="AS2672" s="22">
        <f t="shared" si="819"/>
        <v>2</v>
      </c>
      <c r="AT2672" s="24" t="str">
        <f t="shared" si="820"/>
        <v>0-3 months</v>
      </c>
    </row>
    <row r="2673" spans="1:46" s="12" customFormat="1">
      <c r="A2673" s="33" t="str">
        <f t="shared" si="808"/>
        <v>FY 23/24</v>
      </c>
      <c r="B2673" s="23">
        <v>2024</v>
      </c>
      <c r="C2673" s="152">
        <v>1</v>
      </c>
      <c r="D2673" s="33" t="str">
        <f t="shared" si="809"/>
        <v>Q4</v>
      </c>
      <c r="E2673" s="33" t="str">
        <f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810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811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21">IF(W2673="","",IF(W2673="RMB","1.13", "1"))</f>
        <v>1</v>
      </c>
      <c r="Z2673" s="18">
        <f t="shared" si="806"/>
        <v>12750000</v>
      </c>
      <c r="AA2673" s="22">
        <v>5.3100000000000001E-2</v>
      </c>
      <c r="AB2673" s="21">
        <f t="shared" si="812"/>
        <v>677025</v>
      </c>
      <c r="AC2673" s="25">
        <f t="shared" si="813"/>
        <v>68650.335000000006</v>
      </c>
      <c r="AD2673" s="209">
        <v>0.1014</v>
      </c>
      <c r="AE2673" s="26">
        <f t="shared" si="814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803"/>
        <v>21194662.454867262</v>
      </c>
      <c r="AJ2673" s="27">
        <f t="shared" si="804"/>
        <v>2981431.5970757701</v>
      </c>
      <c r="AK2673" s="28">
        <f t="shared" si="815"/>
        <v>0.14066898226968919</v>
      </c>
      <c r="AL2673" s="24"/>
      <c r="AM2673" s="24"/>
      <c r="AN2673" s="24"/>
      <c r="AO2673" s="24"/>
      <c r="AP2673" s="28" t="str">
        <f t="shared" si="816"/>
        <v>20243</v>
      </c>
      <c r="AQ2673" s="28" t="str">
        <f t="shared" si="817"/>
        <v>20243JPY</v>
      </c>
      <c r="AR2673" s="206" t="str">
        <f t="shared" si="818"/>
        <v>YAMAHA_Mounter</v>
      </c>
      <c r="AS2673" s="22">
        <f t="shared" si="819"/>
        <v>2</v>
      </c>
      <c r="AT2673" s="24" t="str">
        <f t="shared" si="820"/>
        <v>0-3 months</v>
      </c>
    </row>
    <row r="2674" spans="1:46" s="12" customFormat="1">
      <c r="A2674" s="33" t="str">
        <f t="shared" si="808"/>
        <v>FY 23/24</v>
      </c>
      <c r="B2674" s="23">
        <v>2024</v>
      </c>
      <c r="C2674" s="152">
        <v>1</v>
      </c>
      <c r="D2674" s="33" t="str">
        <f t="shared" si="809"/>
        <v>Q4</v>
      </c>
      <c r="E2674" s="33" t="str">
        <f>IF(G2674="Cancel","Cancel",IF(G2674="TBA","TBA",IFERROR(IF(I2674="Q4","FY "&amp;RIGHT(F2674,2)-1&amp;"/"&amp;RIGHT(F2674,2),"FY "&amp;RIGHT(F2674,2)&amp;"/"&amp;RIGHT(F2674,2)+1),"")))</f>
        <v>FY 23/24</v>
      </c>
      <c r="F2674" s="152">
        <v>2024</v>
      </c>
      <c r="G2674" s="152">
        <v>3</v>
      </c>
      <c r="H2674" s="29"/>
      <c r="I2674" s="33" t="str">
        <f t="shared" si="810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811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21"/>
        <v>1</v>
      </c>
      <c r="Z2674" s="18">
        <f t="shared" si="806"/>
        <v>12750000</v>
      </c>
      <c r="AA2674" s="22">
        <v>5.3100000000000001E-2</v>
      </c>
      <c r="AB2674" s="21">
        <f t="shared" si="812"/>
        <v>677025</v>
      </c>
      <c r="AC2674" s="25">
        <f t="shared" si="813"/>
        <v>68650.335000000006</v>
      </c>
      <c r="AD2674" s="162">
        <v>0.1014</v>
      </c>
      <c r="AE2674" s="26">
        <f t="shared" si="814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803"/>
        <v>21194662.454867262</v>
      </c>
      <c r="AJ2674" s="27">
        <f t="shared" si="804"/>
        <v>2981431.5970757701</v>
      </c>
      <c r="AK2674" s="28">
        <f t="shared" si="815"/>
        <v>0.14066898226968919</v>
      </c>
      <c r="AL2674" s="24"/>
      <c r="AM2674" s="24"/>
      <c r="AN2674" s="24"/>
      <c r="AO2674" s="24"/>
      <c r="AP2674" s="28" t="str">
        <f t="shared" si="816"/>
        <v>20243</v>
      </c>
      <c r="AQ2674" s="28" t="str">
        <f t="shared" si="817"/>
        <v>20243JPY</v>
      </c>
      <c r="AR2674" s="206" t="str">
        <f t="shared" si="818"/>
        <v>YAMAHA_Mounter</v>
      </c>
      <c r="AS2674" s="22">
        <f t="shared" si="819"/>
        <v>2</v>
      </c>
      <c r="AT2674" s="24" t="str">
        <f t="shared" si="820"/>
        <v>0-3 months</v>
      </c>
    </row>
    <row r="2675" spans="1:46" s="12" customFormat="1">
      <c r="A2675" s="33" t="str">
        <f t="shared" si="808"/>
        <v>FY 23/24</v>
      </c>
      <c r="B2675" s="23">
        <v>2024</v>
      </c>
      <c r="C2675" s="152">
        <v>1</v>
      </c>
      <c r="D2675" s="33" t="str">
        <f t="shared" si="809"/>
        <v>Q4</v>
      </c>
      <c r="E2675" s="33" t="str">
        <f>IF(G2675="Cancel","Cancel",IF(G2675="TBA","TBA",IFERROR(IF(I2675="Q4","FY "&amp;RIGHT(F2675,2)-1&amp;"/"&amp;RIGHT(F2675,2),"FY "&amp;RIGHT(F2675,2)&amp;"/"&amp;RIGHT(F2675,2)+1),"")))</f>
        <v>FY 23/24</v>
      </c>
      <c r="F2675" s="152">
        <v>2024</v>
      </c>
      <c r="G2675" s="152">
        <v>3</v>
      </c>
      <c r="H2675" s="29"/>
      <c r="I2675" s="33" t="str">
        <f t="shared" si="810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811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21"/>
        <v>1</v>
      </c>
      <c r="Z2675" s="18">
        <f t="shared" si="806"/>
        <v>8000000</v>
      </c>
      <c r="AA2675" s="22">
        <v>5.3100000000000001E-2</v>
      </c>
      <c r="AB2675" s="21">
        <f t="shared" si="812"/>
        <v>424800</v>
      </c>
      <c r="AC2675" s="25">
        <f t="shared" si="813"/>
        <v>43074.720000000001</v>
      </c>
      <c r="AD2675" s="162">
        <v>0.1014</v>
      </c>
      <c r="AE2675" s="26">
        <f t="shared" si="814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803"/>
        <v>21194662.454867262</v>
      </c>
      <c r="AJ2675" s="27">
        <f t="shared" si="804"/>
        <v>2981431.5970757701</v>
      </c>
      <c r="AK2675" s="28">
        <f t="shared" si="815"/>
        <v>0.14066898226968919</v>
      </c>
      <c r="AL2675" s="24"/>
      <c r="AM2675" s="24"/>
      <c r="AN2675" s="24"/>
      <c r="AO2675" s="24"/>
      <c r="AP2675" s="28" t="str">
        <f t="shared" si="816"/>
        <v>20243</v>
      </c>
      <c r="AQ2675" s="28" t="str">
        <f t="shared" si="817"/>
        <v>20243JPY</v>
      </c>
      <c r="AR2675" s="206" t="str">
        <f t="shared" si="818"/>
        <v>YAMAHA_Mounter</v>
      </c>
      <c r="AS2675" s="22">
        <f t="shared" si="819"/>
        <v>2</v>
      </c>
      <c r="AT2675" s="24" t="str">
        <f t="shared" si="820"/>
        <v>0-3 months</v>
      </c>
    </row>
    <row r="2676" spans="1:46" s="12" customFormat="1">
      <c r="A2676" s="33" t="str">
        <f t="shared" si="808"/>
        <v>FY 23/24</v>
      </c>
      <c r="B2676" s="23">
        <v>2024</v>
      </c>
      <c r="C2676" s="152">
        <v>1</v>
      </c>
      <c r="D2676" s="33" t="str">
        <f t="shared" si="809"/>
        <v>Q4</v>
      </c>
      <c r="E2676" s="33" t="str">
        <f>IF(G2676="Cancel","Cancel",IF(G2676="TBA","TBA",IFERROR(IF(I2676="Q4","FY "&amp;RIGHT(F2676,2)-1&amp;"/"&amp;RIGHT(F2676,2),"FY "&amp;RIGHT(F2676,2)&amp;"/"&amp;RIGHT(F2676,2)+1),"")))</f>
        <v>FY 23/24</v>
      </c>
      <c r="F2676" s="152">
        <v>2024</v>
      </c>
      <c r="G2676" s="152">
        <v>3</v>
      </c>
      <c r="H2676" s="29"/>
      <c r="I2676" s="33" t="str">
        <f t="shared" si="810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811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21"/>
        <v>1</v>
      </c>
      <c r="Z2676" s="18">
        <f t="shared" si="806"/>
        <v>8000000</v>
      </c>
      <c r="AA2676" s="22">
        <v>5.3100000000000001E-2</v>
      </c>
      <c r="AB2676" s="21">
        <f t="shared" si="812"/>
        <v>424800</v>
      </c>
      <c r="AC2676" s="25">
        <f t="shared" si="813"/>
        <v>43074.720000000001</v>
      </c>
      <c r="AD2676" s="162">
        <v>0.1014</v>
      </c>
      <c r="AE2676" s="26">
        <f t="shared" si="814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803"/>
        <v>21194662.454867262</v>
      </c>
      <c r="AJ2676" s="27">
        <f t="shared" si="804"/>
        <v>2981431.5970757701</v>
      </c>
      <c r="AK2676" s="28">
        <f t="shared" si="815"/>
        <v>0.14066898226968919</v>
      </c>
      <c r="AL2676" s="24"/>
      <c r="AM2676" s="24"/>
      <c r="AN2676" s="24"/>
      <c r="AO2676" s="24"/>
      <c r="AP2676" s="28" t="str">
        <f t="shared" si="816"/>
        <v>20243</v>
      </c>
      <c r="AQ2676" s="28" t="str">
        <f t="shared" si="817"/>
        <v>20243JPY</v>
      </c>
      <c r="AR2676" s="206" t="str">
        <f t="shared" si="818"/>
        <v>YAMAHA_Mounter</v>
      </c>
      <c r="AS2676" s="22">
        <f t="shared" si="819"/>
        <v>2</v>
      </c>
      <c r="AT2676" s="24" t="str">
        <f t="shared" si="820"/>
        <v>0-3 months</v>
      </c>
    </row>
    <row r="2677" spans="1:46" s="12" customFormat="1">
      <c r="A2677" s="33" t="str">
        <f t="shared" si="808"/>
        <v>FY 23/24</v>
      </c>
      <c r="B2677" s="23">
        <v>2024</v>
      </c>
      <c r="C2677" s="152">
        <v>1</v>
      </c>
      <c r="D2677" s="33" t="str">
        <f t="shared" si="809"/>
        <v>Q4</v>
      </c>
      <c r="E2677" s="33" t="str">
        <f>IF(G2677="Cancel","Cancel",IF(G2677="TBA","TBA",IFERROR(IF(I2677="Q4","FY "&amp;RIGHT(F2677,2)-1&amp;"/"&amp;RIGHT(F2677,2),"FY "&amp;RIGHT(F2677,2)&amp;"/"&amp;RIGHT(F2677,2)+1),"")))</f>
        <v>FY 23/24</v>
      </c>
      <c r="F2677" s="152">
        <v>2024</v>
      </c>
      <c r="G2677" s="152">
        <v>3</v>
      </c>
      <c r="H2677" s="29"/>
      <c r="I2677" s="33" t="str">
        <f t="shared" si="810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811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21"/>
        <v>1</v>
      </c>
      <c r="Z2677" s="18">
        <f t="shared" si="806"/>
        <v>8000000</v>
      </c>
      <c r="AA2677" s="22">
        <v>5.3100000000000001E-2</v>
      </c>
      <c r="AB2677" s="21">
        <f t="shared" si="812"/>
        <v>424800</v>
      </c>
      <c r="AC2677" s="25">
        <f t="shared" si="813"/>
        <v>43074.720000000001</v>
      </c>
      <c r="AD2677" s="162">
        <v>0.1014</v>
      </c>
      <c r="AE2677" s="26">
        <f t="shared" si="814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803"/>
        <v>21194662.454867262</v>
      </c>
      <c r="AJ2677" s="27">
        <f t="shared" si="804"/>
        <v>2981431.5970757701</v>
      </c>
      <c r="AK2677" s="28">
        <f t="shared" si="815"/>
        <v>0.14066898226968919</v>
      </c>
      <c r="AL2677" s="24"/>
      <c r="AM2677" s="24"/>
      <c r="AN2677" s="24"/>
      <c r="AO2677" s="24"/>
      <c r="AP2677" s="28" t="str">
        <f t="shared" si="816"/>
        <v>20243</v>
      </c>
      <c r="AQ2677" s="28" t="str">
        <f t="shared" si="817"/>
        <v>20243JPY</v>
      </c>
      <c r="AR2677" s="206" t="str">
        <f t="shared" si="818"/>
        <v>YAMAHA_Mounter</v>
      </c>
      <c r="AS2677" s="22">
        <f t="shared" si="819"/>
        <v>2</v>
      </c>
      <c r="AT2677" s="24" t="str">
        <f t="shared" si="820"/>
        <v>0-3 months</v>
      </c>
    </row>
    <row r="2678" spans="1:46" s="12" customFormat="1">
      <c r="A2678" s="33" t="str">
        <f t="shared" si="808"/>
        <v>FY 23/24</v>
      </c>
      <c r="B2678" s="23">
        <v>2024</v>
      </c>
      <c r="C2678" s="152">
        <v>1</v>
      </c>
      <c r="D2678" s="33" t="str">
        <f t="shared" si="809"/>
        <v>Q4</v>
      </c>
      <c r="E2678" s="33" t="s">
        <v>3173</v>
      </c>
      <c r="F2678" s="152">
        <v>2024</v>
      </c>
      <c r="G2678" s="152">
        <v>4</v>
      </c>
      <c r="H2678" s="29"/>
      <c r="I2678" s="33" t="str">
        <f t="shared" si="810"/>
        <v>Q1</v>
      </c>
      <c r="J2678" s="188" t="s">
        <v>3178</v>
      </c>
      <c r="K2678" s="29" t="s">
        <v>3177</v>
      </c>
      <c r="L2678" s="17" t="s">
        <v>2621</v>
      </c>
      <c r="M2678" s="22" t="s">
        <v>61</v>
      </c>
      <c r="N2678" s="22">
        <v>1</v>
      </c>
      <c r="O2678" s="22"/>
      <c r="P2678" s="33" t="str">
        <f t="shared" si="811"/>
        <v>MAIN UNIT</v>
      </c>
      <c r="Q2678" s="13" t="s">
        <v>62</v>
      </c>
      <c r="R2678" s="22" t="s">
        <v>2056</v>
      </c>
      <c r="S2678" s="22" t="s">
        <v>50</v>
      </c>
      <c r="T2678" s="22" t="s">
        <v>1072</v>
      </c>
      <c r="U2678" s="22" t="s">
        <v>2111</v>
      </c>
      <c r="V2678" s="22" t="s">
        <v>122</v>
      </c>
      <c r="W2678" s="22" t="s">
        <v>110</v>
      </c>
      <c r="X2678" s="30">
        <v>8500000</v>
      </c>
      <c r="Y2678" s="31" t="str">
        <f t="shared" si="821"/>
        <v>1</v>
      </c>
      <c r="Z2678" s="18">
        <f t="shared" si="806"/>
        <v>8500000</v>
      </c>
      <c r="AA2678" s="13">
        <v>5.2699999999999997E-2</v>
      </c>
      <c r="AB2678" s="21">
        <f t="shared" si="812"/>
        <v>447950</v>
      </c>
      <c r="AC2678" s="25">
        <f t="shared" si="813"/>
        <v>90709.875</v>
      </c>
      <c r="AD2678" s="169">
        <v>0.20250000000000001</v>
      </c>
      <c r="AE2678" s="26">
        <f t="shared" si="814"/>
        <v>0</v>
      </c>
      <c r="AF2678" s="26" t="str">
        <f>IF(AND(COUNTIFS($J$18:J2678,J2678)=1,AE2678=1),1,"")</f>
        <v/>
      </c>
      <c r="AG2678" s="26">
        <f>IF(C2678="","",IF(AND(COUNTIFS($J$18:J2678,J2678)=1,C2678&lt;&gt;""),1,""))</f>
        <v>1</v>
      </c>
      <c r="AH2678" s="26">
        <f>IF(G2678="","",IF(AND(COUNTIFS($J$18:J2678,J2678)=1,G2678&lt;&gt;""),1,""))</f>
        <v>1</v>
      </c>
      <c r="AI2678" s="27">
        <f t="shared" si="803"/>
        <v>20319282.700884953</v>
      </c>
      <c r="AJ2678" s="27">
        <f t="shared" si="804"/>
        <v>2408851.9638623013</v>
      </c>
      <c r="AK2678" s="28">
        <f t="shared" si="815"/>
        <v>0.11855004919821259</v>
      </c>
      <c r="AL2678" s="24"/>
      <c r="AM2678" s="24"/>
      <c r="AN2678" s="24"/>
      <c r="AO2678" s="24"/>
      <c r="AP2678" s="28" t="str">
        <f t="shared" si="816"/>
        <v>20244</v>
      </c>
      <c r="AQ2678" s="28" t="str">
        <f t="shared" si="817"/>
        <v>20244JPY</v>
      </c>
      <c r="AR2678" s="206" t="str">
        <f t="shared" si="818"/>
        <v>YAMAHA_Non_Mounter</v>
      </c>
      <c r="AS2678" s="22">
        <f t="shared" si="819"/>
        <v>3</v>
      </c>
      <c r="AT2678" s="24" t="str">
        <f t="shared" si="820"/>
        <v>0-3 months</v>
      </c>
    </row>
    <row r="2679" spans="1:46" s="12" customFormat="1">
      <c r="A2679" s="33" t="str">
        <f t="shared" si="808"/>
        <v>FY 20/21</v>
      </c>
      <c r="B2679" s="152">
        <v>2021</v>
      </c>
      <c r="C2679" s="152">
        <v>2</v>
      </c>
      <c r="D2679" s="33" t="str">
        <f t="shared" si="809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810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811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806"/>
        <v>11500000</v>
      </c>
      <c r="AA2679" s="13">
        <v>5.5599999999999997E-2</v>
      </c>
      <c r="AB2679" s="21">
        <f t="shared" si="812"/>
        <v>639400</v>
      </c>
      <c r="AC2679" s="130">
        <f t="shared" si="813"/>
        <v>76728</v>
      </c>
      <c r="AD2679" s="169">
        <v>0.12</v>
      </c>
      <c r="AE2679" s="154">
        <f t="shared" si="814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803"/>
        <v>22399988.308672566</v>
      </c>
      <c r="AJ2679" s="19">
        <f t="shared" si="804"/>
        <v>2687998.5970407082</v>
      </c>
      <c r="AK2679" s="20">
        <f t="shared" si="815"/>
        <v>0.12000000000000001</v>
      </c>
      <c r="AL2679" s="17"/>
      <c r="AM2679" s="17"/>
      <c r="AN2679" s="17"/>
      <c r="AO2679" s="17"/>
      <c r="AP2679" s="28" t="str">
        <f t="shared" si="816"/>
        <v>202412</v>
      </c>
      <c r="AQ2679" s="28" t="str">
        <f t="shared" si="817"/>
        <v>202412JPY</v>
      </c>
      <c r="AR2679" s="206" t="str">
        <f t="shared" si="818"/>
        <v>YAMAHA_Mounter</v>
      </c>
      <c r="AS2679" s="22">
        <f t="shared" si="819"/>
        <v>46</v>
      </c>
      <c r="AT2679" s="24" t="str">
        <f t="shared" si="820"/>
        <v>&gt; 6 months</v>
      </c>
    </row>
    <row r="2680" spans="1:46" s="12" customFormat="1">
      <c r="A2680" s="33" t="str">
        <f t="shared" si="808"/>
        <v>FY 24/25</v>
      </c>
      <c r="B2680" s="23">
        <v>2024</v>
      </c>
      <c r="C2680" s="152">
        <v>5</v>
      </c>
      <c r="D2680" s="202" t="str">
        <f t="shared" si="809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810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811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806"/>
        <v>13000000</v>
      </c>
      <c r="AA2680" s="22">
        <v>5.5599999999999997E-2</v>
      </c>
      <c r="AB2680" s="197">
        <f t="shared" si="812"/>
        <v>722800</v>
      </c>
      <c r="AC2680" s="198">
        <f t="shared" si="813"/>
        <v>86736</v>
      </c>
      <c r="AD2680" s="169">
        <v>0.12</v>
      </c>
      <c r="AE2680" s="199">
        <f t="shared" si="814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803"/>
        <v>22399988.308672566</v>
      </c>
      <c r="AJ2680" s="200">
        <f t="shared" si="804"/>
        <v>2687998.5970407082</v>
      </c>
      <c r="AK2680" s="201">
        <f t="shared" si="815"/>
        <v>0.12000000000000001</v>
      </c>
      <c r="AL2680" s="24"/>
      <c r="AM2680" s="24"/>
      <c r="AN2680" s="24"/>
      <c r="AO2680" s="24"/>
      <c r="AP2680" s="105" t="str">
        <f t="shared" si="816"/>
        <v>202412</v>
      </c>
      <c r="AQ2680" s="28" t="str">
        <f t="shared" si="817"/>
        <v>202412JPY</v>
      </c>
      <c r="AR2680" s="206" t="str">
        <f t="shared" si="818"/>
        <v>YAMAHA_Mounter</v>
      </c>
      <c r="AS2680" s="22">
        <f t="shared" si="819"/>
        <v>7</v>
      </c>
      <c r="AT2680" s="24" t="str">
        <f t="shared" si="820"/>
        <v>&gt; 6 months</v>
      </c>
    </row>
    <row r="2681" spans="1:46" s="12" customFormat="1">
      <c r="A2681" s="33" t="str">
        <f t="shared" si="808"/>
        <v>FY 24/25</v>
      </c>
      <c r="B2681" s="23">
        <v>2024</v>
      </c>
      <c r="C2681" s="152">
        <v>5</v>
      </c>
      <c r="D2681" s="202" t="str">
        <f t="shared" si="809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810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811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806"/>
        <v>13000000</v>
      </c>
      <c r="AA2681" s="22">
        <v>5.5599999999999997E-2</v>
      </c>
      <c r="AB2681" s="197">
        <f t="shared" si="812"/>
        <v>722800</v>
      </c>
      <c r="AC2681" s="198">
        <f t="shared" si="813"/>
        <v>86736</v>
      </c>
      <c r="AD2681" s="169">
        <v>0.12</v>
      </c>
      <c r="AE2681" s="199">
        <f t="shared" si="814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803"/>
        <v>22399988.308672566</v>
      </c>
      <c r="AJ2681" s="200">
        <f t="shared" si="804"/>
        <v>2687998.5970407082</v>
      </c>
      <c r="AK2681" s="201">
        <f t="shared" si="815"/>
        <v>0.12000000000000001</v>
      </c>
      <c r="AL2681" s="24"/>
      <c r="AM2681" s="24"/>
      <c r="AN2681" s="24"/>
      <c r="AO2681" s="24"/>
      <c r="AP2681" s="105" t="str">
        <f t="shared" si="816"/>
        <v>202412</v>
      </c>
      <c r="AQ2681" s="28" t="str">
        <f t="shared" si="817"/>
        <v>202412JPY</v>
      </c>
      <c r="AR2681" s="206" t="str">
        <f t="shared" si="818"/>
        <v>YAMAHA_Mounter</v>
      </c>
      <c r="AS2681" s="22">
        <f t="shared" si="819"/>
        <v>7</v>
      </c>
      <c r="AT2681" s="24" t="str">
        <f t="shared" si="820"/>
        <v>&gt; 6 months</v>
      </c>
    </row>
    <row r="2682" spans="1:46" s="12" customFormat="1">
      <c r="A2682" s="33" t="str">
        <f t="shared" si="808"/>
        <v>FY 24/25</v>
      </c>
      <c r="B2682" s="23">
        <v>2024</v>
      </c>
      <c r="C2682" s="152">
        <v>5</v>
      </c>
      <c r="D2682" s="202" t="str">
        <f t="shared" si="809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810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811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806"/>
        <v>10120000</v>
      </c>
      <c r="AA2682" s="22">
        <v>5.5599999999999997E-2</v>
      </c>
      <c r="AB2682" s="197">
        <f t="shared" si="812"/>
        <v>562672</v>
      </c>
      <c r="AC2682" s="198">
        <f t="shared" si="813"/>
        <v>67520.639999999999</v>
      </c>
      <c r="AD2682" s="169">
        <v>0.12</v>
      </c>
      <c r="AE2682" s="199">
        <f t="shared" si="814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803"/>
        <v>22399988.308672566</v>
      </c>
      <c r="AJ2682" s="200">
        <f t="shared" si="804"/>
        <v>2687998.5970407082</v>
      </c>
      <c r="AK2682" s="201">
        <f t="shared" si="815"/>
        <v>0.12000000000000001</v>
      </c>
      <c r="AL2682" s="24"/>
      <c r="AM2682" s="24"/>
      <c r="AN2682" s="24"/>
      <c r="AO2682" s="24"/>
      <c r="AP2682" s="105" t="str">
        <f t="shared" si="816"/>
        <v>202412</v>
      </c>
      <c r="AQ2682" s="28" t="str">
        <f t="shared" si="817"/>
        <v>202412JPY</v>
      </c>
      <c r="AR2682" s="206" t="str">
        <f t="shared" si="818"/>
        <v>YAMAHA_Mounter</v>
      </c>
      <c r="AS2682" s="22">
        <f t="shared" si="819"/>
        <v>7</v>
      </c>
      <c r="AT2682" s="24" t="str">
        <f t="shared" si="820"/>
        <v>&gt; 6 months</v>
      </c>
    </row>
    <row r="2683" spans="1:46" s="12" customFormat="1">
      <c r="A2683" s="33" t="str">
        <f t="shared" si="808"/>
        <v>FY 24/25</v>
      </c>
      <c r="B2683" s="23">
        <v>2024</v>
      </c>
      <c r="C2683" s="152">
        <v>4</v>
      </c>
      <c r="D2683" s="33" t="str">
        <f t="shared" si="809"/>
        <v>Q1</v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8</v>
      </c>
      <c r="H2683" s="29"/>
      <c r="I2683" s="33" t="str">
        <f t="shared" si="810"/>
        <v>Q2</v>
      </c>
      <c r="J2683" s="188" t="s">
        <v>3386</v>
      </c>
      <c r="K2683" s="29" t="s">
        <v>3390</v>
      </c>
      <c r="L2683" s="17" t="s">
        <v>68</v>
      </c>
      <c r="M2683" s="22" t="s">
        <v>61</v>
      </c>
      <c r="N2683" s="22">
        <v>1</v>
      </c>
      <c r="O2683" s="22"/>
      <c r="P2683" s="33" t="str">
        <f t="shared" si="811"/>
        <v>MAIN UNIT</v>
      </c>
      <c r="Q2683" s="13" t="s">
        <v>69</v>
      </c>
      <c r="R2683" s="22" t="s">
        <v>63</v>
      </c>
      <c r="S2683" s="22" t="s">
        <v>50</v>
      </c>
      <c r="T2683" s="22" t="s">
        <v>79</v>
      </c>
      <c r="U2683" s="22" t="s">
        <v>1072</v>
      </c>
      <c r="V2683" s="22" t="s">
        <v>122</v>
      </c>
      <c r="W2683" s="22" t="s">
        <v>110</v>
      </c>
      <c r="X2683" s="30">
        <v>8495000</v>
      </c>
      <c r="Y2683" s="31" t="str">
        <f>IF(W2683="","",IF(W2683="RMB","1.13", "1"))</f>
        <v>1</v>
      </c>
      <c r="Z2683" s="18">
        <f t="shared" si="806"/>
        <v>8495000</v>
      </c>
      <c r="AA2683" s="22">
        <v>5.2299999999999999E-2</v>
      </c>
      <c r="AB2683" s="21">
        <f t="shared" si="812"/>
        <v>444288.5</v>
      </c>
      <c r="AC2683" s="25">
        <f t="shared" si="813"/>
        <v>56380.210650000008</v>
      </c>
      <c r="AD2683" s="170">
        <v>0.12690000000000001</v>
      </c>
      <c r="AE2683" s="26">
        <f t="shared" si="814"/>
        <v>1</v>
      </c>
      <c r="AF2683" s="26">
        <f>IF(AND(COUNTIFS($J$18:J2683,J2683)=1,AE2683=1),1,"")</f>
        <v>1</v>
      </c>
      <c r="AG2683" s="26">
        <f>IF(C2683="","",IF(AND(COUNTIFS($J$18:J2683,J2683)=1,C2683&lt;&gt;""),1,""))</f>
        <v>1</v>
      </c>
      <c r="AH2683" s="26">
        <f>IF(G2683="","",IF(AND(COUNTIFS($J$18:J2683,J2683)=1,G2683&lt;&gt;""),1,""))</f>
        <v>1</v>
      </c>
      <c r="AI2683" s="27">
        <f t="shared" si="803"/>
        <v>25354039.366920356</v>
      </c>
      <c r="AJ2683" s="27">
        <f t="shared" si="804"/>
        <v>3027878.5311884549</v>
      </c>
      <c r="AK2683" s="28">
        <f t="shared" si="815"/>
        <v>0.11942391061910851</v>
      </c>
      <c r="AL2683" s="24"/>
      <c r="AM2683" s="24"/>
      <c r="AN2683" s="24"/>
      <c r="AO2683" s="24"/>
      <c r="AP2683" s="28" t="str">
        <f t="shared" si="816"/>
        <v>20248</v>
      </c>
      <c r="AQ2683" s="28" t="str">
        <f t="shared" si="817"/>
        <v>20248JPY</v>
      </c>
      <c r="AR2683" s="206" t="str">
        <f t="shared" si="818"/>
        <v>YAMAHA_Mounter</v>
      </c>
      <c r="AS2683" s="22">
        <f t="shared" si="819"/>
        <v>4</v>
      </c>
      <c r="AT2683" s="24" t="str">
        <f t="shared" si="820"/>
        <v>4-6 months</v>
      </c>
    </row>
    <row r="2684" spans="1:46" s="12" customFormat="1">
      <c r="A2684" s="33" t="str">
        <f t="shared" si="808"/>
        <v>FY 21/22</v>
      </c>
      <c r="B2684" s="152">
        <v>2021</v>
      </c>
      <c r="C2684" s="152">
        <v>4</v>
      </c>
      <c r="D2684" s="33" t="str">
        <f t="shared" si="809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810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811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806"/>
        <v>900000</v>
      </c>
      <c r="AA2684" s="13">
        <v>1.2</v>
      </c>
      <c r="AB2684" s="21">
        <f t="shared" si="812"/>
        <v>955752.21238938055</v>
      </c>
      <c r="AC2684" s="130">
        <f t="shared" si="813"/>
        <v>114881.41592920355</v>
      </c>
      <c r="AD2684" s="169">
        <v>0.1202</v>
      </c>
      <c r="AE2684" s="154">
        <f t="shared" si="814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803"/>
        <v>41443303.53761062</v>
      </c>
      <c r="AJ2684" s="19">
        <f t="shared" si="804"/>
        <v>6194988.76643031</v>
      </c>
      <c r="AK2684" s="20">
        <f t="shared" si="815"/>
        <v>0.1494810557466355</v>
      </c>
      <c r="AL2684" s="17"/>
      <c r="AM2684" s="17"/>
      <c r="AN2684" s="17"/>
      <c r="AO2684" s="17"/>
      <c r="AP2684" s="28" t="str">
        <f t="shared" si="816"/>
        <v>20217</v>
      </c>
      <c r="AQ2684" s="28" t="str">
        <f t="shared" si="817"/>
        <v>20217RMB</v>
      </c>
      <c r="AR2684" s="206" t="str">
        <f t="shared" si="818"/>
        <v>YAMAHA_Mounter</v>
      </c>
      <c r="AS2684" s="22">
        <f t="shared" si="819"/>
        <v>3</v>
      </c>
      <c r="AT2684" s="24" t="str">
        <f t="shared" si="820"/>
        <v>0-3 months</v>
      </c>
    </row>
    <row r="2685" spans="1:46" s="12" customFormat="1">
      <c r="A2685" s="33" t="str">
        <f t="shared" si="808"/>
        <v>FY 21/22</v>
      </c>
      <c r="B2685" s="152">
        <v>2021</v>
      </c>
      <c r="C2685" s="152">
        <v>4</v>
      </c>
      <c r="D2685" s="33" t="str">
        <f t="shared" si="809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810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811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806"/>
        <v>710000</v>
      </c>
      <c r="AA2685" s="13">
        <v>1.2</v>
      </c>
      <c r="AB2685" s="21">
        <f t="shared" si="812"/>
        <v>753982.3008849558</v>
      </c>
      <c r="AC2685" s="130">
        <f t="shared" si="813"/>
        <v>100581.23893805309</v>
      </c>
      <c r="AD2685" s="169">
        <v>0.13339999999999999</v>
      </c>
      <c r="AE2685" s="154">
        <f t="shared" si="814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803"/>
        <v>15533177.71460177</v>
      </c>
      <c r="AJ2685" s="19">
        <f t="shared" si="804"/>
        <v>1819298.5437526547</v>
      </c>
      <c r="AK2685" s="20">
        <f t="shared" si="815"/>
        <v>0.11712339723265033</v>
      </c>
      <c r="AL2685" s="17"/>
      <c r="AM2685" s="17"/>
      <c r="AN2685" s="17"/>
      <c r="AO2685" s="17"/>
      <c r="AP2685" s="28" t="str">
        <f t="shared" si="816"/>
        <v>202110</v>
      </c>
      <c r="AQ2685" s="28" t="str">
        <f t="shared" si="817"/>
        <v>202110RMB</v>
      </c>
      <c r="AR2685" s="206" t="str">
        <f t="shared" si="818"/>
        <v>YAMAHA_Mounter</v>
      </c>
      <c r="AS2685" s="22">
        <f t="shared" si="819"/>
        <v>6</v>
      </c>
      <c r="AT2685" s="24" t="str">
        <f t="shared" si="820"/>
        <v>4-6 months</v>
      </c>
    </row>
    <row r="2686" spans="1:46" s="12" customFormat="1">
      <c r="A2686" s="33" t="str">
        <f t="shared" si="808"/>
        <v>FY 23/24</v>
      </c>
      <c r="B2686" s="152">
        <v>2023</v>
      </c>
      <c r="C2686" s="152">
        <v>5</v>
      </c>
      <c r="D2686" s="33" t="str">
        <f t="shared" si="809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810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811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806"/>
        <v>520000</v>
      </c>
      <c r="AA2686" s="13">
        <v>1.0920000000000001</v>
      </c>
      <c r="AB2686" s="21">
        <f t="shared" si="812"/>
        <v>502513.27433628327</v>
      </c>
      <c r="AC2686" s="130">
        <f t="shared" si="813"/>
        <v>71809.146902654873</v>
      </c>
      <c r="AD2686" s="169">
        <v>0.1429</v>
      </c>
      <c r="AE2686" s="154">
        <f t="shared" si="814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803"/>
        <v>22953677.784070797</v>
      </c>
      <c r="AJ2686" s="19">
        <f t="shared" si="804"/>
        <v>4168706.6744155753</v>
      </c>
      <c r="AK2686" s="20">
        <f t="shared" si="815"/>
        <v>0.18161388835511752</v>
      </c>
      <c r="AL2686" s="17"/>
      <c r="AM2686" s="17"/>
      <c r="AN2686" s="17"/>
      <c r="AO2686" s="17"/>
      <c r="AP2686" s="28" t="str">
        <f t="shared" si="816"/>
        <v>20238</v>
      </c>
      <c r="AQ2686" s="28" t="str">
        <f t="shared" si="817"/>
        <v>20238RMB</v>
      </c>
      <c r="AR2686" s="206" t="str">
        <f t="shared" si="818"/>
        <v>YAMAHA_Mounter</v>
      </c>
      <c r="AS2686" s="22">
        <f t="shared" si="819"/>
        <v>3</v>
      </c>
      <c r="AT2686" s="24" t="str">
        <f t="shared" si="820"/>
        <v>0-3 months</v>
      </c>
    </row>
    <row r="2687" spans="1:46" s="12" customFormat="1">
      <c r="A2687" s="33" t="str">
        <f t="shared" si="808"/>
        <v>FY 23/24</v>
      </c>
      <c r="B2687" s="152">
        <v>2023</v>
      </c>
      <c r="C2687" s="152">
        <v>5</v>
      </c>
      <c r="D2687" s="33" t="str">
        <f t="shared" si="809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810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811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806"/>
        <v>900000</v>
      </c>
      <c r="AA2687" s="13">
        <v>1.0920000000000001</v>
      </c>
      <c r="AB2687" s="21">
        <f t="shared" si="812"/>
        <v>869734.51327433635</v>
      </c>
      <c r="AC2687" s="130">
        <f t="shared" si="813"/>
        <v>124285.06194690266</v>
      </c>
      <c r="AD2687" s="169">
        <v>0.1429</v>
      </c>
      <c r="AE2687" s="154">
        <f t="shared" si="814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803"/>
        <v>22953677.784070797</v>
      </c>
      <c r="AJ2687" s="19">
        <f t="shared" si="804"/>
        <v>4168706.6744155753</v>
      </c>
      <c r="AK2687" s="20">
        <f t="shared" si="815"/>
        <v>0.18161388835511752</v>
      </c>
      <c r="AL2687" s="17"/>
      <c r="AM2687" s="17"/>
      <c r="AN2687" s="17"/>
      <c r="AO2687" s="17"/>
      <c r="AP2687" s="28" t="str">
        <f t="shared" si="816"/>
        <v>20238</v>
      </c>
      <c r="AQ2687" s="28" t="str">
        <f t="shared" si="817"/>
        <v>20238RMB</v>
      </c>
      <c r="AR2687" s="206" t="str">
        <f t="shared" si="818"/>
        <v>YAMAHA_Mounter</v>
      </c>
      <c r="AS2687" s="22">
        <f t="shared" si="819"/>
        <v>3</v>
      </c>
      <c r="AT2687" s="24" t="str">
        <f t="shared" si="820"/>
        <v>0-3 months</v>
      </c>
    </row>
    <row r="2688" spans="1:46" s="12" customFormat="1">
      <c r="A2688" s="33" t="str">
        <f t="shared" si="808"/>
        <v>FY 23/24</v>
      </c>
      <c r="B2688" s="152">
        <v>2023</v>
      </c>
      <c r="C2688" s="152">
        <v>5</v>
      </c>
      <c r="D2688" s="33" t="str">
        <f t="shared" si="809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810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811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806"/>
        <v>470000</v>
      </c>
      <c r="AA2688" s="13">
        <v>1.0920000000000001</v>
      </c>
      <c r="AB2688" s="21">
        <f t="shared" si="812"/>
        <v>454194.69026548683</v>
      </c>
      <c r="AC2688" s="130">
        <f t="shared" si="813"/>
        <v>51959.872566371698</v>
      </c>
      <c r="AD2688" s="169">
        <v>0.1144</v>
      </c>
      <c r="AE2688" s="154">
        <f t="shared" si="814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803"/>
        <v>22953677.784070797</v>
      </c>
      <c r="AJ2688" s="19">
        <f t="shared" si="804"/>
        <v>4168706.6744155753</v>
      </c>
      <c r="AK2688" s="20">
        <f t="shared" si="815"/>
        <v>0.18161388835511752</v>
      </c>
      <c r="AL2688" s="17"/>
      <c r="AM2688" s="17"/>
      <c r="AN2688" s="17"/>
      <c r="AO2688" s="17"/>
      <c r="AP2688" s="28" t="str">
        <f t="shared" si="816"/>
        <v>20238</v>
      </c>
      <c r="AQ2688" s="28" t="str">
        <f t="shared" si="817"/>
        <v>20238RMB</v>
      </c>
      <c r="AR2688" s="206" t="str">
        <f t="shared" si="818"/>
        <v>YAMAHA_Non_Mounter</v>
      </c>
      <c r="AS2688" s="22">
        <f t="shared" si="819"/>
        <v>3</v>
      </c>
      <c r="AT2688" s="24" t="str">
        <f t="shared" si="820"/>
        <v>0-3 months</v>
      </c>
    </row>
    <row r="2689" spans="1:46" s="12" customFormat="1">
      <c r="A2689" s="33" t="str">
        <f t="shared" si="808"/>
        <v>FY 20/21</v>
      </c>
      <c r="B2689" s="152">
        <v>2021</v>
      </c>
      <c r="C2689" s="152">
        <v>2</v>
      </c>
      <c r="D2689" s="33" t="str">
        <f t="shared" si="809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810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811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22">IF(W2689="RMB","1.13", "1")</f>
        <v>1.13</v>
      </c>
      <c r="Z2689" s="18">
        <f t="shared" si="806"/>
        <v>1000000</v>
      </c>
      <c r="AA2689" s="13">
        <v>1.2</v>
      </c>
      <c r="AB2689" s="21">
        <f t="shared" si="812"/>
        <v>1061946.9026548674</v>
      </c>
      <c r="AC2689" s="130">
        <f t="shared" si="813"/>
        <v>151539.82300884958</v>
      </c>
      <c r="AD2689" s="169">
        <v>0.14269999999999999</v>
      </c>
      <c r="AE2689" s="154">
        <f t="shared" si="814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803"/>
        <v>10844605.840707963</v>
      </c>
      <c r="AJ2689" s="19">
        <f t="shared" si="804"/>
        <v>1523130.9860707966</v>
      </c>
      <c r="AK2689" s="20">
        <f t="shared" si="815"/>
        <v>0.14045056209911663</v>
      </c>
      <c r="AL2689" s="17"/>
      <c r="AM2689" s="17"/>
      <c r="AN2689" s="17"/>
      <c r="AO2689" s="17"/>
      <c r="AP2689" s="28" t="str">
        <f t="shared" si="816"/>
        <v>20219</v>
      </c>
      <c r="AQ2689" s="28" t="str">
        <f t="shared" si="817"/>
        <v>20219RMB</v>
      </c>
      <c r="AR2689" s="206" t="str">
        <f t="shared" si="818"/>
        <v>YAMAHA_Mounter</v>
      </c>
      <c r="AS2689" s="22">
        <f t="shared" si="819"/>
        <v>7</v>
      </c>
      <c r="AT2689" s="24" t="str">
        <f t="shared" si="820"/>
        <v>&gt; 6 months</v>
      </c>
    </row>
    <row r="2690" spans="1:46" s="12" customFormat="1">
      <c r="A2690" s="33" t="str">
        <f t="shared" si="808"/>
        <v>FY 20/21</v>
      </c>
      <c r="B2690" s="152">
        <v>2021</v>
      </c>
      <c r="C2690" s="152">
        <v>2</v>
      </c>
      <c r="D2690" s="33" t="str">
        <f t="shared" si="809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810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811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22"/>
        <v>1.13</v>
      </c>
      <c r="Z2690" s="18">
        <f t="shared" si="806"/>
        <v>1000000</v>
      </c>
      <c r="AA2690" s="13">
        <v>1.2</v>
      </c>
      <c r="AB2690" s="21">
        <f t="shared" si="812"/>
        <v>1061946.9026548674</v>
      </c>
      <c r="AC2690" s="130">
        <f t="shared" si="813"/>
        <v>151539.82300884958</v>
      </c>
      <c r="AD2690" s="169">
        <v>0.14269999999999999</v>
      </c>
      <c r="AE2690" s="154">
        <f t="shared" si="814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23">IF(P2690="C66 SERVICE","",SUMIFS(AB:AB,F:F,F2690,G:G,G2690,E:E,E2690))</f>
        <v>10844605.840707963</v>
      </c>
      <c r="AJ2690" s="19">
        <f t="shared" ref="AJ2690:AJ2753" si="824">IF(P2690="C66 SERVICE","",SUMIFS(AC:AC,F:F,F2690,G:G,G2690,E:E,E2690))</f>
        <v>1523130.9860707966</v>
      </c>
      <c r="AK2690" s="20">
        <f t="shared" si="815"/>
        <v>0.14045056209911663</v>
      </c>
      <c r="AL2690" s="17"/>
      <c r="AM2690" s="17"/>
      <c r="AN2690" s="17"/>
      <c r="AO2690" s="17"/>
      <c r="AP2690" s="28" t="str">
        <f t="shared" si="816"/>
        <v>20219</v>
      </c>
      <c r="AQ2690" s="28" t="str">
        <f t="shared" si="817"/>
        <v>20219RMB</v>
      </c>
      <c r="AR2690" s="206" t="str">
        <f t="shared" si="818"/>
        <v>YAMAHA_Mounter</v>
      </c>
      <c r="AS2690" s="22">
        <f t="shared" si="819"/>
        <v>7</v>
      </c>
      <c r="AT2690" s="24" t="str">
        <f t="shared" si="820"/>
        <v>&gt; 6 months</v>
      </c>
    </row>
    <row r="2691" spans="1:46" s="12" customFormat="1">
      <c r="A2691" s="33" t="str">
        <f t="shared" si="808"/>
        <v>FY 20/21</v>
      </c>
      <c r="B2691" s="152">
        <v>2021</v>
      </c>
      <c r="C2691" s="152">
        <v>2</v>
      </c>
      <c r="D2691" s="33" t="str">
        <f t="shared" si="809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810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811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22"/>
        <v>1.13</v>
      </c>
      <c r="Z2691" s="18">
        <f t="shared" si="806"/>
        <v>832700</v>
      </c>
      <c r="AA2691" s="13">
        <v>1.2</v>
      </c>
      <c r="AB2691" s="21">
        <f t="shared" si="812"/>
        <v>884283.18584070809</v>
      </c>
      <c r="AC2691" s="130">
        <f t="shared" si="813"/>
        <v>126187.21061946904</v>
      </c>
      <c r="AD2691" s="169">
        <v>0.14269999999999999</v>
      </c>
      <c r="AE2691" s="154">
        <f t="shared" si="814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23"/>
        <v>10844605.840707963</v>
      </c>
      <c r="AJ2691" s="19">
        <f t="shared" si="824"/>
        <v>1523130.9860707966</v>
      </c>
      <c r="AK2691" s="20">
        <f t="shared" si="815"/>
        <v>0.14045056209911663</v>
      </c>
      <c r="AL2691" s="17"/>
      <c r="AM2691" s="17"/>
      <c r="AN2691" s="17"/>
      <c r="AO2691" s="17"/>
      <c r="AP2691" s="28" t="str">
        <f t="shared" si="816"/>
        <v>20219</v>
      </c>
      <c r="AQ2691" s="28" t="str">
        <f t="shared" si="817"/>
        <v>20219RMB</v>
      </c>
      <c r="AR2691" s="206" t="str">
        <f t="shared" si="818"/>
        <v>YAMAHA_Mounter</v>
      </c>
      <c r="AS2691" s="22">
        <f t="shared" si="819"/>
        <v>7</v>
      </c>
      <c r="AT2691" s="24" t="str">
        <f t="shared" si="820"/>
        <v>&gt; 6 months</v>
      </c>
    </row>
    <row r="2692" spans="1:46" s="12" customFormat="1">
      <c r="A2692" s="33" t="str">
        <f t="shared" si="808"/>
        <v>FY 20/21</v>
      </c>
      <c r="B2692" s="152">
        <v>2021</v>
      </c>
      <c r="C2692" s="152">
        <v>2</v>
      </c>
      <c r="D2692" s="33" t="str">
        <f t="shared" si="809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810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811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22"/>
        <v>1.13</v>
      </c>
      <c r="Z2692" s="18">
        <f t="shared" si="806"/>
        <v>832700</v>
      </c>
      <c r="AA2692" s="13">
        <v>1.2</v>
      </c>
      <c r="AB2692" s="21">
        <f t="shared" si="812"/>
        <v>884283.18584070809</v>
      </c>
      <c r="AC2692" s="130">
        <f t="shared" si="813"/>
        <v>126187.21061946904</v>
      </c>
      <c r="AD2692" s="169">
        <v>0.14269999999999999</v>
      </c>
      <c r="AE2692" s="154">
        <f t="shared" si="814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23"/>
        <v>10844605.840707963</v>
      </c>
      <c r="AJ2692" s="19">
        <f t="shared" si="824"/>
        <v>1523130.9860707966</v>
      </c>
      <c r="AK2692" s="20">
        <f t="shared" si="815"/>
        <v>0.14045056209911663</v>
      </c>
      <c r="AL2692" s="17"/>
      <c r="AM2692" s="17"/>
      <c r="AN2692" s="17"/>
      <c r="AO2692" s="17"/>
      <c r="AP2692" s="28" t="str">
        <f t="shared" si="816"/>
        <v>20219</v>
      </c>
      <c r="AQ2692" s="28" t="str">
        <f t="shared" si="817"/>
        <v>20219RMB</v>
      </c>
      <c r="AR2692" s="206" t="str">
        <f t="shared" si="818"/>
        <v>YAMAHA_Mounter</v>
      </c>
      <c r="AS2692" s="22">
        <f t="shared" si="819"/>
        <v>7</v>
      </c>
      <c r="AT2692" s="24" t="str">
        <f t="shared" si="820"/>
        <v>&gt; 6 months</v>
      </c>
    </row>
    <row r="2693" spans="1:46" s="12" customFormat="1">
      <c r="A2693" s="33" t="str">
        <f t="shared" si="808"/>
        <v>FY 20/21</v>
      </c>
      <c r="B2693" s="152">
        <v>2020</v>
      </c>
      <c r="C2693" s="152">
        <v>12</v>
      </c>
      <c r="D2693" s="33" t="str">
        <f t="shared" si="809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810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811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22"/>
        <v>1</v>
      </c>
      <c r="Z2693" s="18">
        <f t="shared" si="806"/>
        <v>19000000</v>
      </c>
      <c r="AA2693" s="13">
        <v>7.5700000000000003E-2</v>
      </c>
      <c r="AB2693" s="21">
        <f t="shared" si="812"/>
        <v>1438300</v>
      </c>
      <c r="AC2693" s="130">
        <f t="shared" si="813"/>
        <v>250839.52</v>
      </c>
      <c r="AD2693" s="169">
        <v>0.1744</v>
      </c>
      <c r="AE2693" s="154">
        <f t="shared" si="814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23"/>
        <v>31097187.02948761</v>
      </c>
      <c r="AJ2693" s="19">
        <f t="shared" si="824"/>
        <v>3892353.6644401965</v>
      </c>
      <c r="AK2693" s="20">
        <f t="shared" si="815"/>
        <v>0.12516738767237401</v>
      </c>
      <c r="AL2693" s="17"/>
      <c r="AM2693" s="17"/>
      <c r="AN2693" s="17"/>
      <c r="AO2693" s="17"/>
      <c r="AP2693" s="28" t="str">
        <f t="shared" si="816"/>
        <v>20212</v>
      </c>
      <c r="AQ2693" s="28" t="str">
        <f t="shared" si="817"/>
        <v>20212JPY</v>
      </c>
      <c r="AR2693" s="206" t="str">
        <f t="shared" si="818"/>
        <v>YAMAHA_Mounter</v>
      </c>
      <c r="AS2693" s="22">
        <f t="shared" si="819"/>
        <v>2</v>
      </c>
      <c r="AT2693" s="24" t="str">
        <f t="shared" si="820"/>
        <v>0-3 months</v>
      </c>
    </row>
    <row r="2694" spans="1:46" s="12" customFormat="1">
      <c r="A2694" s="33" t="str">
        <f t="shared" si="808"/>
        <v>FY 20/21</v>
      </c>
      <c r="B2694" s="152">
        <v>2020</v>
      </c>
      <c r="C2694" s="152">
        <v>12</v>
      </c>
      <c r="D2694" s="33" t="str">
        <f t="shared" si="809"/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si="810"/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811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22"/>
        <v>1</v>
      </c>
      <c r="Z2694" s="18">
        <f t="shared" si="806"/>
        <v>19000000</v>
      </c>
      <c r="AA2694" s="13">
        <v>7.5700000000000003E-2</v>
      </c>
      <c r="AB2694" s="21">
        <f t="shared" si="812"/>
        <v>1438300</v>
      </c>
      <c r="AC2694" s="130">
        <f t="shared" si="813"/>
        <v>250839.52</v>
      </c>
      <c r="AD2694" s="169">
        <v>0.1744</v>
      </c>
      <c r="AE2694" s="154">
        <f t="shared" si="814"/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23"/>
        <v>31097187.02948761</v>
      </c>
      <c r="AJ2694" s="19">
        <f t="shared" si="824"/>
        <v>3892353.6644401965</v>
      </c>
      <c r="AK2694" s="20">
        <f t="shared" si="815"/>
        <v>0.12516738767237401</v>
      </c>
      <c r="AL2694" s="17"/>
      <c r="AM2694" s="17"/>
      <c r="AN2694" s="17"/>
      <c r="AO2694" s="17"/>
      <c r="AP2694" s="28" t="str">
        <f t="shared" si="816"/>
        <v>20212</v>
      </c>
      <c r="AQ2694" s="28" t="str">
        <f t="shared" si="817"/>
        <v>20212JPY</v>
      </c>
      <c r="AR2694" s="206" t="str">
        <f t="shared" si="818"/>
        <v>YAMAHA_Mounter</v>
      </c>
      <c r="AS2694" s="22">
        <f t="shared" si="819"/>
        <v>2</v>
      </c>
      <c r="AT2694" s="24" t="str">
        <f t="shared" si="820"/>
        <v>0-3 months</v>
      </c>
    </row>
    <row r="2695" spans="1:46" s="12" customFormat="1">
      <c r="A2695" s="33" t="str">
        <f t="shared" si="808"/>
        <v>FY 20/21</v>
      </c>
      <c r="B2695" s="152">
        <v>2020</v>
      </c>
      <c r="C2695" s="152">
        <v>12</v>
      </c>
      <c r="D2695" s="33" t="str">
        <f t="shared" si="809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10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811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22"/>
        <v>1</v>
      </c>
      <c r="Z2695" s="18">
        <f t="shared" si="806"/>
        <v>11000000</v>
      </c>
      <c r="AA2695" s="13">
        <v>7.5700000000000003E-2</v>
      </c>
      <c r="AB2695" s="21">
        <f t="shared" si="812"/>
        <v>832700</v>
      </c>
      <c r="AC2695" s="130">
        <f t="shared" si="813"/>
        <v>145222.88</v>
      </c>
      <c r="AD2695" s="169">
        <v>0.1744</v>
      </c>
      <c r="AE2695" s="154">
        <f t="shared" si="814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23"/>
        <v>31097187.02948761</v>
      </c>
      <c r="AJ2695" s="19">
        <f t="shared" si="824"/>
        <v>3892353.6644401965</v>
      </c>
      <c r="AK2695" s="20">
        <f t="shared" si="815"/>
        <v>0.12516738767237401</v>
      </c>
      <c r="AL2695" s="17"/>
      <c r="AM2695" s="17"/>
      <c r="AN2695" s="17"/>
      <c r="AO2695" s="17"/>
      <c r="AP2695" s="28" t="str">
        <f t="shared" si="816"/>
        <v>20212</v>
      </c>
      <c r="AQ2695" s="28" t="str">
        <f t="shared" si="817"/>
        <v>20212JPY</v>
      </c>
      <c r="AR2695" s="206" t="str">
        <f t="shared" si="818"/>
        <v>YAMAHA_Mounter</v>
      </c>
      <c r="AS2695" s="22">
        <f t="shared" si="819"/>
        <v>2</v>
      </c>
      <c r="AT2695" s="24" t="str">
        <f t="shared" si="820"/>
        <v>0-3 months</v>
      </c>
    </row>
    <row r="2696" spans="1:46" s="12" customFormat="1">
      <c r="A2696" s="33" t="str">
        <f t="shared" si="808"/>
        <v>FY 20/21</v>
      </c>
      <c r="B2696" s="152">
        <v>2020</v>
      </c>
      <c r="C2696" s="152">
        <v>12</v>
      </c>
      <c r="D2696" s="33" t="str">
        <f t="shared" si="809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10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811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22"/>
        <v>1</v>
      </c>
      <c r="Z2696" s="18">
        <f t="shared" si="806"/>
        <v>11000000</v>
      </c>
      <c r="AA2696" s="13">
        <v>7.4499999999999997E-2</v>
      </c>
      <c r="AB2696" s="21">
        <f t="shared" si="812"/>
        <v>819500</v>
      </c>
      <c r="AC2696" s="130">
        <f t="shared" si="813"/>
        <v>142920.79999999999</v>
      </c>
      <c r="AD2696" s="169">
        <v>0.1744</v>
      </c>
      <c r="AE2696" s="154">
        <f t="shared" si="814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23"/>
        <v>57778307.282035396</v>
      </c>
      <c r="AJ2696" s="19">
        <f t="shared" si="824"/>
        <v>7259860.7225420559</v>
      </c>
      <c r="AK2696" s="20">
        <f t="shared" si="815"/>
        <v>0.12565028406083667</v>
      </c>
      <c r="AL2696" s="17"/>
      <c r="AM2696" s="17"/>
      <c r="AN2696" s="17"/>
      <c r="AO2696" s="17"/>
      <c r="AP2696" s="28" t="str">
        <f t="shared" si="816"/>
        <v>20213</v>
      </c>
      <c r="AQ2696" s="28" t="str">
        <f t="shared" si="817"/>
        <v>20213JPY</v>
      </c>
      <c r="AR2696" s="206" t="str">
        <f t="shared" si="818"/>
        <v>YAMAHA_Mounter</v>
      </c>
      <c r="AS2696" s="22">
        <f t="shared" si="819"/>
        <v>3</v>
      </c>
      <c r="AT2696" s="24" t="str">
        <f t="shared" si="820"/>
        <v>0-3 months</v>
      </c>
    </row>
    <row r="2697" spans="1:46" s="12" customFormat="1">
      <c r="A2697" s="33" t="str">
        <f t="shared" si="808"/>
        <v>FY 17/18</v>
      </c>
      <c r="B2697" s="152">
        <v>2018</v>
      </c>
      <c r="C2697" s="152">
        <v>3</v>
      </c>
      <c r="D2697" s="33" t="str">
        <f t="shared" si="809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10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811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806"/>
        <v>65400</v>
      </c>
      <c r="AA2697" s="13">
        <v>1.23</v>
      </c>
      <c r="AB2697" s="21">
        <f t="shared" si="812"/>
        <v>69346.551724137928</v>
      </c>
      <c r="AC2697" s="130">
        <f t="shared" si="813"/>
        <v>11206.402758620688</v>
      </c>
      <c r="AD2697" s="169">
        <v>0.16159999999999999</v>
      </c>
      <c r="AE2697" s="154">
        <f t="shared" si="814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23"/>
        <v>24398045.86045352</v>
      </c>
      <c r="AJ2697" s="19">
        <f t="shared" si="824"/>
        <v>3478417.4064663448</v>
      </c>
      <c r="AK2697" s="20">
        <f t="shared" si="815"/>
        <v>0.14256950849102498</v>
      </c>
      <c r="AL2697" s="17"/>
      <c r="AM2697" s="17"/>
      <c r="AN2697" s="17"/>
      <c r="AO2697" s="17"/>
      <c r="AP2697" s="28" t="str">
        <f t="shared" si="816"/>
        <v>20186</v>
      </c>
      <c r="AQ2697" s="28" t="str">
        <f t="shared" si="817"/>
        <v>20186RMB</v>
      </c>
      <c r="AR2697" s="206" t="str">
        <f t="shared" si="818"/>
        <v>NUTEK</v>
      </c>
      <c r="AS2697" s="22">
        <f t="shared" si="819"/>
        <v>3</v>
      </c>
      <c r="AT2697" s="24" t="str">
        <f t="shared" si="820"/>
        <v>0-3 months</v>
      </c>
    </row>
    <row r="2698" spans="1:46" s="12" customFormat="1">
      <c r="A2698" s="33" t="str">
        <f t="shared" si="808"/>
        <v>FY 17/18</v>
      </c>
      <c r="B2698" s="152">
        <v>2018</v>
      </c>
      <c r="C2698" s="152">
        <v>3</v>
      </c>
      <c r="D2698" s="33" t="str">
        <f t="shared" si="809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10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811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si="806"/>
        <v>54700</v>
      </c>
      <c r="AA2698" s="13">
        <v>1.23</v>
      </c>
      <c r="AB2698" s="21">
        <f t="shared" si="812"/>
        <v>58000.862068965522</v>
      </c>
      <c r="AC2698" s="130">
        <f t="shared" si="813"/>
        <v>9372.9393103448274</v>
      </c>
      <c r="AD2698" s="172">
        <v>0.16159999999999999</v>
      </c>
      <c r="AE2698" s="154">
        <f t="shared" si="814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23"/>
        <v>24398045.86045352</v>
      </c>
      <c r="AJ2698" s="19">
        <f t="shared" si="824"/>
        <v>3478417.4064663448</v>
      </c>
      <c r="AK2698" s="20">
        <f t="shared" si="815"/>
        <v>0.14256950849102498</v>
      </c>
      <c r="AL2698" s="17"/>
      <c r="AM2698" s="17"/>
      <c r="AN2698" s="17"/>
      <c r="AO2698" s="17"/>
      <c r="AP2698" s="28" t="str">
        <f t="shared" si="816"/>
        <v>20186</v>
      </c>
      <c r="AQ2698" s="28" t="str">
        <f t="shared" si="817"/>
        <v>20186RMB</v>
      </c>
      <c r="AR2698" s="206" t="str">
        <f t="shared" si="818"/>
        <v>NUTEK</v>
      </c>
      <c r="AS2698" s="22">
        <f t="shared" si="819"/>
        <v>3</v>
      </c>
      <c r="AT2698" s="24" t="str">
        <f t="shared" si="820"/>
        <v>0-3 months</v>
      </c>
    </row>
    <row r="2699" spans="1:46" s="12" customFormat="1">
      <c r="A2699" s="33" t="str">
        <f t="shared" si="808"/>
        <v>FY 17/18</v>
      </c>
      <c r="B2699" s="152">
        <v>2018</v>
      </c>
      <c r="C2699" s="152">
        <v>3</v>
      </c>
      <c r="D2699" s="33" t="str">
        <f t="shared" si="809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10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811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06"/>
        <v>45300</v>
      </c>
      <c r="AA2699" s="13">
        <v>1.23</v>
      </c>
      <c r="AB2699" s="21">
        <f t="shared" si="812"/>
        <v>48033.620689655174</v>
      </c>
      <c r="AC2699" s="130">
        <f t="shared" si="813"/>
        <v>7762.2331034482759</v>
      </c>
      <c r="AD2699" s="169">
        <v>0.16159999999999999</v>
      </c>
      <c r="AE2699" s="154">
        <f t="shared" si="814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23"/>
        <v>24398045.86045352</v>
      </c>
      <c r="AJ2699" s="19">
        <f t="shared" si="824"/>
        <v>3478417.4064663448</v>
      </c>
      <c r="AK2699" s="20">
        <f t="shared" si="815"/>
        <v>0.14256950849102498</v>
      </c>
      <c r="AL2699" s="17"/>
      <c r="AM2699" s="17"/>
      <c r="AN2699" s="17"/>
      <c r="AO2699" s="17"/>
      <c r="AP2699" s="28" t="str">
        <f t="shared" si="816"/>
        <v>20186</v>
      </c>
      <c r="AQ2699" s="28" t="str">
        <f t="shared" si="817"/>
        <v>20186RMB</v>
      </c>
      <c r="AR2699" s="206" t="str">
        <f t="shared" si="818"/>
        <v>NUTEK</v>
      </c>
      <c r="AS2699" s="22">
        <f t="shared" si="819"/>
        <v>3</v>
      </c>
      <c r="AT2699" s="24" t="str">
        <f t="shared" si="820"/>
        <v>0-3 months</v>
      </c>
    </row>
    <row r="2700" spans="1:46" s="12" customFormat="1">
      <c r="A2700" s="33" t="str">
        <f t="shared" si="808"/>
        <v>FY 19/20</v>
      </c>
      <c r="B2700" s="152">
        <v>2019</v>
      </c>
      <c r="C2700" s="152">
        <v>9</v>
      </c>
      <c r="D2700" s="33" t="str">
        <f t="shared" si="809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10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811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06"/>
        <v>840000</v>
      </c>
      <c r="AA2700" s="13">
        <v>1.1100000000000001</v>
      </c>
      <c r="AB2700" s="21">
        <f t="shared" si="812"/>
        <v>825132.743362832</v>
      </c>
      <c r="AC2700" s="130">
        <f t="shared" si="813"/>
        <v>63122.65486725665</v>
      </c>
      <c r="AD2700" s="169">
        <v>7.6499999999999999E-2</v>
      </c>
      <c r="AE2700" s="154">
        <f t="shared" si="814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23"/>
        <v>26147030.909862842</v>
      </c>
      <c r="AJ2700" s="19">
        <f t="shared" si="824"/>
        <v>2743862.8630715334</v>
      </c>
      <c r="AK2700" s="20">
        <f t="shared" si="815"/>
        <v>0.10493974908778378</v>
      </c>
      <c r="AL2700" s="17"/>
      <c r="AM2700" s="17"/>
      <c r="AN2700" s="17"/>
      <c r="AO2700" s="17"/>
      <c r="AP2700" s="28" t="str">
        <f t="shared" si="816"/>
        <v>201911</v>
      </c>
      <c r="AQ2700" s="28" t="str">
        <f t="shared" si="817"/>
        <v>201911RMB</v>
      </c>
      <c r="AR2700" s="206" t="str">
        <f t="shared" si="818"/>
        <v>YAMAHA_Mounter</v>
      </c>
      <c r="AS2700" s="22">
        <f t="shared" si="819"/>
        <v>2</v>
      </c>
      <c r="AT2700" s="24" t="str">
        <f t="shared" si="820"/>
        <v>0-3 months</v>
      </c>
    </row>
    <row r="2701" spans="1:46" s="12" customFormat="1">
      <c r="A2701" s="33" t="str">
        <f t="shared" si="808"/>
        <v>FY 19/20</v>
      </c>
      <c r="B2701" s="152">
        <v>2019</v>
      </c>
      <c r="C2701" s="152">
        <v>9</v>
      </c>
      <c r="D2701" s="33" t="str">
        <f t="shared" si="809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10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811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06"/>
        <v>840000</v>
      </c>
      <c r="AA2701" s="13">
        <v>1.1100000000000001</v>
      </c>
      <c r="AB2701" s="21">
        <f t="shared" si="812"/>
        <v>825132.743362832</v>
      </c>
      <c r="AC2701" s="130">
        <f t="shared" si="813"/>
        <v>63122.65486725665</v>
      </c>
      <c r="AD2701" s="169">
        <v>7.6499999999999999E-2</v>
      </c>
      <c r="AE2701" s="154">
        <f t="shared" si="814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23"/>
        <v>26147030.909862842</v>
      </c>
      <c r="AJ2701" s="19">
        <f t="shared" si="824"/>
        <v>2743862.8630715334</v>
      </c>
      <c r="AK2701" s="20">
        <f t="shared" si="815"/>
        <v>0.10493974908778378</v>
      </c>
      <c r="AL2701" s="17"/>
      <c r="AM2701" s="17"/>
      <c r="AN2701" s="17"/>
      <c r="AO2701" s="17"/>
      <c r="AP2701" s="28" t="str">
        <f t="shared" si="816"/>
        <v>201911</v>
      </c>
      <c r="AQ2701" s="28" t="str">
        <f t="shared" si="817"/>
        <v>201911RMB</v>
      </c>
      <c r="AR2701" s="206" t="str">
        <f t="shared" si="818"/>
        <v>YAMAHA_Mounter</v>
      </c>
      <c r="AS2701" s="22">
        <f t="shared" si="819"/>
        <v>2</v>
      </c>
      <c r="AT2701" s="24" t="str">
        <f t="shared" si="820"/>
        <v>0-3 months</v>
      </c>
    </row>
    <row r="2702" spans="1:46" s="12" customFormat="1">
      <c r="A2702" s="33" t="str">
        <f t="shared" si="808"/>
        <v>FY 19/20</v>
      </c>
      <c r="B2702" s="152">
        <v>2019</v>
      </c>
      <c r="C2702" s="152">
        <v>9</v>
      </c>
      <c r="D2702" s="33" t="str">
        <f t="shared" si="809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10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811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06"/>
        <v>840000</v>
      </c>
      <c r="AA2702" s="13">
        <v>1.1100000000000001</v>
      </c>
      <c r="AB2702" s="21">
        <f t="shared" si="812"/>
        <v>825132.743362832</v>
      </c>
      <c r="AC2702" s="130">
        <f t="shared" si="813"/>
        <v>63122.65486725665</v>
      </c>
      <c r="AD2702" s="169">
        <v>7.6499999999999999E-2</v>
      </c>
      <c r="AE2702" s="154">
        <f t="shared" si="814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23"/>
        <v>26147030.909862842</v>
      </c>
      <c r="AJ2702" s="19">
        <f t="shared" si="824"/>
        <v>2743862.8630715334</v>
      </c>
      <c r="AK2702" s="20">
        <f t="shared" si="815"/>
        <v>0.10493974908778378</v>
      </c>
      <c r="AL2702" s="17"/>
      <c r="AM2702" s="17"/>
      <c r="AN2702" s="17"/>
      <c r="AO2702" s="17"/>
      <c r="AP2702" s="28" t="str">
        <f t="shared" si="816"/>
        <v>201911</v>
      </c>
      <c r="AQ2702" s="28" t="str">
        <f t="shared" si="817"/>
        <v>201911RMB</v>
      </c>
      <c r="AR2702" s="206" t="str">
        <f t="shared" si="818"/>
        <v>YAMAHA_Mounter</v>
      </c>
      <c r="AS2702" s="22">
        <f t="shared" si="819"/>
        <v>2</v>
      </c>
      <c r="AT2702" s="24" t="str">
        <f t="shared" si="820"/>
        <v>0-3 months</v>
      </c>
    </row>
    <row r="2703" spans="1:46" s="12" customFormat="1">
      <c r="A2703" s="33" t="str">
        <f t="shared" si="808"/>
        <v>FY 19/20</v>
      </c>
      <c r="B2703" s="152">
        <v>2019</v>
      </c>
      <c r="C2703" s="152">
        <v>9</v>
      </c>
      <c r="D2703" s="33" t="str">
        <f t="shared" si="809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10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811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06"/>
        <v>840000</v>
      </c>
      <c r="AA2703" s="13">
        <v>1.1100000000000001</v>
      </c>
      <c r="AB2703" s="21">
        <f t="shared" si="812"/>
        <v>825132.743362832</v>
      </c>
      <c r="AC2703" s="130">
        <f t="shared" si="813"/>
        <v>63122.65486725665</v>
      </c>
      <c r="AD2703" s="169">
        <v>7.6499999999999999E-2</v>
      </c>
      <c r="AE2703" s="154">
        <f t="shared" si="814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23"/>
        <v>26147030.909862842</v>
      </c>
      <c r="AJ2703" s="19">
        <f t="shared" si="824"/>
        <v>2743862.8630715334</v>
      </c>
      <c r="AK2703" s="20">
        <f t="shared" si="815"/>
        <v>0.10493974908778378</v>
      </c>
      <c r="AL2703" s="17"/>
      <c r="AM2703" s="17"/>
      <c r="AN2703" s="17"/>
      <c r="AO2703" s="17"/>
      <c r="AP2703" s="28" t="str">
        <f t="shared" si="816"/>
        <v>201911</v>
      </c>
      <c r="AQ2703" s="28" t="str">
        <f t="shared" si="817"/>
        <v>201911RMB</v>
      </c>
      <c r="AR2703" s="206" t="str">
        <f t="shared" si="818"/>
        <v>YAMAHA_Mounter</v>
      </c>
      <c r="AS2703" s="22">
        <f t="shared" si="819"/>
        <v>2</v>
      </c>
      <c r="AT2703" s="24" t="str">
        <f t="shared" si="820"/>
        <v>0-3 months</v>
      </c>
    </row>
    <row r="2704" spans="1:46" s="12" customFormat="1">
      <c r="A2704" s="33" t="str">
        <f t="shared" si="808"/>
        <v>FY 19/20</v>
      </c>
      <c r="B2704" s="152">
        <v>2019</v>
      </c>
      <c r="C2704" s="152">
        <v>9</v>
      </c>
      <c r="D2704" s="33" t="str">
        <f t="shared" si="809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10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811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06"/>
        <v>624100</v>
      </c>
      <c r="AA2704" s="13">
        <v>1.1100000000000001</v>
      </c>
      <c r="AB2704" s="21">
        <f t="shared" si="812"/>
        <v>613053.98230088514</v>
      </c>
      <c r="AC2704" s="130">
        <f t="shared" si="813"/>
        <v>46898.629646017711</v>
      </c>
      <c r="AD2704" s="169">
        <v>7.6499999999999999E-2</v>
      </c>
      <c r="AE2704" s="154">
        <f t="shared" si="814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23"/>
        <v>26147030.909862842</v>
      </c>
      <c r="AJ2704" s="19">
        <f t="shared" si="824"/>
        <v>2743862.8630715334</v>
      </c>
      <c r="AK2704" s="20">
        <f t="shared" si="815"/>
        <v>0.10493974908778378</v>
      </c>
      <c r="AL2704" s="17"/>
      <c r="AM2704" s="17"/>
      <c r="AN2704" s="17"/>
      <c r="AO2704" s="17"/>
      <c r="AP2704" s="28" t="str">
        <f t="shared" si="816"/>
        <v>201911</v>
      </c>
      <c r="AQ2704" s="28" t="str">
        <f t="shared" si="817"/>
        <v>201911RMB</v>
      </c>
      <c r="AR2704" s="206" t="str">
        <f t="shared" si="818"/>
        <v>YAMAHA_Mounter</v>
      </c>
      <c r="AS2704" s="22">
        <f t="shared" si="819"/>
        <v>2</v>
      </c>
      <c r="AT2704" s="24" t="str">
        <f t="shared" si="820"/>
        <v>0-3 months</v>
      </c>
    </row>
    <row r="2705" spans="1:46" s="12" customFormat="1">
      <c r="A2705" s="33" t="str">
        <f t="shared" si="808"/>
        <v>FY 19/20</v>
      </c>
      <c r="B2705" s="152">
        <v>2019</v>
      </c>
      <c r="C2705" s="152">
        <v>9</v>
      </c>
      <c r="D2705" s="33" t="str">
        <f t="shared" si="809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10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811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06"/>
        <v>624100</v>
      </c>
      <c r="AA2705" s="13">
        <v>1.1100000000000001</v>
      </c>
      <c r="AB2705" s="21">
        <f t="shared" si="812"/>
        <v>613053.98230088514</v>
      </c>
      <c r="AC2705" s="130">
        <f t="shared" si="813"/>
        <v>46898.629646017711</v>
      </c>
      <c r="AD2705" s="169">
        <v>7.6499999999999999E-2</v>
      </c>
      <c r="AE2705" s="154">
        <f t="shared" si="814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23"/>
        <v>26147030.909862842</v>
      </c>
      <c r="AJ2705" s="19">
        <f t="shared" si="824"/>
        <v>2743862.8630715334</v>
      </c>
      <c r="AK2705" s="20">
        <f t="shared" si="815"/>
        <v>0.10493974908778378</v>
      </c>
      <c r="AL2705" s="17"/>
      <c r="AM2705" s="17"/>
      <c r="AN2705" s="17"/>
      <c r="AO2705" s="17"/>
      <c r="AP2705" s="28" t="str">
        <f t="shared" si="816"/>
        <v>201911</v>
      </c>
      <c r="AQ2705" s="28" t="str">
        <f t="shared" si="817"/>
        <v>201911RMB</v>
      </c>
      <c r="AR2705" s="206" t="str">
        <f t="shared" si="818"/>
        <v>YAMAHA_Mounter</v>
      </c>
      <c r="AS2705" s="22">
        <f t="shared" si="819"/>
        <v>2</v>
      </c>
      <c r="AT2705" s="24" t="str">
        <f t="shared" si="820"/>
        <v>0-3 months</v>
      </c>
    </row>
    <row r="2706" spans="1:46" s="12" customFormat="1">
      <c r="A2706" s="33" t="str">
        <f t="shared" si="808"/>
        <v>FY 19/20</v>
      </c>
      <c r="B2706" s="152">
        <v>2019</v>
      </c>
      <c r="C2706" s="152">
        <v>9</v>
      </c>
      <c r="D2706" s="33" t="str">
        <f t="shared" si="809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10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811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06"/>
        <v>840000</v>
      </c>
      <c r="AA2706" s="13">
        <v>1.095</v>
      </c>
      <c r="AB2706" s="21">
        <f t="shared" si="812"/>
        <v>813982.3008849558</v>
      </c>
      <c r="AC2706" s="130">
        <f t="shared" si="813"/>
        <v>73014.21238938054</v>
      </c>
      <c r="AD2706" s="169">
        <v>8.9700000000000002E-2</v>
      </c>
      <c r="AE2706" s="154">
        <f t="shared" si="814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23"/>
        <v>37599388.802345134</v>
      </c>
      <c r="AJ2706" s="19">
        <f t="shared" si="824"/>
        <v>4866784.3630338367</v>
      </c>
      <c r="AK2706" s="20">
        <f t="shared" si="815"/>
        <v>0.12943785838163113</v>
      </c>
      <c r="AL2706" s="17"/>
      <c r="AM2706" s="17"/>
      <c r="AN2706" s="17"/>
      <c r="AO2706" s="17"/>
      <c r="AP2706" s="28" t="str">
        <f t="shared" si="816"/>
        <v>20199</v>
      </c>
      <c r="AQ2706" s="28" t="str">
        <f t="shared" si="817"/>
        <v>20199RMB</v>
      </c>
      <c r="AR2706" s="206" t="str">
        <f t="shared" si="818"/>
        <v>YAMAHA_Mounter</v>
      </c>
      <c r="AS2706" s="22">
        <f t="shared" si="819"/>
        <v>0</v>
      </c>
      <c r="AT2706" s="24" t="str">
        <f t="shared" si="820"/>
        <v>0-3 months</v>
      </c>
    </row>
    <row r="2707" spans="1:46" s="12" customFormat="1">
      <c r="A2707" s="33" t="str">
        <f t="shared" si="808"/>
        <v>FY 19/20</v>
      </c>
      <c r="B2707" s="152">
        <v>2019</v>
      </c>
      <c r="C2707" s="152">
        <v>9</v>
      </c>
      <c r="D2707" s="33" t="str">
        <f t="shared" si="809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10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811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06"/>
        <v>840000</v>
      </c>
      <c r="AA2707" s="13">
        <v>1.095</v>
      </c>
      <c r="AB2707" s="21">
        <f t="shared" si="812"/>
        <v>813982.3008849558</v>
      </c>
      <c r="AC2707" s="130">
        <f t="shared" si="813"/>
        <v>73014.21238938054</v>
      </c>
      <c r="AD2707" s="169">
        <v>8.9700000000000002E-2</v>
      </c>
      <c r="AE2707" s="154">
        <f t="shared" si="814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23"/>
        <v>37599388.802345134</v>
      </c>
      <c r="AJ2707" s="19">
        <f t="shared" si="824"/>
        <v>4866784.3630338367</v>
      </c>
      <c r="AK2707" s="20">
        <f t="shared" si="815"/>
        <v>0.12943785838163113</v>
      </c>
      <c r="AL2707" s="17"/>
      <c r="AM2707" s="17"/>
      <c r="AN2707" s="17"/>
      <c r="AO2707" s="17"/>
      <c r="AP2707" s="28" t="str">
        <f t="shared" si="816"/>
        <v>20199</v>
      </c>
      <c r="AQ2707" s="28" t="str">
        <f t="shared" si="817"/>
        <v>20199RMB</v>
      </c>
      <c r="AR2707" s="206" t="str">
        <f t="shared" si="818"/>
        <v>YAMAHA_Mounter</v>
      </c>
      <c r="AS2707" s="22">
        <f t="shared" si="819"/>
        <v>0</v>
      </c>
      <c r="AT2707" s="24" t="str">
        <f t="shared" si="820"/>
        <v>0-3 months</v>
      </c>
    </row>
    <row r="2708" spans="1:46" s="12" customFormat="1">
      <c r="A2708" s="33" t="str">
        <f t="shared" si="808"/>
        <v>FY 19/20</v>
      </c>
      <c r="B2708" s="152">
        <v>2019</v>
      </c>
      <c r="C2708" s="152">
        <v>9</v>
      </c>
      <c r="D2708" s="33" t="str">
        <f t="shared" si="809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10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811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06"/>
        <v>840000</v>
      </c>
      <c r="AA2708" s="13">
        <v>1.095</v>
      </c>
      <c r="AB2708" s="21">
        <f t="shared" si="812"/>
        <v>813982.3008849558</v>
      </c>
      <c r="AC2708" s="130">
        <f t="shared" si="813"/>
        <v>73014.21238938054</v>
      </c>
      <c r="AD2708" s="169">
        <v>8.9700000000000002E-2</v>
      </c>
      <c r="AE2708" s="154">
        <f t="shared" si="814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23"/>
        <v>37599388.802345134</v>
      </c>
      <c r="AJ2708" s="19">
        <f t="shared" si="824"/>
        <v>4866784.3630338367</v>
      </c>
      <c r="AK2708" s="20">
        <f t="shared" si="815"/>
        <v>0.12943785838163113</v>
      </c>
      <c r="AL2708" s="17"/>
      <c r="AM2708" s="17"/>
      <c r="AN2708" s="17"/>
      <c r="AO2708" s="17"/>
      <c r="AP2708" s="28" t="str">
        <f t="shared" si="816"/>
        <v>20199</v>
      </c>
      <c r="AQ2708" s="28" t="str">
        <f t="shared" si="817"/>
        <v>20199RMB</v>
      </c>
      <c r="AR2708" s="206" t="str">
        <f t="shared" si="818"/>
        <v>YAMAHA_Mounter</v>
      </c>
      <c r="AS2708" s="22">
        <f t="shared" si="819"/>
        <v>0</v>
      </c>
      <c r="AT2708" s="24" t="str">
        <f t="shared" si="820"/>
        <v>0-3 months</v>
      </c>
    </row>
    <row r="2709" spans="1:46" s="12" customFormat="1">
      <c r="A2709" s="33" t="str">
        <f t="shared" si="808"/>
        <v>FY 19/20</v>
      </c>
      <c r="B2709" s="152">
        <v>2019</v>
      </c>
      <c r="C2709" s="152">
        <v>9</v>
      </c>
      <c r="D2709" s="33" t="str">
        <f t="shared" si="809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10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811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06"/>
        <v>840000</v>
      </c>
      <c r="AA2709" s="13">
        <v>1.095</v>
      </c>
      <c r="AB2709" s="21">
        <f t="shared" si="812"/>
        <v>813982.3008849558</v>
      </c>
      <c r="AC2709" s="130">
        <f t="shared" si="813"/>
        <v>73014.21238938054</v>
      </c>
      <c r="AD2709" s="169">
        <v>8.9700000000000002E-2</v>
      </c>
      <c r="AE2709" s="154">
        <f t="shared" si="814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23"/>
        <v>37599388.802345134</v>
      </c>
      <c r="AJ2709" s="19">
        <f t="shared" si="824"/>
        <v>4866784.3630338367</v>
      </c>
      <c r="AK2709" s="20">
        <f t="shared" si="815"/>
        <v>0.12943785838163113</v>
      </c>
      <c r="AL2709" s="17"/>
      <c r="AM2709" s="17"/>
      <c r="AN2709" s="17"/>
      <c r="AO2709" s="17"/>
      <c r="AP2709" s="28" t="str">
        <f t="shared" si="816"/>
        <v>20199</v>
      </c>
      <c r="AQ2709" s="28" t="str">
        <f t="shared" si="817"/>
        <v>20199RMB</v>
      </c>
      <c r="AR2709" s="206" t="str">
        <f t="shared" si="818"/>
        <v>YAMAHA_Mounter</v>
      </c>
      <c r="AS2709" s="22">
        <f t="shared" si="819"/>
        <v>0</v>
      </c>
      <c r="AT2709" s="24" t="str">
        <f t="shared" si="820"/>
        <v>0-3 months</v>
      </c>
    </row>
    <row r="2710" spans="1:46" s="12" customFormat="1">
      <c r="A2710" s="33" t="str">
        <f t="shared" si="808"/>
        <v>FY 19/20</v>
      </c>
      <c r="B2710" s="152">
        <v>2019</v>
      </c>
      <c r="C2710" s="152">
        <v>9</v>
      </c>
      <c r="D2710" s="33" t="str">
        <f t="shared" si="809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10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si="811"/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ref="Z2710:Z2773" si="825">IF(X2710="","",X2710*MAX(O2710,N2710))</f>
        <v>624100</v>
      </c>
      <c r="AA2710" s="13">
        <v>1.095</v>
      </c>
      <c r="AB2710" s="21">
        <f t="shared" si="812"/>
        <v>604769.46902654879</v>
      </c>
      <c r="AC2710" s="130">
        <f t="shared" si="813"/>
        <v>54247.821371681428</v>
      </c>
      <c r="AD2710" s="169">
        <v>8.9700000000000002E-2</v>
      </c>
      <c r="AE2710" s="154">
        <f t="shared" si="814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23"/>
        <v>37599388.802345134</v>
      </c>
      <c r="AJ2710" s="19">
        <f t="shared" si="824"/>
        <v>4866784.3630338367</v>
      </c>
      <c r="AK2710" s="20">
        <f t="shared" si="815"/>
        <v>0.12943785838163113</v>
      </c>
      <c r="AL2710" s="17"/>
      <c r="AM2710" s="17"/>
      <c r="AN2710" s="17"/>
      <c r="AO2710" s="17"/>
      <c r="AP2710" s="28" t="str">
        <f t="shared" si="816"/>
        <v>20199</v>
      </c>
      <c r="AQ2710" s="28" t="str">
        <f t="shared" si="817"/>
        <v>20199RMB</v>
      </c>
      <c r="AR2710" s="206" t="str">
        <f t="shared" si="818"/>
        <v>YAMAHA_Mounter</v>
      </c>
      <c r="AS2710" s="22">
        <f t="shared" si="819"/>
        <v>0</v>
      </c>
      <c r="AT2710" s="24" t="str">
        <f t="shared" si="820"/>
        <v>0-3 months</v>
      </c>
    </row>
    <row r="2711" spans="1:46" s="12" customFormat="1">
      <c r="A2711" s="33" t="str">
        <f t="shared" si="808"/>
        <v>FY 19/20</v>
      </c>
      <c r="B2711" s="152">
        <v>2019</v>
      </c>
      <c r="C2711" s="152">
        <v>9</v>
      </c>
      <c r="D2711" s="33" t="str">
        <f t="shared" si="809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10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1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25"/>
        <v>624100</v>
      </c>
      <c r="AA2711" s="13">
        <v>1.095</v>
      </c>
      <c r="AB2711" s="21">
        <f t="shared" si="812"/>
        <v>604769.46902654879</v>
      </c>
      <c r="AC2711" s="130">
        <f t="shared" si="813"/>
        <v>54247.821371681428</v>
      </c>
      <c r="AD2711" s="169">
        <v>8.9700000000000002E-2</v>
      </c>
      <c r="AE2711" s="154">
        <f t="shared" si="814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23"/>
        <v>37599388.802345134</v>
      </c>
      <c r="AJ2711" s="19">
        <f t="shared" si="824"/>
        <v>4866784.3630338367</v>
      </c>
      <c r="AK2711" s="20">
        <f t="shared" si="815"/>
        <v>0.12943785838163113</v>
      </c>
      <c r="AL2711" s="17"/>
      <c r="AM2711" s="17"/>
      <c r="AN2711" s="17"/>
      <c r="AO2711" s="17"/>
      <c r="AP2711" s="28" t="str">
        <f t="shared" si="816"/>
        <v>20199</v>
      </c>
      <c r="AQ2711" s="28" t="str">
        <f t="shared" si="817"/>
        <v>20199RMB</v>
      </c>
      <c r="AR2711" s="206" t="str">
        <f t="shared" si="818"/>
        <v>YAMAHA_Mounter</v>
      </c>
      <c r="AS2711" s="22">
        <f t="shared" si="819"/>
        <v>0</v>
      </c>
      <c r="AT2711" s="24" t="str">
        <f t="shared" si="820"/>
        <v>0-3 months</v>
      </c>
    </row>
    <row r="2712" spans="1:46" s="12" customFormat="1">
      <c r="A2712" s="33" t="str">
        <f t="shared" si="808"/>
        <v>FY 20/21</v>
      </c>
      <c r="B2712" s="152">
        <v>2020</v>
      </c>
      <c r="C2712" s="152">
        <v>11</v>
      </c>
      <c r="D2712" s="33" t="str">
        <f t="shared" si="809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10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1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26">IF(W2712="RMB","1.13", "1")</f>
        <v>1</v>
      </c>
      <c r="Z2712" s="18">
        <f t="shared" si="825"/>
        <v>7000000</v>
      </c>
      <c r="AA2712" s="13">
        <v>7.4499999999999997E-2</v>
      </c>
      <c r="AB2712" s="21">
        <f t="shared" si="812"/>
        <v>521500</v>
      </c>
      <c r="AC2712" s="130">
        <f t="shared" si="813"/>
        <v>59242.400000000001</v>
      </c>
      <c r="AD2712" s="172">
        <v>0.11360000000000001</v>
      </c>
      <c r="AE2712" s="154">
        <f t="shared" si="814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23"/>
        <v>57778307.282035396</v>
      </c>
      <c r="AJ2712" s="19">
        <f t="shared" si="824"/>
        <v>7259860.7225420559</v>
      </c>
      <c r="AK2712" s="20">
        <f t="shared" si="815"/>
        <v>0.12565028406083667</v>
      </c>
      <c r="AL2712" s="17"/>
      <c r="AM2712" s="17"/>
      <c r="AN2712" s="17"/>
      <c r="AO2712" s="17"/>
      <c r="AP2712" s="28" t="str">
        <f t="shared" si="816"/>
        <v>20213</v>
      </c>
      <c r="AQ2712" s="28" t="str">
        <f t="shared" si="817"/>
        <v>20213JPY</v>
      </c>
      <c r="AR2712" s="206" t="str">
        <f t="shared" si="818"/>
        <v>YAMAHA_Mounter</v>
      </c>
      <c r="AS2712" s="22">
        <f t="shared" si="819"/>
        <v>4</v>
      </c>
      <c r="AT2712" s="24" t="str">
        <f t="shared" si="820"/>
        <v>4-6 months</v>
      </c>
    </row>
    <row r="2713" spans="1:46" s="12" customFormat="1">
      <c r="A2713" s="33" t="str">
        <f t="shared" si="808"/>
        <v>FY 22/23</v>
      </c>
      <c r="B2713" s="152">
        <v>2023</v>
      </c>
      <c r="C2713" s="152">
        <v>3</v>
      </c>
      <c r="D2713" s="33" t="str">
        <f t="shared" si="809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10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1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26"/>
        <v>1.13</v>
      </c>
      <c r="Z2713" s="18">
        <f t="shared" si="825"/>
        <v>900000</v>
      </c>
      <c r="AA2713" s="13">
        <v>1.1299999999999999</v>
      </c>
      <c r="AB2713" s="21">
        <f t="shared" si="812"/>
        <v>900000</v>
      </c>
      <c r="AC2713" s="130">
        <f t="shared" si="813"/>
        <v>153090</v>
      </c>
      <c r="AD2713" s="169">
        <v>0.1701</v>
      </c>
      <c r="AE2713" s="154">
        <f t="shared" si="814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23"/>
        <v>33543315.897345133</v>
      </c>
      <c r="AJ2713" s="19">
        <f t="shared" si="824"/>
        <v>4706169.3252984071</v>
      </c>
      <c r="AK2713" s="20">
        <f t="shared" si="815"/>
        <v>0.14030125523967318</v>
      </c>
      <c r="AL2713" s="17"/>
      <c r="AM2713" s="17"/>
      <c r="AN2713" s="17"/>
      <c r="AO2713" s="17"/>
      <c r="AP2713" s="28" t="str">
        <f t="shared" si="816"/>
        <v>20233</v>
      </c>
      <c r="AQ2713" s="28" t="str">
        <f t="shared" si="817"/>
        <v>20233RMB</v>
      </c>
      <c r="AR2713" s="206" t="str">
        <f t="shared" si="818"/>
        <v>YAMAHA_Mounter</v>
      </c>
      <c r="AS2713" s="22">
        <f t="shared" si="819"/>
        <v>0</v>
      </c>
      <c r="AT2713" s="24" t="str">
        <f t="shared" si="820"/>
        <v>0-3 months</v>
      </c>
    </row>
    <row r="2714" spans="1:46" s="12" customFormat="1">
      <c r="A2714" s="33" t="str">
        <f t="shared" si="808"/>
        <v>FY 22/23</v>
      </c>
      <c r="B2714" s="152">
        <v>2023</v>
      </c>
      <c r="C2714" s="152">
        <v>3</v>
      </c>
      <c r="D2714" s="33" t="str">
        <f t="shared" si="809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10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1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26"/>
        <v>1.13</v>
      </c>
      <c r="Z2714" s="18">
        <f t="shared" si="825"/>
        <v>690000</v>
      </c>
      <c r="AA2714" s="13">
        <v>1.135</v>
      </c>
      <c r="AB2714" s="21">
        <f t="shared" si="812"/>
        <v>693053.09734513285</v>
      </c>
      <c r="AC2714" s="130">
        <f t="shared" si="813"/>
        <v>117888.33185840709</v>
      </c>
      <c r="AD2714" s="169">
        <v>0.1701</v>
      </c>
      <c r="AE2714" s="154">
        <f t="shared" si="814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23"/>
        <v>33543315.897345133</v>
      </c>
      <c r="AJ2714" s="19">
        <f t="shared" si="824"/>
        <v>4706169.3252984071</v>
      </c>
      <c r="AK2714" s="20">
        <f t="shared" si="815"/>
        <v>0.14030125523967318</v>
      </c>
      <c r="AL2714" s="17"/>
      <c r="AM2714" s="17"/>
      <c r="AN2714" s="17"/>
      <c r="AO2714" s="17"/>
      <c r="AP2714" s="28" t="str">
        <f t="shared" si="816"/>
        <v>20233</v>
      </c>
      <c r="AQ2714" s="28" t="str">
        <f t="shared" si="817"/>
        <v>20233RMB</v>
      </c>
      <c r="AR2714" s="206" t="str">
        <f t="shared" si="818"/>
        <v>YAMAHA_Mounter</v>
      </c>
      <c r="AS2714" s="22">
        <f t="shared" si="819"/>
        <v>0</v>
      </c>
      <c r="AT2714" s="24" t="str">
        <f t="shared" si="820"/>
        <v>0-3 months</v>
      </c>
    </row>
    <row r="2715" spans="1:46" s="12" customFormat="1">
      <c r="A2715" s="33" t="str">
        <f t="shared" si="808"/>
        <v>FY 22/23</v>
      </c>
      <c r="B2715" s="152">
        <v>2023</v>
      </c>
      <c r="C2715" s="152">
        <v>3</v>
      </c>
      <c r="D2715" s="33" t="str">
        <f t="shared" si="809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10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1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26"/>
        <v>1.13</v>
      </c>
      <c r="Z2715" s="18">
        <f t="shared" si="825"/>
        <v>900000</v>
      </c>
      <c r="AA2715" s="13">
        <v>1.081</v>
      </c>
      <c r="AB2715" s="21">
        <f t="shared" si="812"/>
        <v>860973.45132743369</v>
      </c>
      <c r="AC2715" s="130">
        <f t="shared" si="813"/>
        <v>146451.58407079647</v>
      </c>
      <c r="AD2715" s="169">
        <v>0.1701</v>
      </c>
      <c r="AE2715" s="154">
        <f t="shared" si="814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23"/>
        <v>15951056.41591504</v>
      </c>
      <c r="AJ2715" s="19">
        <f t="shared" si="824"/>
        <v>1966354.6022462982</v>
      </c>
      <c r="AK2715" s="20">
        <f t="shared" si="815"/>
        <v>0.12327425538313459</v>
      </c>
      <c r="AL2715" s="17"/>
      <c r="AM2715" s="17"/>
      <c r="AN2715" s="17"/>
      <c r="AO2715" s="17"/>
      <c r="AP2715" s="28" t="str">
        <f t="shared" si="816"/>
        <v>20237</v>
      </c>
      <c r="AQ2715" s="28" t="str">
        <f t="shared" si="817"/>
        <v>20237RMB</v>
      </c>
      <c r="AR2715" s="206" t="str">
        <f t="shared" si="818"/>
        <v>YAMAHA_Mounter</v>
      </c>
      <c r="AS2715" s="22">
        <f t="shared" si="819"/>
        <v>4</v>
      </c>
      <c r="AT2715" s="24" t="str">
        <f t="shared" si="820"/>
        <v>4-6 months</v>
      </c>
    </row>
    <row r="2716" spans="1:46" s="12" customFormat="1">
      <c r="A2716" s="33" t="str">
        <f t="shared" si="808"/>
        <v>FY 22/23</v>
      </c>
      <c r="B2716" s="152">
        <v>2023</v>
      </c>
      <c r="C2716" s="152">
        <v>3</v>
      </c>
      <c r="D2716" s="33" t="str">
        <f t="shared" si="809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10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1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26"/>
        <v>1.13</v>
      </c>
      <c r="Z2716" s="18">
        <f t="shared" si="825"/>
        <v>690000</v>
      </c>
      <c r="AA2716" s="13">
        <v>1.081</v>
      </c>
      <c r="AB2716" s="21">
        <f t="shared" si="812"/>
        <v>660079.64601769927</v>
      </c>
      <c r="AC2716" s="130">
        <f t="shared" si="813"/>
        <v>112279.54778761065</v>
      </c>
      <c r="AD2716" s="169">
        <v>0.1701</v>
      </c>
      <c r="AE2716" s="154">
        <f t="shared" si="814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23"/>
        <v>15951056.41591504</v>
      </c>
      <c r="AJ2716" s="19">
        <f t="shared" si="824"/>
        <v>1966354.6022462982</v>
      </c>
      <c r="AK2716" s="20">
        <f t="shared" si="815"/>
        <v>0.12327425538313459</v>
      </c>
      <c r="AL2716" s="17"/>
      <c r="AM2716" s="17"/>
      <c r="AN2716" s="17"/>
      <c r="AO2716" s="17"/>
      <c r="AP2716" s="28" t="str">
        <f t="shared" si="816"/>
        <v>20237</v>
      </c>
      <c r="AQ2716" s="28" t="str">
        <f t="shared" si="817"/>
        <v>20237RMB</v>
      </c>
      <c r="AR2716" s="206" t="str">
        <f t="shared" si="818"/>
        <v>YAMAHA_Mounter</v>
      </c>
      <c r="AS2716" s="22">
        <f t="shared" si="819"/>
        <v>4</v>
      </c>
      <c r="AT2716" s="24" t="str">
        <f t="shared" si="820"/>
        <v>4-6 months</v>
      </c>
    </row>
    <row r="2717" spans="1:46" s="12" customFormat="1">
      <c r="A2717" s="33" t="str">
        <f t="shared" si="808"/>
        <v>FY 20/21</v>
      </c>
      <c r="B2717" s="152">
        <v>2020</v>
      </c>
      <c r="C2717" s="152">
        <v>9</v>
      </c>
      <c r="D2717" s="33" t="str">
        <f t="shared" si="809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10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1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26"/>
        <v>1.13</v>
      </c>
      <c r="Z2717" s="18">
        <f t="shared" si="825"/>
        <v>500000</v>
      </c>
      <c r="AA2717" s="13">
        <v>1.175</v>
      </c>
      <c r="AB2717" s="21">
        <f t="shared" si="812"/>
        <v>519911.50442477886</v>
      </c>
      <c r="AC2717" s="130">
        <f t="shared" si="813"/>
        <v>84901.548672566394</v>
      </c>
      <c r="AD2717" s="169">
        <v>0.1633</v>
      </c>
      <c r="AE2717" s="154">
        <f t="shared" si="814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23"/>
        <v>48763143.537654862</v>
      </c>
      <c r="AJ2717" s="19">
        <f t="shared" si="824"/>
        <v>5924029.9702154724</v>
      </c>
      <c r="AK2717" s="20">
        <f t="shared" si="815"/>
        <v>0.1214858095774925</v>
      </c>
      <c r="AL2717" s="17"/>
      <c r="AM2717" s="17"/>
      <c r="AN2717" s="17"/>
      <c r="AO2717" s="17"/>
      <c r="AP2717" s="28" t="str">
        <f t="shared" si="816"/>
        <v>202012</v>
      </c>
      <c r="AQ2717" s="28" t="str">
        <f t="shared" si="817"/>
        <v>202012RMB</v>
      </c>
      <c r="AR2717" s="206" t="str">
        <f t="shared" si="818"/>
        <v>YAMAHA_Mounter</v>
      </c>
      <c r="AS2717" s="22">
        <f t="shared" si="819"/>
        <v>3</v>
      </c>
      <c r="AT2717" s="24" t="str">
        <f t="shared" si="820"/>
        <v>0-3 months</v>
      </c>
    </row>
    <row r="2718" spans="1:46" s="12" customFormat="1">
      <c r="A2718" s="33" t="str">
        <f t="shared" si="808"/>
        <v>FY 21/22</v>
      </c>
      <c r="B2718" s="152">
        <v>2021</v>
      </c>
      <c r="C2718" s="152">
        <v>9</v>
      </c>
      <c r="D2718" s="33" t="str">
        <f t="shared" si="809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10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1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26"/>
        <v>1.13</v>
      </c>
      <c r="Z2718" s="18">
        <f t="shared" si="825"/>
        <v>850000</v>
      </c>
      <c r="AA2718" s="13">
        <v>1.21</v>
      </c>
      <c r="AB2718" s="21">
        <f t="shared" si="812"/>
        <v>910176.99115044251</v>
      </c>
      <c r="AC2718" s="130">
        <f t="shared" si="813"/>
        <v>109221.23893805309</v>
      </c>
      <c r="AD2718" s="169">
        <v>0.12</v>
      </c>
      <c r="AE2718" s="154">
        <f t="shared" si="814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23"/>
        <v>477651199.57437885</v>
      </c>
      <c r="AJ2718" s="19">
        <f t="shared" si="824"/>
        <v>56918800.518691957</v>
      </c>
      <c r="AK2718" s="20">
        <f t="shared" si="815"/>
        <v>0.11916394341605475</v>
      </c>
      <c r="AL2718" s="17"/>
      <c r="AM2718" s="17"/>
      <c r="AN2718" s="17"/>
      <c r="AO2718" s="17"/>
      <c r="AP2718" s="28" t="str">
        <f t="shared" si="816"/>
        <v>CancelCancel</v>
      </c>
      <c r="AQ2718" s="28" t="str">
        <f t="shared" si="817"/>
        <v>CancelCancelRMB</v>
      </c>
      <c r="AR2718" s="206" t="str">
        <f t="shared" si="818"/>
        <v>YAMAHA_Mounter</v>
      </c>
      <c r="AS2718" s="22" t="str">
        <f t="shared" si="819"/>
        <v/>
      </c>
      <c r="AT2718" s="24" t="str">
        <f t="shared" si="820"/>
        <v/>
      </c>
    </row>
    <row r="2719" spans="1:46" s="12" customFormat="1">
      <c r="A2719" s="33" t="str">
        <f t="shared" si="808"/>
        <v>cancel</v>
      </c>
      <c r="B2719" s="152"/>
      <c r="C2719" s="152" t="s">
        <v>186</v>
      </c>
      <c r="D2719" s="33" t="str">
        <f t="shared" si="809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10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1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26"/>
        <v>1</v>
      </c>
      <c r="Z2719" s="18">
        <f t="shared" si="825"/>
        <v>12300000</v>
      </c>
      <c r="AA2719" s="13">
        <v>6.25E-2</v>
      </c>
      <c r="AB2719" s="21">
        <f t="shared" si="812"/>
        <v>768750</v>
      </c>
      <c r="AC2719" s="130">
        <f t="shared" si="813"/>
        <v>92250</v>
      </c>
      <c r="AD2719" s="169">
        <v>0.12</v>
      </c>
      <c r="AE2719" s="154">
        <f t="shared" si="814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23"/>
        <v>477651199.57437885</v>
      </c>
      <c r="AJ2719" s="19">
        <f t="shared" si="824"/>
        <v>56918800.518691957</v>
      </c>
      <c r="AK2719" s="20">
        <f t="shared" si="815"/>
        <v>0.11916394341605475</v>
      </c>
      <c r="AL2719" s="17"/>
      <c r="AM2719" s="17"/>
      <c r="AN2719" s="17"/>
      <c r="AO2719" s="17"/>
      <c r="AP2719" s="28" t="str">
        <f t="shared" si="816"/>
        <v>CancelCancel</v>
      </c>
      <c r="AQ2719" s="28" t="str">
        <f t="shared" si="817"/>
        <v>CancelCancelJPY</v>
      </c>
      <c r="AR2719" s="206" t="str">
        <f t="shared" si="818"/>
        <v>YAMAHA_Mounter</v>
      </c>
      <c r="AS2719" s="22" t="str">
        <f t="shared" si="819"/>
        <v/>
      </c>
      <c r="AT2719" s="24" t="str">
        <f t="shared" si="820"/>
        <v/>
      </c>
    </row>
    <row r="2720" spans="1:46" s="12" customFormat="1">
      <c r="A2720" s="33" t="str">
        <f t="shared" si="808"/>
        <v>FY 24/25</v>
      </c>
      <c r="B2720" s="23">
        <v>2024</v>
      </c>
      <c r="C2720" s="152">
        <v>4</v>
      </c>
      <c r="D2720" s="33" t="str">
        <f t="shared" si="809"/>
        <v>Q1</v>
      </c>
      <c r="E2720" s="33" t="str">
        <f>IF(G2720="Cancel","Cancel",IF(G2720="TBA","TBA",IFERROR(IF(I2720="Q4","FY "&amp;RIGHT(F2720,2)-1&amp;"/"&amp;RIGHT(F2720,2),"FY "&amp;RIGHT(F2720,2)&amp;"/"&amp;RIGHT(F2720,2)+1),"")))</f>
        <v>FY 24/25</v>
      </c>
      <c r="F2720" s="23">
        <v>2024</v>
      </c>
      <c r="G2720" s="23">
        <v>8</v>
      </c>
      <c r="H2720" s="29"/>
      <c r="I2720" s="33" t="str">
        <f t="shared" si="810"/>
        <v>Q2</v>
      </c>
      <c r="J2720" s="188" t="s">
        <v>3406</v>
      </c>
      <c r="K2720" s="29" t="s">
        <v>396</v>
      </c>
      <c r="L2720" s="17" t="s">
        <v>93</v>
      </c>
      <c r="M2720" s="22" t="s">
        <v>61</v>
      </c>
      <c r="N2720" s="22">
        <v>1</v>
      </c>
      <c r="O2720" s="22"/>
      <c r="P2720" s="33" t="str">
        <f t="shared" si="811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397</v>
      </c>
      <c r="V2720" s="22" t="s">
        <v>81</v>
      </c>
      <c r="W2720" s="22" t="s">
        <v>110</v>
      </c>
      <c r="X2720" s="30">
        <v>15400000</v>
      </c>
      <c r="Y2720" s="31" t="str">
        <f>IF(W2720="","",IF(W2720="RMB","1.13", "1"))</f>
        <v>1</v>
      </c>
      <c r="Z2720" s="18">
        <f t="shared" si="825"/>
        <v>15400000</v>
      </c>
      <c r="AA2720" s="22">
        <v>5.2299999999999999E-2</v>
      </c>
      <c r="AB2720" s="21">
        <f t="shared" si="812"/>
        <v>805420</v>
      </c>
      <c r="AC2720" s="25">
        <f t="shared" si="813"/>
        <v>106395.98199999999</v>
      </c>
      <c r="AD2720" s="170">
        <v>0.1321</v>
      </c>
      <c r="AE2720" s="26">
        <f t="shared" si="814"/>
        <v>0</v>
      </c>
      <c r="AF2720" s="26" t="str">
        <f>IF(AND(COUNTIFS($J$18:J2720,J2720)=1,AE2720=1),1,"")</f>
        <v/>
      </c>
      <c r="AG2720" s="26">
        <f>IF(C2720="","",IF(AND(COUNTIFS($J$18:J2720,J2720)=1,C2720&lt;&gt;""),1,""))</f>
        <v>1</v>
      </c>
      <c r="AH2720" s="26">
        <f>IF(G2720="","",IF(AND(COUNTIFS($J$18:J2720,J2720)=1,G2720&lt;&gt;""),1,""))</f>
        <v>1</v>
      </c>
      <c r="AI2720" s="27">
        <f t="shared" si="823"/>
        <v>25354039.366920356</v>
      </c>
      <c r="AJ2720" s="27">
        <f t="shared" si="824"/>
        <v>3027878.5311884549</v>
      </c>
      <c r="AK2720" s="28">
        <f t="shared" si="815"/>
        <v>0.11942391061910851</v>
      </c>
      <c r="AL2720" s="24"/>
      <c r="AM2720" s="24"/>
      <c r="AN2720" s="24"/>
      <c r="AO2720" s="24"/>
      <c r="AP2720" s="28" t="str">
        <f t="shared" si="816"/>
        <v>20248</v>
      </c>
      <c r="AQ2720" s="28" t="str">
        <f t="shared" si="817"/>
        <v>20248JPY</v>
      </c>
      <c r="AR2720" s="206" t="str">
        <f t="shared" si="818"/>
        <v>YAMAHA_Mounter</v>
      </c>
      <c r="AS2720" s="22">
        <f t="shared" si="819"/>
        <v>4</v>
      </c>
      <c r="AT2720" s="24" t="str">
        <f t="shared" si="820"/>
        <v>4-6 months</v>
      </c>
    </row>
    <row r="2721" spans="1:46" s="12" customFormat="1">
      <c r="A2721" s="33" t="str">
        <f t="shared" si="808"/>
        <v>FY 19/20</v>
      </c>
      <c r="B2721" s="152">
        <v>2019</v>
      </c>
      <c r="C2721" s="152">
        <v>12</v>
      </c>
      <c r="D2721" s="33" t="str">
        <f t="shared" si="809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10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1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25"/>
        <v>11000000</v>
      </c>
      <c r="AA2721" s="13">
        <v>7.2700000000000001E-2</v>
      </c>
      <c r="AB2721" s="21">
        <f t="shared" si="812"/>
        <v>799700</v>
      </c>
      <c r="AC2721" s="130">
        <f t="shared" si="813"/>
        <v>64055.97</v>
      </c>
      <c r="AD2721" s="169">
        <v>8.0100000000000005E-2</v>
      </c>
      <c r="AE2721" s="154">
        <f t="shared" si="814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23"/>
        <v>14005204.685000001</v>
      </c>
      <c r="AJ2721" s="19">
        <f t="shared" si="824"/>
        <v>1436995.246084</v>
      </c>
      <c r="AK2721" s="20">
        <f t="shared" si="815"/>
        <v>0.10260437304590525</v>
      </c>
      <c r="AL2721" s="17"/>
      <c r="AM2721" s="17"/>
      <c r="AN2721" s="17"/>
      <c r="AO2721" s="17"/>
      <c r="AP2721" s="28" t="str">
        <f t="shared" si="816"/>
        <v>20202</v>
      </c>
      <c r="AQ2721" s="28" t="str">
        <f t="shared" si="817"/>
        <v>20202JPY</v>
      </c>
      <c r="AR2721" s="206" t="str">
        <f t="shared" si="818"/>
        <v>YAMAHA_Mounter</v>
      </c>
      <c r="AS2721" s="22">
        <f t="shared" si="819"/>
        <v>2</v>
      </c>
      <c r="AT2721" s="24" t="str">
        <f t="shared" si="820"/>
        <v>0-3 months</v>
      </c>
    </row>
    <row r="2722" spans="1:46" s="12" customFormat="1">
      <c r="A2722" s="33" t="str">
        <f t="shared" si="808"/>
        <v>FY 19/20</v>
      </c>
      <c r="B2722" s="152">
        <v>2019</v>
      </c>
      <c r="C2722" s="152">
        <v>12</v>
      </c>
      <c r="D2722" s="33" t="str">
        <f t="shared" si="809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10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1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25"/>
        <v>11000000</v>
      </c>
      <c r="AA2722" s="13">
        <v>7.2700000000000001E-2</v>
      </c>
      <c r="AB2722" s="21">
        <f t="shared" si="812"/>
        <v>799700</v>
      </c>
      <c r="AC2722" s="130">
        <f t="shared" si="813"/>
        <v>64055.97</v>
      </c>
      <c r="AD2722" s="169">
        <v>8.0100000000000005E-2</v>
      </c>
      <c r="AE2722" s="154">
        <f t="shared" si="814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23"/>
        <v>14005204.685000001</v>
      </c>
      <c r="AJ2722" s="19">
        <f t="shared" si="824"/>
        <v>1436995.246084</v>
      </c>
      <c r="AK2722" s="20">
        <f t="shared" si="815"/>
        <v>0.10260437304590525</v>
      </c>
      <c r="AL2722" s="17"/>
      <c r="AM2722" s="17"/>
      <c r="AN2722" s="17"/>
      <c r="AO2722" s="17"/>
      <c r="AP2722" s="28" t="str">
        <f t="shared" si="816"/>
        <v>20202</v>
      </c>
      <c r="AQ2722" s="28" t="str">
        <f t="shared" si="817"/>
        <v>20202JPY</v>
      </c>
      <c r="AR2722" s="206" t="str">
        <f t="shared" si="818"/>
        <v>YAMAHA_Mounter</v>
      </c>
      <c r="AS2722" s="22">
        <f t="shared" si="819"/>
        <v>2</v>
      </c>
      <c r="AT2722" s="24" t="str">
        <f t="shared" si="820"/>
        <v>0-3 months</v>
      </c>
    </row>
    <row r="2723" spans="1:46" s="12" customFormat="1">
      <c r="A2723" s="33" t="str">
        <f t="shared" si="808"/>
        <v>FY 19/20</v>
      </c>
      <c r="B2723" s="152">
        <v>2019</v>
      </c>
      <c r="C2723" s="152">
        <v>12</v>
      </c>
      <c r="D2723" s="33" t="str">
        <f t="shared" si="809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10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1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25"/>
        <v>11000000</v>
      </c>
      <c r="AA2723" s="13">
        <v>7.2700000000000001E-2</v>
      </c>
      <c r="AB2723" s="21">
        <f t="shared" si="812"/>
        <v>799700</v>
      </c>
      <c r="AC2723" s="130">
        <f t="shared" si="813"/>
        <v>64055.97</v>
      </c>
      <c r="AD2723" s="169">
        <v>8.0100000000000005E-2</v>
      </c>
      <c r="AE2723" s="154">
        <f t="shared" si="814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23"/>
        <v>14005204.685000001</v>
      </c>
      <c r="AJ2723" s="19">
        <f t="shared" si="824"/>
        <v>1436995.246084</v>
      </c>
      <c r="AK2723" s="20">
        <f t="shared" si="815"/>
        <v>0.10260437304590525</v>
      </c>
      <c r="AL2723" s="17"/>
      <c r="AM2723" s="17"/>
      <c r="AN2723" s="17"/>
      <c r="AO2723" s="17"/>
      <c r="AP2723" s="28" t="str">
        <f t="shared" si="816"/>
        <v>20202</v>
      </c>
      <c r="AQ2723" s="28" t="str">
        <f t="shared" si="817"/>
        <v>20202JPY</v>
      </c>
      <c r="AR2723" s="206" t="str">
        <f t="shared" si="818"/>
        <v>YAMAHA_Mounter</v>
      </c>
      <c r="AS2723" s="22">
        <f t="shared" si="819"/>
        <v>2</v>
      </c>
      <c r="AT2723" s="24" t="str">
        <f t="shared" si="820"/>
        <v>0-3 months</v>
      </c>
    </row>
    <row r="2724" spans="1:46" s="12" customFormat="1">
      <c r="A2724" s="33" t="str">
        <f t="shared" si="808"/>
        <v>FY 19/20</v>
      </c>
      <c r="B2724" s="152">
        <v>2019</v>
      </c>
      <c r="C2724" s="152">
        <v>12</v>
      </c>
      <c r="D2724" s="33" t="str">
        <f t="shared" si="809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10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1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25"/>
        <v>11000000</v>
      </c>
      <c r="AA2724" s="13">
        <v>7.2700000000000001E-2</v>
      </c>
      <c r="AB2724" s="21">
        <f t="shared" si="812"/>
        <v>799700</v>
      </c>
      <c r="AC2724" s="130">
        <f t="shared" si="813"/>
        <v>64055.97</v>
      </c>
      <c r="AD2724" s="169">
        <v>8.0100000000000005E-2</v>
      </c>
      <c r="AE2724" s="154">
        <f t="shared" si="814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23"/>
        <v>14005204.685000001</v>
      </c>
      <c r="AJ2724" s="19">
        <f t="shared" si="824"/>
        <v>1436995.246084</v>
      </c>
      <c r="AK2724" s="20">
        <f t="shared" si="815"/>
        <v>0.10260437304590525</v>
      </c>
      <c r="AL2724" s="17"/>
      <c r="AM2724" s="17"/>
      <c r="AN2724" s="17"/>
      <c r="AO2724" s="17"/>
      <c r="AP2724" s="28" t="str">
        <f t="shared" si="816"/>
        <v>20202</v>
      </c>
      <c r="AQ2724" s="28" t="str">
        <f t="shared" si="817"/>
        <v>20202JPY</v>
      </c>
      <c r="AR2724" s="206" t="str">
        <f t="shared" si="818"/>
        <v>YAMAHA_Mounter</v>
      </c>
      <c r="AS2724" s="22">
        <f t="shared" si="819"/>
        <v>2</v>
      </c>
      <c r="AT2724" s="24" t="str">
        <f t="shared" si="820"/>
        <v>0-3 months</v>
      </c>
    </row>
    <row r="2725" spans="1:46" s="12" customFormat="1">
      <c r="A2725" s="33" t="str">
        <f t="shared" si="808"/>
        <v>FY 19/20</v>
      </c>
      <c r="B2725" s="152">
        <v>2019</v>
      </c>
      <c r="C2725" s="152">
        <v>12</v>
      </c>
      <c r="D2725" s="33" t="str">
        <f t="shared" si="809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10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1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25"/>
        <v>11000000</v>
      </c>
      <c r="AA2725" s="13">
        <v>7.2700000000000001E-2</v>
      </c>
      <c r="AB2725" s="21">
        <f t="shared" si="812"/>
        <v>799700</v>
      </c>
      <c r="AC2725" s="130">
        <f t="shared" si="813"/>
        <v>64055.97</v>
      </c>
      <c r="AD2725" s="169">
        <v>8.0100000000000005E-2</v>
      </c>
      <c r="AE2725" s="154">
        <f t="shared" si="814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23"/>
        <v>14005204.685000001</v>
      </c>
      <c r="AJ2725" s="19">
        <f t="shared" si="824"/>
        <v>1436995.246084</v>
      </c>
      <c r="AK2725" s="20">
        <f t="shared" si="815"/>
        <v>0.10260437304590525</v>
      </c>
      <c r="AL2725" s="17"/>
      <c r="AM2725" s="17"/>
      <c r="AN2725" s="17"/>
      <c r="AO2725" s="17"/>
      <c r="AP2725" s="28" t="str">
        <f t="shared" si="816"/>
        <v>20202</v>
      </c>
      <c r="AQ2725" s="28" t="str">
        <f t="shared" si="817"/>
        <v>20202JPY</v>
      </c>
      <c r="AR2725" s="206" t="str">
        <f t="shared" si="818"/>
        <v>YAMAHA_Mounter</v>
      </c>
      <c r="AS2725" s="22">
        <f t="shared" si="819"/>
        <v>2</v>
      </c>
      <c r="AT2725" s="24" t="str">
        <f t="shared" si="820"/>
        <v>0-3 months</v>
      </c>
    </row>
    <row r="2726" spans="1:46" s="12" customFormat="1">
      <c r="A2726" s="33" t="str">
        <f t="shared" si="808"/>
        <v>FY 19/20</v>
      </c>
      <c r="B2726" s="152">
        <v>2019</v>
      </c>
      <c r="C2726" s="152">
        <v>12</v>
      </c>
      <c r="D2726" s="33" t="str">
        <f t="shared" si="809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10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1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25"/>
        <v>7722000</v>
      </c>
      <c r="AA2726" s="13">
        <v>7.2700000000000001E-2</v>
      </c>
      <c r="AB2726" s="21">
        <f t="shared" si="812"/>
        <v>561389.4</v>
      </c>
      <c r="AC2726" s="130">
        <f t="shared" si="813"/>
        <v>44967.290940000006</v>
      </c>
      <c r="AD2726" s="169">
        <v>8.0100000000000005E-2</v>
      </c>
      <c r="AE2726" s="154">
        <f t="shared" si="814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23"/>
        <v>14005204.685000001</v>
      </c>
      <c r="AJ2726" s="19">
        <f t="shared" si="824"/>
        <v>1436995.246084</v>
      </c>
      <c r="AK2726" s="20">
        <f t="shared" si="815"/>
        <v>0.10260437304590525</v>
      </c>
      <c r="AL2726" s="17"/>
      <c r="AM2726" s="17"/>
      <c r="AN2726" s="17"/>
      <c r="AO2726" s="17"/>
      <c r="AP2726" s="28" t="str">
        <f t="shared" si="816"/>
        <v>20202</v>
      </c>
      <c r="AQ2726" s="28" t="str">
        <f t="shared" si="817"/>
        <v>20202JPY</v>
      </c>
      <c r="AR2726" s="206" t="str">
        <f t="shared" si="818"/>
        <v>YAMAHA_Mounter</v>
      </c>
      <c r="AS2726" s="22">
        <f t="shared" si="819"/>
        <v>2</v>
      </c>
      <c r="AT2726" s="24" t="str">
        <f t="shared" si="820"/>
        <v>0-3 months</v>
      </c>
    </row>
    <row r="2727" spans="1:46" s="12" customFormat="1">
      <c r="A2727" s="33" t="str">
        <f t="shared" si="808"/>
        <v>FY 19/20</v>
      </c>
      <c r="B2727" s="152">
        <v>2019</v>
      </c>
      <c r="C2727" s="152">
        <v>12</v>
      </c>
      <c r="D2727" s="33" t="str">
        <f t="shared" si="809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10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1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25"/>
        <v>7722000</v>
      </c>
      <c r="AA2727" s="13">
        <v>7.2700000000000001E-2</v>
      </c>
      <c r="AB2727" s="21">
        <f t="shared" si="812"/>
        <v>561389.4</v>
      </c>
      <c r="AC2727" s="130">
        <f t="shared" si="813"/>
        <v>44967.290940000006</v>
      </c>
      <c r="AD2727" s="169">
        <v>8.0100000000000005E-2</v>
      </c>
      <c r="AE2727" s="154">
        <f t="shared" si="814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23"/>
        <v>14005204.685000001</v>
      </c>
      <c r="AJ2727" s="19">
        <f t="shared" si="824"/>
        <v>1436995.246084</v>
      </c>
      <c r="AK2727" s="20">
        <f t="shared" si="815"/>
        <v>0.10260437304590525</v>
      </c>
      <c r="AL2727" s="17"/>
      <c r="AM2727" s="17"/>
      <c r="AN2727" s="17"/>
      <c r="AO2727" s="17"/>
      <c r="AP2727" s="28" t="str">
        <f t="shared" si="816"/>
        <v>20202</v>
      </c>
      <c r="AQ2727" s="28" t="str">
        <f t="shared" si="817"/>
        <v>20202JPY</v>
      </c>
      <c r="AR2727" s="206" t="str">
        <f t="shared" si="818"/>
        <v>YAMAHA_Mounter</v>
      </c>
      <c r="AS2727" s="22">
        <f t="shared" si="819"/>
        <v>2</v>
      </c>
      <c r="AT2727" s="24" t="str">
        <f t="shared" si="820"/>
        <v>0-3 months</v>
      </c>
    </row>
    <row r="2728" spans="1:46" s="12" customFormat="1">
      <c r="A2728" s="33" t="str">
        <f t="shared" si="808"/>
        <v>FY 19/20</v>
      </c>
      <c r="B2728" s="152">
        <v>2019</v>
      </c>
      <c r="C2728" s="152">
        <v>12</v>
      </c>
      <c r="D2728" s="33" t="str">
        <f t="shared" si="809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10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1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25"/>
        <v>7722000</v>
      </c>
      <c r="AA2728" s="13">
        <v>7.2700000000000001E-2</v>
      </c>
      <c r="AB2728" s="21">
        <f t="shared" si="812"/>
        <v>561389.4</v>
      </c>
      <c r="AC2728" s="130">
        <f t="shared" si="813"/>
        <v>44967.290940000006</v>
      </c>
      <c r="AD2728" s="169">
        <v>8.0100000000000005E-2</v>
      </c>
      <c r="AE2728" s="154">
        <f t="shared" si="814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23"/>
        <v>14005204.685000001</v>
      </c>
      <c r="AJ2728" s="19">
        <f t="shared" si="824"/>
        <v>1436995.246084</v>
      </c>
      <c r="AK2728" s="20">
        <f t="shared" si="815"/>
        <v>0.10260437304590525</v>
      </c>
      <c r="AL2728" s="17"/>
      <c r="AM2728" s="17"/>
      <c r="AN2728" s="17"/>
      <c r="AO2728" s="17"/>
      <c r="AP2728" s="28" t="str">
        <f t="shared" si="816"/>
        <v>20202</v>
      </c>
      <c r="AQ2728" s="28" t="str">
        <f t="shared" si="817"/>
        <v>20202JPY</v>
      </c>
      <c r="AR2728" s="206" t="str">
        <f t="shared" si="818"/>
        <v>YAMAHA_Mounter</v>
      </c>
      <c r="AS2728" s="22">
        <f t="shared" si="819"/>
        <v>2</v>
      </c>
      <c r="AT2728" s="24" t="str">
        <f t="shared" si="820"/>
        <v>0-3 months</v>
      </c>
    </row>
    <row r="2729" spans="1:46" s="12" customFormat="1">
      <c r="A2729" s="33" t="str">
        <f t="shared" si="808"/>
        <v>FY 19/20</v>
      </c>
      <c r="B2729" s="152">
        <v>2019</v>
      </c>
      <c r="C2729" s="152">
        <v>12</v>
      </c>
      <c r="D2729" s="33" t="str">
        <f t="shared" si="809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10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1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25"/>
        <v>7722000</v>
      </c>
      <c r="AA2729" s="13">
        <v>7.2700000000000001E-2</v>
      </c>
      <c r="AB2729" s="21">
        <f t="shared" si="812"/>
        <v>561389.4</v>
      </c>
      <c r="AC2729" s="130">
        <f t="shared" si="813"/>
        <v>44967.290940000006</v>
      </c>
      <c r="AD2729" s="169">
        <v>8.0100000000000005E-2</v>
      </c>
      <c r="AE2729" s="154">
        <f t="shared" si="814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23"/>
        <v>14005204.685000001</v>
      </c>
      <c r="AJ2729" s="19">
        <f t="shared" si="824"/>
        <v>1436995.246084</v>
      </c>
      <c r="AK2729" s="20">
        <f t="shared" si="815"/>
        <v>0.10260437304590525</v>
      </c>
      <c r="AL2729" s="17"/>
      <c r="AM2729" s="17"/>
      <c r="AN2729" s="17"/>
      <c r="AO2729" s="17"/>
      <c r="AP2729" s="28" t="str">
        <f t="shared" si="816"/>
        <v>20202</v>
      </c>
      <c r="AQ2729" s="28" t="str">
        <f t="shared" si="817"/>
        <v>20202JPY</v>
      </c>
      <c r="AR2729" s="206" t="str">
        <f t="shared" si="818"/>
        <v>YAMAHA_Mounter</v>
      </c>
      <c r="AS2729" s="22">
        <f t="shared" si="819"/>
        <v>2</v>
      </c>
      <c r="AT2729" s="24" t="str">
        <f t="shared" si="820"/>
        <v>0-3 months</v>
      </c>
    </row>
    <row r="2730" spans="1:46" s="12" customFormat="1">
      <c r="A2730" s="33" t="str">
        <f t="shared" si="808"/>
        <v>FY 19/20</v>
      </c>
      <c r="B2730" s="152">
        <v>2019</v>
      </c>
      <c r="C2730" s="152">
        <v>12</v>
      </c>
      <c r="D2730" s="33" t="str">
        <f t="shared" si="809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10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1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25"/>
        <v>7722000</v>
      </c>
      <c r="AA2730" s="13">
        <v>7.2700000000000001E-2</v>
      </c>
      <c r="AB2730" s="21">
        <f t="shared" si="812"/>
        <v>561389.4</v>
      </c>
      <c r="AC2730" s="130">
        <f t="shared" si="813"/>
        <v>44967.290940000006</v>
      </c>
      <c r="AD2730" s="169">
        <v>8.0100000000000005E-2</v>
      </c>
      <c r="AE2730" s="154">
        <f t="shared" si="814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23"/>
        <v>14005204.685000001</v>
      </c>
      <c r="AJ2730" s="19">
        <f t="shared" si="824"/>
        <v>1436995.246084</v>
      </c>
      <c r="AK2730" s="20">
        <f t="shared" si="815"/>
        <v>0.10260437304590525</v>
      </c>
      <c r="AL2730" s="17"/>
      <c r="AM2730" s="17"/>
      <c r="AN2730" s="17"/>
      <c r="AO2730" s="17"/>
      <c r="AP2730" s="28" t="str">
        <f t="shared" si="816"/>
        <v>20202</v>
      </c>
      <c r="AQ2730" s="28" t="str">
        <f t="shared" si="817"/>
        <v>20202JPY</v>
      </c>
      <c r="AR2730" s="206" t="str">
        <f t="shared" si="818"/>
        <v>YAMAHA_Mounter</v>
      </c>
      <c r="AS2730" s="22">
        <f t="shared" si="819"/>
        <v>2</v>
      </c>
      <c r="AT2730" s="24" t="str">
        <f t="shared" si="820"/>
        <v>0-3 months</v>
      </c>
    </row>
    <row r="2731" spans="1:46" s="12" customFormat="1">
      <c r="A2731" s="33" t="str">
        <f t="shared" si="808"/>
        <v>FY 19/20</v>
      </c>
      <c r="B2731" s="152">
        <v>2019</v>
      </c>
      <c r="C2731" s="152">
        <v>12</v>
      </c>
      <c r="D2731" s="33" t="str">
        <f t="shared" si="809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10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1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25"/>
        <v>7722000</v>
      </c>
      <c r="AA2731" s="13">
        <v>7.2700000000000001E-2</v>
      </c>
      <c r="AB2731" s="21">
        <f t="shared" si="812"/>
        <v>561389.4</v>
      </c>
      <c r="AC2731" s="130">
        <f t="shared" si="813"/>
        <v>44967.290940000006</v>
      </c>
      <c r="AD2731" s="169">
        <v>8.0100000000000005E-2</v>
      </c>
      <c r="AE2731" s="154">
        <f t="shared" si="814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23"/>
        <v>14005204.685000001</v>
      </c>
      <c r="AJ2731" s="19">
        <f t="shared" si="824"/>
        <v>1436995.246084</v>
      </c>
      <c r="AK2731" s="20">
        <f t="shared" si="815"/>
        <v>0.10260437304590525</v>
      </c>
      <c r="AL2731" s="17"/>
      <c r="AM2731" s="17"/>
      <c r="AN2731" s="17"/>
      <c r="AO2731" s="17"/>
      <c r="AP2731" s="28" t="str">
        <f t="shared" si="816"/>
        <v>20202</v>
      </c>
      <c r="AQ2731" s="28" t="str">
        <f t="shared" si="817"/>
        <v>20202JPY</v>
      </c>
      <c r="AR2731" s="206" t="str">
        <f t="shared" si="818"/>
        <v>YAMAHA_Mounter</v>
      </c>
      <c r="AS2731" s="22">
        <f t="shared" si="819"/>
        <v>2</v>
      </c>
      <c r="AT2731" s="24" t="str">
        <f t="shared" si="820"/>
        <v>0-3 months</v>
      </c>
    </row>
    <row r="2732" spans="1:46" s="12" customFormat="1">
      <c r="A2732" s="33" t="str">
        <f t="shared" ref="A2732:A2795" si="827">IF(C2732="cancel","cancel",IFERROR(IF(D2732="Q4","FY "&amp;RIGHT(B2732,2)-1&amp;"/"&amp;RIGHT(B2732,2),"FY "&amp;RIGHT(B2732,2)&amp;"/"&amp;RIGHT(B2732,2)+1),""))</f>
        <v>FY 20/21</v>
      </c>
      <c r="B2732" s="152">
        <v>2020</v>
      </c>
      <c r="C2732" s="152">
        <v>9</v>
      </c>
      <c r="D2732" s="33" t="str">
        <f t="shared" ref="D2732:D2795" si="828">IF(B2732="","",IF(AND(C2732&gt;=10,C2732&lt;=12),"Q3",IF(AND(C2732&gt;=1,C2732&lt;=3),"Q4",IF(AND(C2732&gt;=7,C2732&lt;=9),"Q2",IF(AND(C2732&gt;=4,C2732&lt;=6),"Q1")))))</f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ref="I2732:I2795" si="829">IFERROR(IF(F2732="","",IF(F2732="TBA","TBA",IF(F2732="Cancel","Cancel",IF(AND(G2732&gt;=10,G2732&lt;=12),"Q3",IF(AND(G2732&gt;=1,G2732&lt;=3),"Q4",IF(AND(G2732&gt;=7,G2732&lt;=9),"Q2",IF(AND(G2732&gt;=4,G2732&lt;=6),"Q1"))))))),"")</f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ref="P2732:P2795" si="830">IF(M2732="","",IF(AND(N2732&gt;0,L2732&lt;&gt;""),"MAIN UNIT",IF(AND(O2732&gt;0,L2732&lt;&gt;""),"SERVICE/ PARTS","C66 SERVICE/OTHERS")))</f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25"/>
        <v>7448000</v>
      </c>
      <c r="AA2732" s="13">
        <v>7.6100000000000001E-2</v>
      </c>
      <c r="AB2732" s="21">
        <f t="shared" ref="AB2732:AB2795" si="831">IF(AND(R2732&lt;&gt;"C66",R2732&lt;&gt;""),Z2732/Y2732*AA2732,"")</f>
        <v>566792.80000000005</v>
      </c>
      <c r="AC2732" s="130">
        <f t="shared" ref="AC2732:AC2795" si="832">IF(R2732&lt;&gt;"",AB2732*AD2732,"")</f>
        <v>68185.173840000003</v>
      </c>
      <c r="AD2732" s="169">
        <v>0.1203</v>
      </c>
      <c r="AE2732" s="154">
        <f t="shared" ref="AE2732:AE2795" si="833">IF(Q2732="","",IF(Q2732="Yes",1,0))</f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23"/>
        <v>44078731.611185849</v>
      </c>
      <c r="AJ2732" s="19">
        <f t="shared" si="824"/>
        <v>5508173.2163771465</v>
      </c>
      <c r="AK2732" s="20">
        <f t="shared" ref="AK2732:AK2795" si="834">IF(AJ2732&gt;0,AJ2732/AI2732,"")</f>
        <v>0.12496215328889679</v>
      </c>
      <c r="AL2732" s="17"/>
      <c r="AM2732" s="17"/>
      <c r="AN2732" s="17"/>
      <c r="AO2732" s="17"/>
      <c r="AP2732" s="28" t="str">
        <f t="shared" ref="AP2732:AP2795" si="835">IF(F2732="","",F2732&amp;G2732)</f>
        <v>202011</v>
      </c>
      <c r="AQ2732" s="28" t="str">
        <f t="shared" ref="AQ2732:AQ2795" si="836">IF(W2732="","",F2732&amp;G2732&amp;W2732)</f>
        <v>202011JPY</v>
      </c>
      <c r="AR2732" s="206" t="str">
        <f t="shared" ref="AR2732:AR2795" si="837">IFERROR(IF(AND(M2732="YAMAHA", R2732="C28"), "YAMAHA_Non_Mounter", IF(AND(M2732="YAMAHA", R2732="C49"), "YAMAHA_Mounter", M2732)),"")</f>
        <v>YAMAHA_Mounter</v>
      </c>
      <c r="AS2732" s="22">
        <f t="shared" ref="AS2732:AS2795" si="838">IFERROR(IF(OR(G2732="TBA", G2732=""), "", DATEDIF(DATE(B2732, C2732, 1), DATE(F2732, G2732, 1), "M")),"")</f>
        <v>2</v>
      </c>
      <c r="AT2732" s="24" t="str">
        <f t="shared" ref="AT2732:AT2795" si="839">IF(ISNUMBER(AS2732), IF(AS2732&gt;=0, IF(AS2732&lt;=3, "0-3 months", IF(AS2732&lt;=6, "4-6 months", "&gt; 6 months"))), "")</f>
        <v>0-3 months</v>
      </c>
    </row>
    <row r="2733" spans="1:46" s="12" customFormat="1">
      <c r="A2733" s="33" t="str">
        <f t="shared" si="827"/>
        <v>FY 20/21</v>
      </c>
      <c r="B2733" s="152">
        <v>2020</v>
      </c>
      <c r="C2733" s="152">
        <v>9</v>
      </c>
      <c r="D2733" s="33" t="str">
        <f t="shared" si="828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29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30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25"/>
        <v>7448000</v>
      </c>
      <c r="AA2733" s="13">
        <v>7.6100000000000001E-2</v>
      </c>
      <c r="AB2733" s="21">
        <f t="shared" si="831"/>
        <v>566792.80000000005</v>
      </c>
      <c r="AC2733" s="130">
        <f t="shared" si="832"/>
        <v>68185.173840000003</v>
      </c>
      <c r="AD2733" s="169">
        <v>0.1203</v>
      </c>
      <c r="AE2733" s="154">
        <f t="shared" si="833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23"/>
        <v>44078731.611185849</v>
      </c>
      <c r="AJ2733" s="19">
        <f t="shared" si="824"/>
        <v>5508173.2163771465</v>
      </c>
      <c r="AK2733" s="20">
        <f t="shared" si="834"/>
        <v>0.12496215328889679</v>
      </c>
      <c r="AL2733" s="17"/>
      <c r="AM2733" s="17"/>
      <c r="AN2733" s="17"/>
      <c r="AO2733" s="17"/>
      <c r="AP2733" s="28" t="str">
        <f t="shared" si="835"/>
        <v>202011</v>
      </c>
      <c r="AQ2733" s="28" t="str">
        <f t="shared" si="836"/>
        <v>202011JPY</v>
      </c>
      <c r="AR2733" s="206" t="str">
        <f t="shared" si="837"/>
        <v>YAMAHA_Mounter</v>
      </c>
      <c r="AS2733" s="22">
        <f t="shared" si="838"/>
        <v>2</v>
      </c>
      <c r="AT2733" s="24" t="str">
        <f t="shared" si="839"/>
        <v>0-3 months</v>
      </c>
    </row>
    <row r="2734" spans="1:46" s="12" customFormat="1">
      <c r="A2734" s="33" t="str">
        <f t="shared" si="827"/>
        <v>FY 20/21</v>
      </c>
      <c r="B2734" s="152">
        <v>2020</v>
      </c>
      <c r="C2734" s="152">
        <v>10</v>
      </c>
      <c r="D2734" s="33" t="str">
        <f t="shared" si="828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29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30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25"/>
        <v>6300000</v>
      </c>
      <c r="AA2734" s="13">
        <v>7.6799999999999993E-2</v>
      </c>
      <c r="AB2734" s="21">
        <f t="shared" si="831"/>
        <v>483839.99999999994</v>
      </c>
      <c r="AC2734" s="130">
        <f t="shared" si="832"/>
        <v>58593.02399999999</v>
      </c>
      <c r="AD2734" s="169">
        <v>0.1211</v>
      </c>
      <c r="AE2734" s="154">
        <f t="shared" si="833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23"/>
        <v>45803245.025628321</v>
      </c>
      <c r="AJ2734" s="19">
        <f t="shared" si="824"/>
        <v>5664636.2584379362</v>
      </c>
      <c r="AK2734" s="20">
        <f t="shared" si="834"/>
        <v>0.12367325186825515</v>
      </c>
      <c r="AL2734" s="17"/>
      <c r="AM2734" s="17"/>
      <c r="AN2734" s="17"/>
      <c r="AO2734" s="17"/>
      <c r="AP2734" s="28" t="str">
        <f t="shared" si="835"/>
        <v>20211</v>
      </c>
      <c r="AQ2734" s="28" t="str">
        <f t="shared" si="836"/>
        <v>20211JPY</v>
      </c>
      <c r="AR2734" s="206" t="str">
        <f t="shared" si="837"/>
        <v>YAMAHA_Mounter</v>
      </c>
      <c r="AS2734" s="22">
        <f t="shared" si="838"/>
        <v>3</v>
      </c>
      <c r="AT2734" s="24" t="str">
        <f t="shared" si="839"/>
        <v>0-3 months</v>
      </c>
    </row>
    <row r="2735" spans="1:46" s="12" customFormat="1">
      <c r="A2735" s="33" t="str">
        <f t="shared" si="827"/>
        <v>FY 20/21</v>
      </c>
      <c r="B2735" s="152">
        <v>2020</v>
      </c>
      <c r="C2735" s="152">
        <v>10</v>
      </c>
      <c r="D2735" s="33" t="str">
        <f t="shared" si="828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29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30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25"/>
        <v>6300000</v>
      </c>
      <c r="AA2735" s="13">
        <v>7.6799999999999993E-2</v>
      </c>
      <c r="AB2735" s="21">
        <f t="shared" si="831"/>
        <v>483839.99999999994</v>
      </c>
      <c r="AC2735" s="130">
        <f t="shared" si="832"/>
        <v>58593.02399999999</v>
      </c>
      <c r="AD2735" s="169">
        <v>0.1211</v>
      </c>
      <c r="AE2735" s="154">
        <f t="shared" si="833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23"/>
        <v>45803245.025628321</v>
      </c>
      <c r="AJ2735" s="19">
        <f t="shared" si="824"/>
        <v>5664636.2584379362</v>
      </c>
      <c r="AK2735" s="20">
        <f t="shared" si="834"/>
        <v>0.12367325186825515</v>
      </c>
      <c r="AL2735" s="17"/>
      <c r="AM2735" s="17"/>
      <c r="AN2735" s="17"/>
      <c r="AO2735" s="17"/>
      <c r="AP2735" s="28" t="str">
        <f t="shared" si="835"/>
        <v>20211</v>
      </c>
      <c r="AQ2735" s="28" t="str">
        <f t="shared" si="836"/>
        <v>20211JPY</v>
      </c>
      <c r="AR2735" s="206" t="str">
        <f t="shared" si="837"/>
        <v>YAMAHA_Mounter</v>
      </c>
      <c r="AS2735" s="22">
        <f t="shared" si="838"/>
        <v>3</v>
      </c>
      <c r="AT2735" s="24" t="str">
        <f t="shared" si="839"/>
        <v>0-3 months</v>
      </c>
    </row>
    <row r="2736" spans="1:46" s="12" customFormat="1">
      <c r="A2736" s="33" t="str">
        <f t="shared" si="827"/>
        <v>FY 20/21</v>
      </c>
      <c r="B2736" s="152">
        <v>2020</v>
      </c>
      <c r="C2736" s="152">
        <v>10</v>
      </c>
      <c r="D2736" s="33" t="str">
        <f t="shared" si="828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29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30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25"/>
        <v>9526667</v>
      </c>
      <c r="AA2736" s="13">
        <v>5.8700000000000002E-2</v>
      </c>
      <c r="AB2736" s="21">
        <f t="shared" si="831"/>
        <v>559215.35290000006</v>
      </c>
      <c r="AC2736" s="130">
        <f t="shared" si="832"/>
        <v>67720.979236190004</v>
      </c>
      <c r="AD2736" s="169">
        <v>0.1211</v>
      </c>
      <c r="AE2736" s="154">
        <f t="shared" si="833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23"/>
        <v>477651199.57437885</v>
      </c>
      <c r="AJ2736" s="19">
        <f t="shared" si="824"/>
        <v>56918800.518691957</v>
      </c>
      <c r="AK2736" s="20">
        <f t="shared" si="834"/>
        <v>0.11916394341605475</v>
      </c>
      <c r="AL2736" s="17"/>
      <c r="AM2736" s="17"/>
      <c r="AN2736" s="17"/>
      <c r="AO2736" s="17"/>
      <c r="AP2736" s="28" t="str">
        <f t="shared" si="835"/>
        <v>CancelCancel</v>
      </c>
      <c r="AQ2736" s="28" t="str">
        <f t="shared" si="836"/>
        <v>CancelCancelJPY</v>
      </c>
      <c r="AR2736" s="206" t="str">
        <f t="shared" si="837"/>
        <v>YAMAHA_Mounter</v>
      </c>
      <c r="AS2736" s="22" t="str">
        <f t="shared" si="838"/>
        <v/>
      </c>
      <c r="AT2736" s="24" t="str">
        <f t="shared" si="839"/>
        <v/>
      </c>
    </row>
    <row r="2737" spans="1:46" s="12" customFormat="1">
      <c r="A2737" s="33" t="str">
        <f t="shared" si="827"/>
        <v>FY 20/21</v>
      </c>
      <c r="B2737" s="152">
        <v>2020</v>
      </c>
      <c r="C2737" s="152">
        <v>10</v>
      </c>
      <c r="D2737" s="33" t="str">
        <f t="shared" si="828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29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30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25"/>
        <v>9526667</v>
      </c>
      <c r="AA2737" s="13">
        <v>5.8700000000000002E-2</v>
      </c>
      <c r="AB2737" s="21">
        <f t="shared" si="831"/>
        <v>559215.35290000006</v>
      </c>
      <c r="AC2737" s="130">
        <f t="shared" si="832"/>
        <v>67720.979236190004</v>
      </c>
      <c r="AD2737" s="169">
        <v>0.1211</v>
      </c>
      <c r="AE2737" s="154">
        <f t="shared" si="833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23"/>
        <v>477651199.57437885</v>
      </c>
      <c r="AJ2737" s="19">
        <f t="shared" si="824"/>
        <v>56918800.518691957</v>
      </c>
      <c r="AK2737" s="20">
        <f t="shared" si="834"/>
        <v>0.11916394341605475</v>
      </c>
      <c r="AL2737" s="17"/>
      <c r="AM2737" s="17"/>
      <c r="AN2737" s="17"/>
      <c r="AO2737" s="17"/>
      <c r="AP2737" s="28" t="str">
        <f t="shared" si="835"/>
        <v>CancelCancel</v>
      </c>
      <c r="AQ2737" s="28" t="str">
        <f t="shared" si="836"/>
        <v>CancelCancelJPY</v>
      </c>
      <c r="AR2737" s="206" t="str">
        <f t="shared" si="837"/>
        <v>YAMAHA_Mounter</v>
      </c>
      <c r="AS2737" s="22" t="str">
        <f t="shared" si="838"/>
        <v/>
      </c>
      <c r="AT2737" s="24" t="str">
        <f t="shared" si="839"/>
        <v/>
      </c>
    </row>
    <row r="2738" spans="1:46" s="12" customFormat="1">
      <c r="A2738" s="33" t="str">
        <f t="shared" si="827"/>
        <v>FY 20/21</v>
      </c>
      <c r="B2738" s="152">
        <v>2020</v>
      </c>
      <c r="C2738" s="152">
        <v>10</v>
      </c>
      <c r="D2738" s="33" t="str">
        <f t="shared" si="828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29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30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25"/>
        <v>9526667</v>
      </c>
      <c r="AA2738" s="13">
        <v>5.8700000000000002E-2</v>
      </c>
      <c r="AB2738" s="21">
        <f t="shared" si="831"/>
        <v>559215.35290000006</v>
      </c>
      <c r="AC2738" s="130">
        <f t="shared" si="832"/>
        <v>67720.979236190004</v>
      </c>
      <c r="AD2738" s="169">
        <v>0.1211</v>
      </c>
      <c r="AE2738" s="154">
        <f t="shared" si="833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23"/>
        <v>477651199.57437885</v>
      </c>
      <c r="AJ2738" s="19">
        <f t="shared" si="824"/>
        <v>56918800.518691957</v>
      </c>
      <c r="AK2738" s="20">
        <f t="shared" si="834"/>
        <v>0.11916394341605475</v>
      </c>
      <c r="AL2738" s="17"/>
      <c r="AM2738" s="17"/>
      <c r="AN2738" s="17"/>
      <c r="AO2738" s="17"/>
      <c r="AP2738" s="28" t="str">
        <f t="shared" si="835"/>
        <v>CancelCancel</v>
      </c>
      <c r="AQ2738" s="28" t="str">
        <f t="shared" si="836"/>
        <v>CancelCancelJPY</v>
      </c>
      <c r="AR2738" s="206" t="str">
        <f t="shared" si="837"/>
        <v>YAMAHA_Mounter</v>
      </c>
      <c r="AS2738" s="22" t="str">
        <f t="shared" si="838"/>
        <v/>
      </c>
      <c r="AT2738" s="24" t="str">
        <f t="shared" si="839"/>
        <v/>
      </c>
    </row>
    <row r="2739" spans="1:46" s="12" customFormat="1">
      <c r="A2739" s="33" t="str">
        <f t="shared" si="827"/>
        <v>FY 24/25</v>
      </c>
      <c r="B2739" s="23">
        <v>2024</v>
      </c>
      <c r="C2739" s="152">
        <v>4</v>
      </c>
      <c r="D2739" s="33" t="str">
        <f t="shared" si="828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29"/>
        <v>Q2</v>
      </c>
      <c r="J2739" s="188" t="s">
        <v>3406</v>
      </c>
      <c r="K2739" s="29" t="s">
        <v>396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30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397</v>
      </c>
      <c r="V2739" s="22" t="s">
        <v>81</v>
      </c>
      <c r="W2739" s="22" t="s">
        <v>110</v>
      </c>
      <c r="X2739" s="30">
        <v>15400000</v>
      </c>
      <c r="Y2739" s="31" t="str">
        <f>IF(W2739="","",IF(W2739="RMB","1.13", "1"))</f>
        <v>1</v>
      </c>
      <c r="Z2739" s="18">
        <f t="shared" si="825"/>
        <v>15400000</v>
      </c>
      <c r="AA2739" s="22">
        <v>5.2299999999999999E-2</v>
      </c>
      <c r="AB2739" s="21">
        <f t="shared" si="831"/>
        <v>805420</v>
      </c>
      <c r="AC2739" s="25">
        <f t="shared" si="832"/>
        <v>106395.98199999999</v>
      </c>
      <c r="AD2739" s="170">
        <v>0.1321</v>
      </c>
      <c r="AE2739" s="26">
        <f t="shared" si="833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23"/>
        <v>25354039.366920356</v>
      </c>
      <c r="AJ2739" s="27">
        <f t="shared" si="824"/>
        <v>3027878.5311884549</v>
      </c>
      <c r="AK2739" s="28">
        <f t="shared" si="834"/>
        <v>0.11942391061910851</v>
      </c>
      <c r="AL2739" s="24"/>
      <c r="AM2739" s="24"/>
      <c r="AN2739" s="24"/>
      <c r="AO2739" s="24"/>
      <c r="AP2739" s="28" t="str">
        <f t="shared" si="835"/>
        <v>20248</v>
      </c>
      <c r="AQ2739" s="28" t="str">
        <f t="shared" si="836"/>
        <v>20248JPY</v>
      </c>
      <c r="AR2739" s="206" t="str">
        <f t="shared" si="837"/>
        <v>YAMAHA_Mounter</v>
      </c>
      <c r="AS2739" s="22">
        <f t="shared" si="838"/>
        <v>4</v>
      </c>
      <c r="AT2739" s="24" t="str">
        <f t="shared" si="839"/>
        <v>4-6 months</v>
      </c>
    </row>
    <row r="2740" spans="1:46" s="12" customFormat="1">
      <c r="A2740" s="33" t="str">
        <f t="shared" si="827"/>
        <v>FY 24/25</v>
      </c>
      <c r="B2740" s="23">
        <v>2024</v>
      </c>
      <c r="C2740" s="152">
        <v>4</v>
      </c>
      <c r="D2740" s="33" t="str">
        <f t="shared" si="828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29"/>
        <v>Q2</v>
      </c>
      <c r="J2740" s="188" t="s">
        <v>3401</v>
      </c>
      <c r="K2740" s="29" t="s">
        <v>3402</v>
      </c>
      <c r="L2740" s="17" t="s">
        <v>93</v>
      </c>
      <c r="M2740" s="22" t="s">
        <v>61</v>
      </c>
      <c r="N2740" s="22">
        <v>1</v>
      </c>
      <c r="O2740" s="22"/>
      <c r="P2740" s="33" t="str">
        <f t="shared" si="830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1072</v>
      </c>
      <c r="V2740" s="22" t="s">
        <v>113</v>
      </c>
      <c r="W2740" s="22" t="s">
        <v>110</v>
      </c>
      <c r="X2740" s="30">
        <v>12500000</v>
      </c>
      <c r="Y2740" s="31" t="str">
        <f>IF(W2740="","",IF(W2740="RMB","1.13", "1"))</f>
        <v>1</v>
      </c>
      <c r="Z2740" s="18">
        <f t="shared" si="825"/>
        <v>12500000</v>
      </c>
      <c r="AA2740" s="22">
        <v>5.2299999999999999E-2</v>
      </c>
      <c r="AB2740" s="21">
        <f t="shared" si="831"/>
        <v>653750</v>
      </c>
      <c r="AC2740" s="25">
        <f t="shared" si="832"/>
        <v>75377.375</v>
      </c>
      <c r="AD2740" s="170">
        <v>0.1153</v>
      </c>
      <c r="AE2740" s="26">
        <f t="shared" si="833"/>
        <v>0</v>
      </c>
      <c r="AF2740" s="26" t="str">
        <f>IF(AND(COUNTIFS($J$18:J2740,J2740)=1,AE2740=1),1,"")</f>
        <v/>
      </c>
      <c r="AG2740" s="26">
        <f>IF(C2740="","",IF(AND(COUNTIFS($J$18:J2740,J2740)=1,C2740&lt;&gt;""),1,""))</f>
        <v>1</v>
      </c>
      <c r="AH2740" s="26">
        <f>IF(G2740="","",IF(AND(COUNTIFS($J$18:J2740,J2740)=1,G2740&lt;&gt;""),1,""))</f>
        <v>1</v>
      </c>
      <c r="AI2740" s="27">
        <f t="shared" si="823"/>
        <v>25354039.366920356</v>
      </c>
      <c r="AJ2740" s="27">
        <f t="shared" si="824"/>
        <v>3027878.5311884549</v>
      </c>
      <c r="AK2740" s="28">
        <f t="shared" si="834"/>
        <v>0.11942391061910851</v>
      </c>
      <c r="AL2740" s="24"/>
      <c r="AM2740" s="24"/>
      <c r="AN2740" s="24"/>
      <c r="AO2740" s="24"/>
      <c r="AP2740" s="28" t="str">
        <f t="shared" si="835"/>
        <v>20248</v>
      </c>
      <c r="AQ2740" s="28" t="str">
        <f t="shared" si="836"/>
        <v>20248JPY</v>
      </c>
      <c r="AR2740" s="206" t="str">
        <f t="shared" si="837"/>
        <v>YAMAHA_Mounter</v>
      </c>
      <c r="AS2740" s="22">
        <f t="shared" si="838"/>
        <v>4</v>
      </c>
      <c r="AT2740" s="24" t="str">
        <f t="shared" si="839"/>
        <v>4-6 months</v>
      </c>
    </row>
    <row r="2741" spans="1:46" s="12" customFormat="1">
      <c r="A2741" s="33" t="str">
        <f t="shared" si="827"/>
        <v>FY 24/25</v>
      </c>
      <c r="B2741" s="23">
        <v>2024</v>
      </c>
      <c r="C2741" s="152">
        <v>4</v>
      </c>
      <c r="D2741" s="33" t="str">
        <f t="shared" si="828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23">
        <v>8</v>
      </c>
      <c r="H2741" s="29"/>
      <c r="I2741" s="33" t="str">
        <f t="shared" si="829"/>
        <v>Q2</v>
      </c>
      <c r="J2741" s="188" t="s">
        <v>3401</v>
      </c>
      <c r="K2741" s="29" t="s">
        <v>3402</v>
      </c>
      <c r="L2741" s="17" t="s">
        <v>93</v>
      </c>
      <c r="M2741" s="22" t="s">
        <v>61</v>
      </c>
      <c r="N2741" s="22">
        <v>1</v>
      </c>
      <c r="O2741" s="22"/>
      <c r="P2741" s="33" t="str">
        <f t="shared" si="830"/>
        <v>MAIN UNIT</v>
      </c>
      <c r="Q2741" s="13" t="s">
        <v>62</v>
      </c>
      <c r="R2741" s="22" t="s">
        <v>63</v>
      </c>
      <c r="S2741" s="22" t="s">
        <v>50</v>
      </c>
      <c r="T2741" s="22" t="s">
        <v>79</v>
      </c>
      <c r="U2741" s="22" t="s">
        <v>1072</v>
      </c>
      <c r="V2741" s="22" t="s">
        <v>113</v>
      </c>
      <c r="W2741" s="22" t="s">
        <v>110</v>
      </c>
      <c r="X2741" s="30">
        <v>12500000</v>
      </c>
      <c r="Y2741" s="31" t="str">
        <f>IF(W2741="","",IF(W2741="RMB","1.13", "1"))</f>
        <v>1</v>
      </c>
      <c r="Z2741" s="18">
        <f t="shared" si="825"/>
        <v>12500000</v>
      </c>
      <c r="AA2741" s="22">
        <v>5.2299999999999999E-2</v>
      </c>
      <c r="AB2741" s="21">
        <f t="shared" si="831"/>
        <v>653750</v>
      </c>
      <c r="AC2741" s="25">
        <f t="shared" si="832"/>
        <v>75377.375</v>
      </c>
      <c r="AD2741" s="170">
        <v>0.1153</v>
      </c>
      <c r="AE2741" s="26">
        <f t="shared" si="833"/>
        <v>0</v>
      </c>
      <c r="AF2741" s="26" t="str">
        <f>IF(AND(COUNTIFS($J$18:J2741,J2741)=1,AE2741=1),1,"")</f>
        <v/>
      </c>
      <c r="AG2741" s="26" t="str">
        <f>IF(C2741="","",IF(AND(COUNTIFS($J$18:J2741,J2741)=1,C2741&lt;&gt;""),1,""))</f>
        <v/>
      </c>
      <c r="AH2741" s="26" t="str">
        <f>IF(G2741="","",IF(AND(COUNTIFS($J$18:J2741,J2741)=1,G2741&lt;&gt;""),1,""))</f>
        <v/>
      </c>
      <c r="AI2741" s="27">
        <f t="shared" si="823"/>
        <v>25354039.366920356</v>
      </c>
      <c r="AJ2741" s="27">
        <f t="shared" si="824"/>
        <v>3027878.5311884549</v>
      </c>
      <c r="AK2741" s="28">
        <f t="shared" si="834"/>
        <v>0.11942391061910851</v>
      </c>
      <c r="AL2741" s="24"/>
      <c r="AM2741" s="24"/>
      <c r="AN2741" s="24"/>
      <c r="AO2741" s="24"/>
      <c r="AP2741" s="28" t="str">
        <f t="shared" si="835"/>
        <v>20248</v>
      </c>
      <c r="AQ2741" s="28" t="str">
        <f t="shared" si="836"/>
        <v>20248JPY</v>
      </c>
      <c r="AR2741" s="206" t="str">
        <f t="shared" si="837"/>
        <v>YAMAHA_Mounter</v>
      </c>
      <c r="AS2741" s="22">
        <f t="shared" si="838"/>
        <v>4</v>
      </c>
      <c r="AT2741" s="24" t="str">
        <f t="shared" si="839"/>
        <v>4-6 months</v>
      </c>
    </row>
    <row r="2742" spans="1:46" s="12" customFormat="1">
      <c r="A2742" s="33" t="str">
        <f t="shared" si="827"/>
        <v>FY 20/21</v>
      </c>
      <c r="B2742" s="152">
        <v>2020</v>
      </c>
      <c r="C2742" s="152">
        <v>8</v>
      </c>
      <c r="D2742" s="33" t="str">
        <f t="shared" si="828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29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30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25"/>
        <v>15655000</v>
      </c>
      <c r="AA2742" s="13">
        <v>7.4899999999999994E-2</v>
      </c>
      <c r="AB2742" s="21">
        <f t="shared" si="831"/>
        <v>1172559.5</v>
      </c>
      <c r="AC2742" s="130">
        <f t="shared" si="832"/>
        <v>168379.5442</v>
      </c>
      <c r="AD2742" s="169">
        <v>0.14360000000000001</v>
      </c>
      <c r="AE2742" s="154">
        <f t="shared" si="833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23"/>
        <v>28011162.254106201</v>
      </c>
      <c r="AJ2742" s="19">
        <f t="shared" si="824"/>
        <v>3401347.1124888416</v>
      </c>
      <c r="AK2742" s="20">
        <f t="shared" si="834"/>
        <v>0.12142827497242578</v>
      </c>
      <c r="AL2742" s="17"/>
      <c r="AM2742" s="17"/>
      <c r="AN2742" s="17"/>
      <c r="AO2742" s="17"/>
      <c r="AP2742" s="28" t="str">
        <f t="shared" si="835"/>
        <v>202010</v>
      </c>
      <c r="AQ2742" s="28" t="str">
        <f t="shared" si="836"/>
        <v>202010JPY</v>
      </c>
      <c r="AR2742" s="206" t="str">
        <f t="shared" si="837"/>
        <v>YAMAHA_Mounter</v>
      </c>
      <c r="AS2742" s="22">
        <f t="shared" si="838"/>
        <v>2</v>
      </c>
      <c r="AT2742" s="24" t="str">
        <f t="shared" si="839"/>
        <v>0-3 months</v>
      </c>
    </row>
    <row r="2743" spans="1:46" s="12" customFormat="1">
      <c r="A2743" s="33" t="str">
        <f t="shared" si="827"/>
        <v>FY 20/21</v>
      </c>
      <c r="B2743" s="152">
        <v>2020</v>
      </c>
      <c r="C2743" s="152">
        <v>8</v>
      </c>
      <c r="D2743" s="33" t="str">
        <f t="shared" si="828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29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30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25"/>
        <v>15655000</v>
      </c>
      <c r="AA2743" s="13">
        <v>7.4899999999999994E-2</v>
      </c>
      <c r="AB2743" s="21">
        <f t="shared" si="831"/>
        <v>1172559.5</v>
      </c>
      <c r="AC2743" s="130">
        <f t="shared" si="832"/>
        <v>168379.5442</v>
      </c>
      <c r="AD2743" s="169">
        <v>0.14360000000000001</v>
      </c>
      <c r="AE2743" s="154">
        <f t="shared" si="833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23"/>
        <v>28011162.254106201</v>
      </c>
      <c r="AJ2743" s="19">
        <f t="shared" si="824"/>
        <v>3401347.1124888416</v>
      </c>
      <c r="AK2743" s="20">
        <f t="shared" si="834"/>
        <v>0.12142827497242578</v>
      </c>
      <c r="AL2743" s="17"/>
      <c r="AM2743" s="17"/>
      <c r="AN2743" s="17"/>
      <c r="AO2743" s="17"/>
      <c r="AP2743" s="28" t="str">
        <f t="shared" si="835"/>
        <v>202010</v>
      </c>
      <c r="AQ2743" s="28" t="str">
        <f t="shared" si="836"/>
        <v>202010JPY</v>
      </c>
      <c r="AR2743" s="206" t="str">
        <f t="shared" si="837"/>
        <v>YAMAHA_Mounter</v>
      </c>
      <c r="AS2743" s="22">
        <f t="shared" si="838"/>
        <v>2</v>
      </c>
      <c r="AT2743" s="24" t="str">
        <f t="shared" si="839"/>
        <v>0-3 months</v>
      </c>
    </row>
    <row r="2744" spans="1:46" s="12" customFormat="1">
      <c r="A2744" s="33" t="str">
        <f t="shared" si="827"/>
        <v>FY 20/21</v>
      </c>
      <c r="B2744" s="152">
        <v>2020</v>
      </c>
      <c r="C2744" s="152">
        <v>8</v>
      </c>
      <c r="D2744" s="33" t="str">
        <f t="shared" si="828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29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30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25"/>
        <v>7827500</v>
      </c>
      <c r="AA2744" s="13">
        <v>7.4899999999999994E-2</v>
      </c>
      <c r="AB2744" s="21">
        <f t="shared" si="831"/>
        <v>586279.75</v>
      </c>
      <c r="AC2744" s="130">
        <f t="shared" si="832"/>
        <v>84189.772100000002</v>
      </c>
      <c r="AD2744" s="169">
        <v>0.14360000000000001</v>
      </c>
      <c r="AE2744" s="154">
        <f t="shared" si="833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23"/>
        <v>28011162.254106201</v>
      </c>
      <c r="AJ2744" s="19">
        <f t="shared" si="824"/>
        <v>3401347.1124888416</v>
      </c>
      <c r="AK2744" s="20">
        <f t="shared" si="834"/>
        <v>0.12142827497242578</v>
      </c>
      <c r="AL2744" s="17"/>
      <c r="AM2744" s="17"/>
      <c r="AN2744" s="17"/>
      <c r="AO2744" s="17"/>
      <c r="AP2744" s="28" t="str">
        <f t="shared" si="835"/>
        <v>202010</v>
      </c>
      <c r="AQ2744" s="28" t="str">
        <f t="shared" si="836"/>
        <v>202010JPY</v>
      </c>
      <c r="AR2744" s="206" t="str">
        <f t="shared" si="837"/>
        <v>YAMAHA_Mounter</v>
      </c>
      <c r="AS2744" s="22">
        <f t="shared" si="838"/>
        <v>2</v>
      </c>
      <c r="AT2744" s="24" t="str">
        <f t="shared" si="839"/>
        <v>0-3 months</v>
      </c>
    </row>
    <row r="2745" spans="1:46" s="12" customFormat="1">
      <c r="A2745" s="33" t="str">
        <f t="shared" si="827"/>
        <v>FY 20/21</v>
      </c>
      <c r="B2745" s="152">
        <v>2020</v>
      </c>
      <c r="C2745" s="152">
        <v>8</v>
      </c>
      <c r="D2745" s="33" t="str">
        <f t="shared" si="828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29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30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25"/>
        <v>7827500</v>
      </c>
      <c r="AA2745" s="13">
        <v>7.4899999999999994E-2</v>
      </c>
      <c r="AB2745" s="21">
        <f t="shared" si="831"/>
        <v>586279.75</v>
      </c>
      <c r="AC2745" s="130">
        <f t="shared" si="832"/>
        <v>84189.772100000002</v>
      </c>
      <c r="AD2745" s="169">
        <v>0.14360000000000001</v>
      </c>
      <c r="AE2745" s="154">
        <f t="shared" si="833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23"/>
        <v>47907808.356810622</v>
      </c>
      <c r="AJ2745" s="19">
        <f t="shared" si="824"/>
        <v>6027384.8806384448</v>
      </c>
      <c r="AK2745" s="20">
        <f t="shared" si="834"/>
        <v>0.12581216063459488</v>
      </c>
      <c r="AL2745" s="17"/>
      <c r="AM2745" s="17"/>
      <c r="AN2745" s="17"/>
      <c r="AO2745" s="17"/>
      <c r="AP2745" s="28" t="str">
        <f t="shared" si="835"/>
        <v>20209</v>
      </c>
      <c r="AQ2745" s="28" t="str">
        <f t="shared" si="836"/>
        <v>20209JPY</v>
      </c>
      <c r="AR2745" s="206" t="str">
        <f t="shared" si="837"/>
        <v>YAMAHA_Mounter</v>
      </c>
      <c r="AS2745" s="22">
        <f t="shared" si="838"/>
        <v>1</v>
      </c>
      <c r="AT2745" s="24" t="str">
        <f t="shared" si="839"/>
        <v>0-3 months</v>
      </c>
    </row>
    <row r="2746" spans="1:46" s="12" customFormat="1">
      <c r="A2746" s="33" t="str">
        <f t="shared" si="827"/>
        <v>FY 20/21</v>
      </c>
      <c r="B2746" s="152">
        <v>2020</v>
      </c>
      <c r="C2746" s="152">
        <v>8</v>
      </c>
      <c r="D2746" s="33" t="str">
        <f t="shared" si="828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29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30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25"/>
        <v>7827500</v>
      </c>
      <c r="AA2746" s="13">
        <v>7.4899999999999994E-2</v>
      </c>
      <c r="AB2746" s="21">
        <f t="shared" si="831"/>
        <v>586279.75</v>
      </c>
      <c r="AC2746" s="130">
        <f t="shared" si="832"/>
        <v>84189.772100000002</v>
      </c>
      <c r="AD2746" s="169">
        <v>0.14360000000000001</v>
      </c>
      <c r="AE2746" s="154">
        <f t="shared" si="833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23"/>
        <v>47907808.356810622</v>
      </c>
      <c r="AJ2746" s="19">
        <f t="shared" si="824"/>
        <v>6027384.8806384448</v>
      </c>
      <c r="AK2746" s="20">
        <f t="shared" si="834"/>
        <v>0.12581216063459488</v>
      </c>
      <c r="AL2746" s="17"/>
      <c r="AM2746" s="17"/>
      <c r="AN2746" s="17"/>
      <c r="AO2746" s="17"/>
      <c r="AP2746" s="28" t="str">
        <f t="shared" si="835"/>
        <v>20209</v>
      </c>
      <c r="AQ2746" s="28" t="str">
        <f t="shared" si="836"/>
        <v>20209JPY</v>
      </c>
      <c r="AR2746" s="206" t="str">
        <f t="shared" si="837"/>
        <v>YAMAHA_Mounter</v>
      </c>
      <c r="AS2746" s="22">
        <f t="shared" si="838"/>
        <v>1</v>
      </c>
      <c r="AT2746" s="24" t="str">
        <f t="shared" si="839"/>
        <v>0-3 months</v>
      </c>
    </row>
    <row r="2747" spans="1:46" s="12" customFormat="1">
      <c r="A2747" s="33" t="str">
        <f t="shared" si="827"/>
        <v>FY 20/21</v>
      </c>
      <c r="B2747" s="152">
        <v>2020</v>
      </c>
      <c r="C2747" s="152">
        <v>8</v>
      </c>
      <c r="D2747" s="33" t="str">
        <f t="shared" si="828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29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30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25"/>
        <v>7827500</v>
      </c>
      <c r="AA2747" s="13">
        <v>7.4899999999999994E-2</v>
      </c>
      <c r="AB2747" s="21">
        <f t="shared" si="831"/>
        <v>586279.75</v>
      </c>
      <c r="AC2747" s="130">
        <f t="shared" si="832"/>
        <v>84189.772100000002</v>
      </c>
      <c r="AD2747" s="169">
        <v>0.14360000000000001</v>
      </c>
      <c r="AE2747" s="154">
        <f t="shared" si="833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23"/>
        <v>47907808.356810622</v>
      </c>
      <c r="AJ2747" s="19">
        <f t="shared" si="824"/>
        <v>6027384.8806384448</v>
      </c>
      <c r="AK2747" s="20">
        <f t="shared" si="834"/>
        <v>0.12581216063459488</v>
      </c>
      <c r="AL2747" s="17"/>
      <c r="AM2747" s="17"/>
      <c r="AN2747" s="17"/>
      <c r="AO2747" s="17"/>
      <c r="AP2747" s="28" t="str">
        <f t="shared" si="835"/>
        <v>20209</v>
      </c>
      <c r="AQ2747" s="28" t="str">
        <f t="shared" si="836"/>
        <v>20209JPY</v>
      </c>
      <c r="AR2747" s="206" t="str">
        <f t="shared" si="837"/>
        <v>YAMAHA_Mounter</v>
      </c>
      <c r="AS2747" s="22">
        <f t="shared" si="838"/>
        <v>1</v>
      </c>
      <c r="AT2747" s="24" t="str">
        <f t="shared" si="839"/>
        <v>0-3 months</v>
      </c>
    </row>
    <row r="2748" spans="1:46" s="12" customFormat="1">
      <c r="A2748" s="33" t="str">
        <f t="shared" si="827"/>
        <v>FY 24/25</v>
      </c>
      <c r="B2748" s="23">
        <v>2024</v>
      </c>
      <c r="C2748" s="152">
        <v>5</v>
      </c>
      <c r="D2748" s="202" t="str">
        <f t="shared" si="828"/>
        <v>Q1</v>
      </c>
      <c r="E2748" s="33" t="s">
        <v>3173</v>
      </c>
      <c r="F2748" s="152">
        <v>2024</v>
      </c>
      <c r="G2748" s="23">
        <v>9</v>
      </c>
      <c r="H2748" s="29"/>
      <c r="I2748" s="202" t="str">
        <f t="shared" si="829"/>
        <v>Q2</v>
      </c>
      <c r="J2748" s="188" t="s">
        <v>3436</v>
      </c>
      <c r="K2748" s="29" t="s">
        <v>3437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30"/>
        <v>MAIN UNIT</v>
      </c>
      <c r="Q2748" s="22" t="s">
        <v>62</v>
      </c>
      <c r="R2748" s="22" t="s">
        <v>63</v>
      </c>
      <c r="S2748" s="22" t="s">
        <v>50</v>
      </c>
      <c r="T2748" s="22" t="s">
        <v>79</v>
      </c>
      <c r="U2748" s="22" t="s">
        <v>79</v>
      </c>
      <c r="V2748" s="22" t="s">
        <v>312</v>
      </c>
      <c r="W2748" s="22" t="s">
        <v>110</v>
      </c>
      <c r="X2748" s="104">
        <v>8250000</v>
      </c>
      <c r="Y2748" s="195" t="str">
        <f>IF(W2748="","",IF(W2748="RMB","1.13", "1"))</f>
        <v>1</v>
      </c>
      <c r="Z2748" s="196">
        <f t="shared" si="825"/>
        <v>8250000</v>
      </c>
      <c r="AA2748" s="22">
        <v>5.5100000000000003E-2</v>
      </c>
      <c r="AB2748" s="197">
        <f t="shared" si="831"/>
        <v>454575</v>
      </c>
      <c r="AC2748" s="198">
        <f t="shared" si="832"/>
        <v>44002.86</v>
      </c>
      <c r="AD2748" s="170">
        <v>9.6799999999999997E-2</v>
      </c>
      <c r="AE2748" s="199">
        <f t="shared" si="833"/>
        <v>0</v>
      </c>
      <c r="AF2748" s="199" t="str">
        <f>IF(AND(COUNTIFS($J$18:J2748,J2748)=1,AE2748=1),1,"")</f>
        <v/>
      </c>
      <c r="AG2748" s="199">
        <f>IF(C2748="","",IF(AND(COUNTIFS($J$18:J2748,J2748)=1,C2748&lt;&gt;""),1,""))</f>
        <v>1</v>
      </c>
      <c r="AH2748" s="199">
        <f>IF(G2748="","",IF(AND(COUNTIFS($J$18:J2748,J2748)=1,G2748&lt;&gt;""),1,""))</f>
        <v>1</v>
      </c>
      <c r="AI2748" s="200">
        <f t="shared" si="823"/>
        <v>35931087.732566379</v>
      </c>
      <c r="AJ2748" s="200">
        <f t="shared" si="824"/>
        <v>4346699.6584161064</v>
      </c>
      <c r="AK2748" s="201">
        <f t="shared" si="834"/>
        <v>0.12097322771769156</v>
      </c>
      <c r="AL2748" s="24"/>
      <c r="AM2748" s="24"/>
      <c r="AN2748" s="24"/>
      <c r="AO2748" s="24"/>
      <c r="AP2748" s="105" t="str">
        <f t="shared" si="835"/>
        <v>20249</v>
      </c>
      <c r="AQ2748" s="28" t="str">
        <f t="shared" si="836"/>
        <v>20249JPY</v>
      </c>
      <c r="AR2748" s="206" t="str">
        <f t="shared" si="837"/>
        <v>YAMAHA_Mounter</v>
      </c>
      <c r="AS2748" s="22">
        <f t="shared" si="838"/>
        <v>4</v>
      </c>
      <c r="AT2748" s="24" t="str">
        <f t="shared" si="839"/>
        <v>4-6 months</v>
      </c>
    </row>
    <row r="2749" spans="1:46" s="12" customFormat="1">
      <c r="A2749" s="33" t="str">
        <f t="shared" si="827"/>
        <v>FY 24/25</v>
      </c>
      <c r="B2749" s="23">
        <v>2024</v>
      </c>
      <c r="C2749" s="152">
        <v>4</v>
      </c>
      <c r="D2749" s="33" t="str">
        <f t="shared" si="828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29"/>
        <v>Q2</v>
      </c>
      <c r="J2749" s="188" t="s">
        <v>3391</v>
      </c>
      <c r="K2749" s="29" t="s">
        <v>3392</v>
      </c>
      <c r="L2749" s="17" t="s">
        <v>93</v>
      </c>
      <c r="M2749" s="22" t="s">
        <v>61</v>
      </c>
      <c r="N2749" s="22">
        <v>1</v>
      </c>
      <c r="O2749" s="22"/>
      <c r="P2749" s="33" t="str">
        <f t="shared" si="830"/>
        <v>MAIN UNIT</v>
      </c>
      <c r="Q2749" s="13" t="s">
        <v>69</v>
      </c>
      <c r="R2749" s="22" t="s">
        <v>63</v>
      </c>
      <c r="S2749" s="22" t="s">
        <v>50</v>
      </c>
      <c r="T2749" s="22" t="s">
        <v>79</v>
      </c>
      <c r="U2749" s="22" t="s">
        <v>79</v>
      </c>
      <c r="V2749" s="22" t="s">
        <v>2535</v>
      </c>
      <c r="W2749" s="22" t="s">
        <v>110</v>
      </c>
      <c r="X2749" s="30">
        <v>13530000</v>
      </c>
      <c r="Y2749" s="31" t="str">
        <f>IF(W2749="","",IF(W2749="RMB","1.13", "1"))</f>
        <v>1</v>
      </c>
      <c r="Z2749" s="18">
        <f t="shared" si="825"/>
        <v>13530000</v>
      </c>
      <c r="AA2749" s="22">
        <v>5.2299999999999999E-2</v>
      </c>
      <c r="AB2749" s="21">
        <f t="shared" si="831"/>
        <v>707619</v>
      </c>
      <c r="AC2749" s="25">
        <f t="shared" si="832"/>
        <v>75998.280599999998</v>
      </c>
      <c r="AD2749" s="170">
        <v>0.1074</v>
      </c>
      <c r="AE2749" s="26">
        <f t="shared" si="833"/>
        <v>1</v>
      </c>
      <c r="AF2749" s="26">
        <f>IF(AND(COUNTIFS($J$18:J2749,J2749)=1,AE2749=1),1,"")</f>
        <v>1</v>
      </c>
      <c r="AG2749" s="26">
        <f>IF(C2749="","",IF(AND(COUNTIFS($J$18:J2749,J2749)=1,C2749&lt;&gt;""),1,""))</f>
        <v>1</v>
      </c>
      <c r="AH2749" s="26">
        <f>IF(G2749="","",IF(AND(COUNTIFS($J$18:J2749,J2749)=1,G2749&lt;&gt;""),1,""))</f>
        <v>1</v>
      </c>
      <c r="AI2749" s="27">
        <f t="shared" si="823"/>
        <v>25354039.366920356</v>
      </c>
      <c r="AJ2749" s="27">
        <f t="shared" si="824"/>
        <v>3027878.5311884549</v>
      </c>
      <c r="AK2749" s="28">
        <f t="shared" si="834"/>
        <v>0.11942391061910851</v>
      </c>
      <c r="AL2749" s="24"/>
      <c r="AM2749" s="24"/>
      <c r="AN2749" s="24"/>
      <c r="AO2749" s="24"/>
      <c r="AP2749" s="28" t="str">
        <f t="shared" si="835"/>
        <v>20248</v>
      </c>
      <c r="AQ2749" s="28" t="str">
        <f t="shared" si="836"/>
        <v>20248JPY</v>
      </c>
      <c r="AR2749" s="206" t="str">
        <f t="shared" si="837"/>
        <v>YAMAHA_Mounter</v>
      </c>
      <c r="AS2749" s="22">
        <f t="shared" si="838"/>
        <v>4</v>
      </c>
      <c r="AT2749" s="24" t="str">
        <f t="shared" si="839"/>
        <v>4-6 months</v>
      </c>
    </row>
    <row r="2750" spans="1:46" s="12" customFormat="1">
      <c r="A2750" s="33" t="str">
        <f t="shared" si="827"/>
        <v>FY 24/25</v>
      </c>
      <c r="B2750" s="23">
        <v>2024</v>
      </c>
      <c r="C2750" s="152">
        <v>5</v>
      </c>
      <c r="D2750" s="202" t="str">
        <f t="shared" si="828"/>
        <v>Q1</v>
      </c>
      <c r="E2750" s="33" t="s">
        <v>3173</v>
      </c>
      <c r="F2750" s="152">
        <v>2024</v>
      </c>
      <c r="G2750" s="23">
        <v>8</v>
      </c>
      <c r="H2750" s="29"/>
      <c r="I2750" s="202" t="str">
        <f t="shared" si="829"/>
        <v>Q2</v>
      </c>
      <c r="J2750" s="188" t="s">
        <v>3432</v>
      </c>
      <c r="K2750" s="29" t="s">
        <v>3433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30"/>
        <v>MAIN UNIT</v>
      </c>
      <c r="Q2750" s="22" t="s">
        <v>3434</v>
      </c>
      <c r="R2750" s="22" t="s">
        <v>63</v>
      </c>
      <c r="S2750" s="22" t="s">
        <v>50</v>
      </c>
      <c r="T2750" s="22" t="s">
        <v>79</v>
      </c>
      <c r="U2750" s="22" t="s">
        <v>1072</v>
      </c>
      <c r="V2750" s="22" t="s">
        <v>312</v>
      </c>
      <c r="W2750" s="22" t="s">
        <v>110</v>
      </c>
      <c r="X2750" s="104">
        <v>11000000</v>
      </c>
      <c r="Y2750" s="195" t="str">
        <f>IF(W2750="","",IF(W2750="RMB","1.13", "1"))</f>
        <v>1</v>
      </c>
      <c r="Z2750" s="196">
        <f t="shared" si="825"/>
        <v>11000000</v>
      </c>
      <c r="AA2750" s="22">
        <v>5.2299999999999999E-2</v>
      </c>
      <c r="AB2750" s="197">
        <f t="shared" si="831"/>
        <v>575300</v>
      </c>
      <c r="AC2750" s="198">
        <f t="shared" si="832"/>
        <v>111953.37999999999</v>
      </c>
      <c r="AD2750" s="170">
        <v>0.1946</v>
      </c>
      <c r="AE2750" s="199">
        <f t="shared" si="833"/>
        <v>1</v>
      </c>
      <c r="AF2750" s="199">
        <f>IF(AND(COUNTIFS($J$18:J2750,J2750)=1,AE2750=1),1,"")</f>
        <v>1</v>
      </c>
      <c r="AG2750" s="199">
        <f>IF(C2750="","",IF(AND(COUNTIFS($J$18:J2750,J2750)=1,C2750&lt;&gt;""),1,""))</f>
        <v>1</v>
      </c>
      <c r="AH2750" s="199">
        <f>IF(G2750="","",IF(AND(COUNTIFS($J$18:J2750,J2750)=1,G2750&lt;&gt;""),1,""))</f>
        <v>1</v>
      </c>
      <c r="AI2750" s="200">
        <f t="shared" si="823"/>
        <v>25354039.366920356</v>
      </c>
      <c r="AJ2750" s="200">
        <f t="shared" si="824"/>
        <v>3027878.5311884549</v>
      </c>
      <c r="AK2750" s="201">
        <f t="shared" si="834"/>
        <v>0.11942391061910851</v>
      </c>
      <c r="AL2750" s="24"/>
      <c r="AM2750" s="24"/>
      <c r="AN2750" s="24"/>
      <c r="AO2750" s="24"/>
      <c r="AP2750" s="105" t="str">
        <f t="shared" si="835"/>
        <v>20248</v>
      </c>
      <c r="AQ2750" s="28" t="str">
        <f t="shared" si="836"/>
        <v>20248JPY</v>
      </c>
      <c r="AR2750" s="206" t="str">
        <f t="shared" si="837"/>
        <v>YAMAHA_Mounter</v>
      </c>
      <c r="AS2750" s="22">
        <f t="shared" si="838"/>
        <v>3</v>
      </c>
      <c r="AT2750" s="24" t="str">
        <f t="shared" si="839"/>
        <v>0-3 months</v>
      </c>
    </row>
    <row r="2751" spans="1:46" s="12" customFormat="1">
      <c r="A2751" s="33" t="str">
        <f t="shared" si="827"/>
        <v>FY 24/25</v>
      </c>
      <c r="B2751" s="23">
        <v>2024</v>
      </c>
      <c r="C2751" s="152">
        <v>5</v>
      </c>
      <c r="D2751" s="202" t="str">
        <f t="shared" si="828"/>
        <v>Q1</v>
      </c>
      <c r="E2751" s="33" t="s">
        <v>3173</v>
      </c>
      <c r="F2751" s="152">
        <v>2024</v>
      </c>
      <c r="G2751" s="23">
        <v>8</v>
      </c>
      <c r="H2751" s="29"/>
      <c r="I2751" s="202" t="str">
        <f t="shared" si="829"/>
        <v>Q2</v>
      </c>
      <c r="J2751" s="188" t="s">
        <v>3425</v>
      </c>
      <c r="K2751" s="29" t="s">
        <v>1708</v>
      </c>
      <c r="L2751" s="17" t="s">
        <v>93</v>
      </c>
      <c r="M2751" s="22" t="s">
        <v>61</v>
      </c>
      <c r="N2751" s="22">
        <v>1</v>
      </c>
      <c r="O2751" s="22"/>
      <c r="P2751" s="33" t="str">
        <f t="shared" si="830"/>
        <v>MAIN UNIT</v>
      </c>
      <c r="Q2751" s="13" t="s">
        <v>62</v>
      </c>
      <c r="R2751" s="22" t="s">
        <v>63</v>
      </c>
      <c r="S2751" s="22" t="s">
        <v>50</v>
      </c>
      <c r="T2751" s="22" t="s">
        <v>79</v>
      </c>
      <c r="U2751" s="22" t="s">
        <v>121</v>
      </c>
      <c r="V2751" s="22" t="s">
        <v>122</v>
      </c>
      <c r="W2751" s="22" t="s">
        <v>110</v>
      </c>
      <c r="X2751" s="104">
        <v>12900000</v>
      </c>
      <c r="Y2751" s="195" t="str">
        <f>IF(W2751="","",IF(W2751="RMB","1.13", "1"))</f>
        <v>1</v>
      </c>
      <c r="Z2751" s="196">
        <f t="shared" si="825"/>
        <v>12900000</v>
      </c>
      <c r="AA2751" s="22">
        <v>5.2299999999999999E-2</v>
      </c>
      <c r="AB2751" s="197">
        <f t="shared" si="831"/>
        <v>674670</v>
      </c>
      <c r="AC2751" s="198">
        <f t="shared" si="832"/>
        <v>55390.407000000007</v>
      </c>
      <c r="AD2751" s="169">
        <v>8.2100000000000006E-2</v>
      </c>
      <c r="AE2751" s="199">
        <f t="shared" si="833"/>
        <v>0</v>
      </c>
      <c r="AF2751" s="199" t="str">
        <f>IF(AND(COUNTIFS($J$18:J2751,J2751)=1,AE2751=1),1,"")</f>
        <v/>
      </c>
      <c r="AG2751" s="199">
        <f>IF(C2751="","",IF(AND(COUNTIFS($J$18:J2751,J2751)=1,C2751&lt;&gt;""),1,""))</f>
        <v>1</v>
      </c>
      <c r="AH2751" s="199">
        <f>IF(G2751="","",IF(AND(COUNTIFS($J$18:J2751,J2751)=1,G2751&lt;&gt;""),1,""))</f>
        <v>1</v>
      </c>
      <c r="AI2751" s="200">
        <f t="shared" si="823"/>
        <v>25354039.366920356</v>
      </c>
      <c r="AJ2751" s="200">
        <f t="shared" si="824"/>
        <v>3027878.5311884549</v>
      </c>
      <c r="AK2751" s="201">
        <f t="shared" si="834"/>
        <v>0.11942391061910851</v>
      </c>
      <c r="AL2751" s="24"/>
      <c r="AM2751" s="24"/>
      <c r="AN2751" s="24"/>
      <c r="AO2751" s="24"/>
      <c r="AP2751" s="105" t="str">
        <f t="shared" si="835"/>
        <v>20248</v>
      </c>
      <c r="AQ2751" s="28" t="str">
        <f t="shared" si="836"/>
        <v>20248JPY</v>
      </c>
      <c r="AR2751" s="206" t="str">
        <f t="shared" si="837"/>
        <v>YAMAHA_Mounter</v>
      </c>
      <c r="AS2751" s="22">
        <f t="shared" si="838"/>
        <v>3</v>
      </c>
      <c r="AT2751" s="24" t="str">
        <f t="shared" si="839"/>
        <v>0-3 months</v>
      </c>
    </row>
    <row r="2752" spans="1:46" s="12" customFormat="1">
      <c r="A2752" s="33" t="str">
        <f t="shared" si="827"/>
        <v>FY 20/21</v>
      </c>
      <c r="B2752" s="152">
        <v>2020</v>
      </c>
      <c r="C2752" s="152">
        <v>4</v>
      </c>
      <c r="D2752" s="33" t="str">
        <f t="shared" si="828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29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30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25"/>
        <v>1100000</v>
      </c>
      <c r="AA2752" s="13">
        <v>1.095</v>
      </c>
      <c r="AB2752" s="21">
        <f t="shared" si="831"/>
        <v>1065929.2035398229</v>
      </c>
      <c r="AC2752" s="130">
        <f t="shared" si="832"/>
        <v>124713.7168141593</v>
      </c>
      <c r="AD2752" s="169">
        <v>0.11700000000000001</v>
      </c>
      <c r="AE2752" s="154">
        <f t="shared" si="833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23"/>
        <v>28065694.408805311</v>
      </c>
      <c r="AJ2752" s="19">
        <f t="shared" si="824"/>
        <v>4157433.2906989697</v>
      </c>
      <c r="AK2752" s="20">
        <f t="shared" si="834"/>
        <v>0.14813220831602228</v>
      </c>
      <c r="AL2752" s="17"/>
      <c r="AM2752" s="17"/>
      <c r="AN2752" s="17"/>
      <c r="AO2752" s="17"/>
      <c r="AP2752" s="28" t="str">
        <f t="shared" si="835"/>
        <v>20205</v>
      </c>
      <c r="AQ2752" s="28" t="str">
        <f t="shared" si="836"/>
        <v>20205RMB</v>
      </c>
      <c r="AR2752" s="206" t="str">
        <f t="shared" si="837"/>
        <v>YAMAHA_Mounter</v>
      </c>
      <c r="AS2752" s="22">
        <f t="shared" si="838"/>
        <v>1</v>
      </c>
      <c r="AT2752" s="24" t="str">
        <f t="shared" si="839"/>
        <v>0-3 months</v>
      </c>
    </row>
    <row r="2753" spans="1:46" s="12" customFormat="1">
      <c r="A2753" s="33" t="str">
        <f t="shared" si="827"/>
        <v>FY 21/22</v>
      </c>
      <c r="B2753" s="152">
        <v>2021</v>
      </c>
      <c r="C2753" s="152">
        <v>5</v>
      </c>
      <c r="D2753" s="33" t="str">
        <f t="shared" si="828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29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30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25"/>
        <v>623000</v>
      </c>
      <c r="AA2753" s="13">
        <v>1.1950000000000001</v>
      </c>
      <c r="AB2753" s="21">
        <f t="shared" si="831"/>
        <v>658836.28318584082</v>
      </c>
      <c r="AC2753" s="130">
        <f t="shared" si="832"/>
        <v>136049.69247787612</v>
      </c>
      <c r="AD2753" s="169">
        <v>0.20649999999999999</v>
      </c>
      <c r="AE2753" s="154">
        <f t="shared" si="833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23"/>
        <v>44014086.982070789</v>
      </c>
      <c r="AJ2753" s="19">
        <f t="shared" si="824"/>
        <v>6419974.0221889298</v>
      </c>
      <c r="AK2753" s="20">
        <f t="shared" si="834"/>
        <v>0.14586180158193709</v>
      </c>
      <c r="AL2753" s="17"/>
      <c r="AM2753" s="17"/>
      <c r="AN2753" s="17"/>
      <c r="AO2753" s="17"/>
      <c r="AP2753" s="28" t="str">
        <f t="shared" si="835"/>
        <v>20225</v>
      </c>
      <c r="AQ2753" s="28" t="str">
        <f t="shared" si="836"/>
        <v>20225RMB</v>
      </c>
      <c r="AR2753" s="206" t="str">
        <f t="shared" si="837"/>
        <v>YAMAHA_Mounter</v>
      </c>
      <c r="AS2753" s="22">
        <f t="shared" si="838"/>
        <v>12</v>
      </c>
      <c r="AT2753" s="24" t="str">
        <f t="shared" si="839"/>
        <v>&gt; 6 months</v>
      </c>
    </row>
    <row r="2754" spans="1:46" s="12" customFormat="1">
      <c r="A2754" s="33" t="str">
        <f t="shared" si="827"/>
        <v>FY 22/23</v>
      </c>
      <c r="B2754" s="152">
        <v>2022</v>
      </c>
      <c r="C2754" s="152">
        <v>5</v>
      </c>
      <c r="D2754" s="33" t="str">
        <f t="shared" si="828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29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30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25"/>
        <v>442500</v>
      </c>
      <c r="AA2754" s="13">
        <v>1.175</v>
      </c>
      <c r="AB2754" s="21">
        <f t="shared" si="831"/>
        <v>460121.68141592928</v>
      </c>
      <c r="AC2754" s="130">
        <f t="shared" si="832"/>
        <v>76518.235619469036</v>
      </c>
      <c r="AD2754" s="169">
        <v>0.1663</v>
      </c>
      <c r="AE2754" s="154">
        <f t="shared" si="833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40">IF(P2754="C66 SERVICE","",SUMIFS(AB:AB,F:F,F2754,G:G,G2754,E:E,E2754))</f>
        <v>35682787.057522126</v>
      </c>
      <c r="AJ2754" s="19">
        <f t="shared" ref="AJ2754:AJ2817" si="841">IF(P2754="C66 SERVICE","",SUMIFS(AC:AC,F:F,F2754,G:G,G2754,E:E,E2754))</f>
        <v>5833368.3789623892</v>
      </c>
      <c r="AK2754" s="20">
        <f t="shared" si="834"/>
        <v>0.16347849649632912</v>
      </c>
      <c r="AL2754" s="17"/>
      <c r="AM2754" s="17"/>
      <c r="AN2754" s="17"/>
      <c r="AO2754" s="17"/>
      <c r="AP2754" s="28" t="str">
        <f t="shared" si="835"/>
        <v>20226</v>
      </c>
      <c r="AQ2754" s="28" t="str">
        <f t="shared" si="836"/>
        <v>20226RMB</v>
      </c>
      <c r="AR2754" s="206" t="str">
        <f t="shared" si="837"/>
        <v>YAMAHA_Mounter</v>
      </c>
      <c r="AS2754" s="22">
        <f t="shared" si="838"/>
        <v>1</v>
      </c>
      <c r="AT2754" s="24" t="str">
        <f t="shared" si="839"/>
        <v>0-3 months</v>
      </c>
    </row>
    <row r="2755" spans="1:46" s="12" customFormat="1">
      <c r="A2755" s="33" t="str">
        <f t="shared" si="827"/>
        <v>FY 18/19</v>
      </c>
      <c r="B2755" s="152">
        <v>2018</v>
      </c>
      <c r="C2755" s="152">
        <v>7</v>
      </c>
      <c r="D2755" s="33" t="str">
        <f t="shared" si="828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29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30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25"/>
        <v>265000</v>
      </c>
      <c r="AA2755" s="13">
        <v>1.1499999999999999</v>
      </c>
      <c r="AB2755" s="21">
        <f t="shared" si="831"/>
        <v>262715.5172413793</v>
      </c>
      <c r="AC2755" s="130">
        <f t="shared" si="832"/>
        <v>31736.03448275862</v>
      </c>
      <c r="AD2755" s="169">
        <v>0.1208</v>
      </c>
      <c r="AE2755" s="154">
        <f t="shared" si="833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40"/>
        <v>26754147.763010349</v>
      </c>
      <c r="AJ2755" s="19">
        <f t="shared" si="841"/>
        <v>3429137.9965357962</v>
      </c>
      <c r="AK2755" s="20">
        <f t="shared" si="834"/>
        <v>0.12817220069617921</v>
      </c>
      <c r="AL2755" s="17"/>
      <c r="AM2755" s="17"/>
      <c r="AN2755" s="17"/>
      <c r="AO2755" s="17"/>
      <c r="AP2755" s="28" t="str">
        <f t="shared" si="835"/>
        <v>20188</v>
      </c>
      <c r="AQ2755" s="28" t="str">
        <f t="shared" si="836"/>
        <v>20188RMB</v>
      </c>
      <c r="AR2755" s="206" t="str">
        <f t="shared" si="837"/>
        <v>HELLER</v>
      </c>
      <c r="AS2755" s="22">
        <f t="shared" si="838"/>
        <v>1</v>
      </c>
      <c r="AT2755" s="24" t="str">
        <f t="shared" si="839"/>
        <v>0-3 months</v>
      </c>
    </row>
    <row r="2756" spans="1:46" s="12" customFormat="1">
      <c r="A2756" s="33" t="str">
        <f t="shared" si="827"/>
        <v>FY 21/22</v>
      </c>
      <c r="B2756" s="152">
        <v>2021</v>
      </c>
      <c r="C2756" s="152">
        <v>11</v>
      </c>
      <c r="D2756" s="33" t="str">
        <f t="shared" si="828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29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30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25"/>
        <v>979000</v>
      </c>
      <c r="AA2756" s="13">
        <v>1.2150000000000001</v>
      </c>
      <c r="AB2756" s="21">
        <f t="shared" si="831"/>
        <v>1052641.5929203543</v>
      </c>
      <c r="AC2756" s="130">
        <f t="shared" si="832"/>
        <v>148317.20044247792</v>
      </c>
      <c r="AD2756" s="169">
        <v>0.1409</v>
      </c>
      <c r="AE2756" s="154">
        <f t="shared" si="833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40"/>
        <v>25380121.402654871</v>
      </c>
      <c r="AJ2756" s="19">
        <f t="shared" si="841"/>
        <v>3850343.1237796471</v>
      </c>
      <c r="AK2756" s="20">
        <f t="shared" si="834"/>
        <v>0.1517070412191521</v>
      </c>
      <c r="AL2756" s="17"/>
      <c r="AM2756" s="17"/>
      <c r="AN2756" s="17"/>
      <c r="AO2756" s="17"/>
      <c r="AP2756" s="28" t="str">
        <f t="shared" si="835"/>
        <v>202112</v>
      </c>
      <c r="AQ2756" s="28" t="str">
        <f t="shared" si="836"/>
        <v>202112RMB</v>
      </c>
      <c r="AR2756" s="206" t="str">
        <f t="shared" si="837"/>
        <v>YAMAHA_Mounter</v>
      </c>
      <c r="AS2756" s="22">
        <f t="shared" si="838"/>
        <v>1</v>
      </c>
      <c r="AT2756" s="24" t="str">
        <f t="shared" si="839"/>
        <v>0-3 months</v>
      </c>
    </row>
    <row r="2757" spans="1:46" s="12" customFormat="1">
      <c r="A2757" s="33" t="str">
        <f t="shared" si="827"/>
        <v>FY 18/19</v>
      </c>
      <c r="B2757" s="152">
        <v>2018</v>
      </c>
      <c r="C2757" s="152">
        <v>4</v>
      </c>
      <c r="D2757" s="33" t="str">
        <f t="shared" si="828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29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30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25"/>
        <v>2612000</v>
      </c>
      <c r="AA2757" s="13">
        <v>1.18</v>
      </c>
      <c r="AB2757" s="21">
        <f t="shared" si="831"/>
        <v>2657034.4827586203</v>
      </c>
      <c r="AC2757" s="130">
        <f t="shared" si="832"/>
        <v>254543.90344827581</v>
      </c>
      <c r="AD2757" s="169">
        <v>9.5799999999999996E-2</v>
      </c>
      <c r="AE2757" s="154">
        <f t="shared" si="833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40"/>
        <v>29946107.503386207</v>
      </c>
      <c r="AJ2757" s="19">
        <f t="shared" si="841"/>
        <v>3987206.4954923098</v>
      </c>
      <c r="AK2757" s="20">
        <f t="shared" si="834"/>
        <v>0.13314606898547499</v>
      </c>
      <c r="AL2757" s="17"/>
      <c r="AM2757" s="17"/>
      <c r="AN2757" s="17"/>
      <c r="AO2757" s="17"/>
      <c r="AP2757" s="28" t="str">
        <f t="shared" si="835"/>
        <v>20187</v>
      </c>
      <c r="AQ2757" s="28" t="str">
        <f t="shared" si="836"/>
        <v>20187RMB</v>
      </c>
      <c r="AR2757" s="206" t="str">
        <f t="shared" si="837"/>
        <v>YAMAHA_Mounter</v>
      </c>
      <c r="AS2757" s="22">
        <f t="shared" si="838"/>
        <v>3</v>
      </c>
      <c r="AT2757" s="24" t="str">
        <f t="shared" si="839"/>
        <v>0-3 months</v>
      </c>
    </row>
    <row r="2758" spans="1:46" s="12" customFormat="1">
      <c r="A2758" s="33" t="str">
        <f t="shared" si="827"/>
        <v>FY 18/19</v>
      </c>
      <c r="B2758" s="152">
        <v>2018</v>
      </c>
      <c r="C2758" s="152">
        <v>7</v>
      </c>
      <c r="D2758" s="33" t="str">
        <f t="shared" si="828"/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si="829"/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30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25"/>
        <v>1306000</v>
      </c>
      <c r="AA2758" s="13">
        <v>1.1399999999999999</v>
      </c>
      <c r="AB2758" s="21">
        <f t="shared" si="831"/>
        <v>1283482.7586206896</v>
      </c>
      <c r="AC2758" s="130">
        <f t="shared" si="832"/>
        <v>78677.493103448272</v>
      </c>
      <c r="AD2758" s="169">
        <v>6.13E-2</v>
      </c>
      <c r="AE2758" s="154">
        <f t="shared" si="833"/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40"/>
        <v>10786543.370020689</v>
      </c>
      <c r="AJ2758" s="19">
        <f t="shared" si="841"/>
        <v>1330367.5841569281</v>
      </c>
      <c r="AK2758" s="20">
        <f t="shared" si="834"/>
        <v>0.123335858255987</v>
      </c>
      <c r="AL2758" s="17"/>
      <c r="AM2758" s="17"/>
      <c r="AN2758" s="17"/>
      <c r="AO2758" s="17"/>
      <c r="AP2758" s="28" t="str">
        <f t="shared" si="835"/>
        <v>201810</v>
      </c>
      <c r="AQ2758" s="28" t="str">
        <f t="shared" si="836"/>
        <v>201810RMB</v>
      </c>
      <c r="AR2758" s="206" t="str">
        <f t="shared" si="837"/>
        <v>YAMAHA_Mounter</v>
      </c>
      <c r="AS2758" s="22">
        <f t="shared" si="838"/>
        <v>3</v>
      </c>
      <c r="AT2758" s="24" t="str">
        <f t="shared" si="839"/>
        <v>0-3 months</v>
      </c>
    </row>
    <row r="2759" spans="1:46" s="12" customFormat="1">
      <c r="A2759" s="33" t="str">
        <f t="shared" si="827"/>
        <v>FY 17/18</v>
      </c>
      <c r="B2759" s="152">
        <v>2018</v>
      </c>
      <c r="C2759" s="152">
        <v>3</v>
      </c>
      <c r="D2759" s="33" t="str">
        <f t="shared" si="828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9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30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25"/>
        <v>653000</v>
      </c>
      <c r="AA2759" s="13">
        <v>1.23</v>
      </c>
      <c r="AB2759" s="21">
        <f t="shared" si="831"/>
        <v>686487.1794871795</v>
      </c>
      <c r="AC2759" s="130">
        <f t="shared" si="832"/>
        <v>55948.705128205132</v>
      </c>
      <c r="AD2759" s="169">
        <v>8.1500000000000003E-2</v>
      </c>
      <c r="AE2759" s="154">
        <f t="shared" si="833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40"/>
        <v>29288201.603076916</v>
      </c>
      <c r="AJ2759" s="19">
        <f t="shared" si="841"/>
        <v>3870159.1769246152</v>
      </c>
      <c r="AK2759" s="20">
        <f t="shared" si="834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35"/>
        <v>20184</v>
      </c>
      <c r="AQ2759" s="28" t="str">
        <f t="shared" si="836"/>
        <v>20184RMB</v>
      </c>
      <c r="AR2759" s="206" t="str">
        <f t="shared" si="837"/>
        <v>YAMAHA_Mounter</v>
      </c>
      <c r="AS2759" s="22">
        <f t="shared" si="838"/>
        <v>1</v>
      </c>
      <c r="AT2759" s="24" t="str">
        <f t="shared" si="839"/>
        <v>0-3 months</v>
      </c>
    </row>
    <row r="2760" spans="1:46" s="12" customFormat="1">
      <c r="A2760" s="33" t="str">
        <f t="shared" si="827"/>
        <v>FY 18/19</v>
      </c>
      <c r="B2760" s="152">
        <v>2019</v>
      </c>
      <c r="C2760" s="152">
        <v>1</v>
      </c>
      <c r="D2760" s="33" t="str">
        <f t="shared" si="828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9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30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25"/>
        <v>1535000</v>
      </c>
      <c r="AA2760" s="13">
        <v>1.1599999999999999</v>
      </c>
      <c r="AB2760" s="21">
        <f t="shared" si="831"/>
        <v>1535000</v>
      </c>
      <c r="AC2760" s="130">
        <f t="shared" si="832"/>
        <v>144904</v>
      </c>
      <c r="AD2760" s="169">
        <v>9.4399999999999998E-2</v>
      </c>
      <c r="AE2760" s="154">
        <f t="shared" si="833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40"/>
        <v>47416008.333399981</v>
      </c>
      <c r="AJ2760" s="19">
        <f t="shared" si="841"/>
        <v>6981738.4465290187</v>
      </c>
      <c r="AK2760" s="20">
        <f t="shared" si="834"/>
        <v>0.14724433143839863</v>
      </c>
      <c r="AL2760" s="17"/>
      <c r="AM2760" s="17"/>
      <c r="AN2760" s="17"/>
      <c r="AO2760" s="17"/>
      <c r="AP2760" s="28" t="str">
        <f t="shared" si="835"/>
        <v>20193</v>
      </c>
      <c r="AQ2760" s="28" t="str">
        <f t="shared" si="836"/>
        <v>20193RMB</v>
      </c>
      <c r="AR2760" s="206" t="str">
        <f t="shared" si="837"/>
        <v>YAMAHA_Mounter</v>
      </c>
      <c r="AS2760" s="22">
        <f t="shared" si="838"/>
        <v>2</v>
      </c>
      <c r="AT2760" s="24" t="str">
        <f t="shared" si="839"/>
        <v>0-3 months</v>
      </c>
    </row>
    <row r="2761" spans="1:46" s="12" customFormat="1">
      <c r="A2761" s="33" t="str">
        <f t="shared" si="827"/>
        <v>FY 22/23</v>
      </c>
      <c r="B2761" s="152">
        <v>2022</v>
      </c>
      <c r="C2761" s="152">
        <v>5</v>
      </c>
      <c r="D2761" s="33" t="str">
        <f t="shared" si="828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9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30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25"/>
        <v>900000</v>
      </c>
      <c r="AA2761" s="13">
        <v>1.105</v>
      </c>
      <c r="AB2761" s="21">
        <f t="shared" si="831"/>
        <v>880088.49557522126</v>
      </c>
      <c r="AC2761" s="130">
        <f t="shared" si="832"/>
        <v>105610.61946902654</v>
      </c>
      <c r="AD2761" s="169">
        <v>0.12</v>
      </c>
      <c r="AE2761" s="154">
        <f t="shared" si="833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40"/>
        <v>477651199.57437885</v>
      </c>
      <c r="AJ2761" s="19">
        <f t="shared" si="841"/>
        <v>56918800.518691957</v>
      </c>
      <c r="AK2761" s="20">
        <f t="shared" si="834"/>
        <v>0.11916394341605475</v>
      </c>
      <c r="AL2761" s="17"/>
      <c r="AM2761" s="17"/>
      <c r="AN2761" s="17"/>
      <c r="AO2761" s="17"/>
      <c r="AP2761" s="28" t="str">
        <f t="shared" si="835"/>
        <v>CancelCancel</v>
      </c>
      <c r="AQ2761" s="28" t="str">
        <f t="shared" si="836"/>
        <v>CancelCancelRMB</v>
      </c>
      <c r="AR2761" s="206" t="str">
        <f t="shared" si="837"/>
        <v>YAMAHA_Mounter</v>
      </c>
      <c r="AS2761" s="22" t="str">
        <f t="shared" si="838"/>
        <v/>
      </c>
      <c r="AT2761" s="24" t="str">
        <f t="shared" si="839"/>
        <v/>
      </c>
    </row>
    <row r="2762" spans="1:46" s="12" customFormat="1">
      <c r="A2762" s="33" t="str">
        <f t="shared" si="827"/>
        <v>FY 22/23</v>
      </c>
      <c r="B2762" s="152">
        <v>2022</v>
      </c>
      <c r="C2762" s="152">
        <v>5</v>
      </c>
      <c r="D2762" s="33" t="str">
        <f t="shared" si="828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9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30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si="825"/>
        <v>570000</v>
      </c>
      <c r="AA2762" s="13">
        <v>1.105</v>
      </c>
      <c r="AB2762" s="21">
        <f t="shared" si="831"/>
        <v>557389.38053097355</v>
      </c>
      <c r="AC2762" s="130">
        <f t="shared" si="832"/>
        <v>66886.725663716818</v>
      </c>
      <c r="AD2762" s="169">
        <v>0.12</v>
      </c>
      <c r="AE2762" s="154">
        <f t="shared" si="833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40"/>
        <v>477651199.57437885</v>
      </c>
      <c r="AJ2762" s="19">
        <f t="shared" si="841"/>
        <v>56918800.518691957</v>
      </c>
      <c r="AK2762" s="20">
        <f t="shared" si="834"/>
        <v>0.11916394341605475</v>
      </c>
      <c r="AL2762" s="17"/>
      <c r="AM2762" s="17"/>
      <c r="AN2762" s="17"/>
      <c r="AO2762" s="17"/>
      <c r="AP2762" s="28" t="str">
        <f t="shared" si="835"/>
        <v>CancelCancel</v>
      </c>
      <c r="AQ2762" s="28" t="str">
        <f t="shared" si="836"/>
        <v>CancelCancelRMB</v>
      </c>
      <c r="AR2762" s="206" t="str">
        <f t="shared" si="837"/>
        <v>YAMAHA_Mounter</v>
      </c>
      <c r="AS2762" s="22" t="str">
        <f t="shared" si="838"/>
        <v/>
      </c>
      <c r="AT2762" s="24" t="str">
        <f t="shared" si="839"/>
        <v/>
      </c>
    </row>
    <row r="2763" spans="1:46" s="12" customFormat="1">
      <c r="A2763" s="33" t="str">
        <f t="shared" si="827"/>
        <v>cancel</v>
      </c>
      <c r="B2763" s="152"/>
      <c r="C2763" s="152" t="s">
        <v>186</v>
      </c>
      <c r="D2763" s="33" t="str">
        <f t="shared" si="828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9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30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25"/>
        <v>2337501</v>
      </c>
      <c r="AA2763" s="13">
        <v>1.1599999999999999</v>
      </c>
      <c r="AB2763" s="21">
        <f t="shared" si="831"/>
        <v>2399558.5486725662</v>
      </c>
      <c r="AC2763" s="130">
        <f t="shared" si="832"/>
        <v>287947.02584070794</v>
      </c>
      <c r="AD2763" s="169">
        <v>0.12</v>
      </c>
      <c r="AE2763" s="154">
        <f t="shared" si="833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40"/>
        <v>477651199.57437885</v>
      </c>
      <c r="AJ2763" s="19">
        <f t="shared" si="841"/>
        <v>56918800.518691957</v>
      </c>
      <c r="AK2763" s="20">
        <f t="shared" si="834"/>
        <v>0.11916394341605475</v>
      </c>
      <c r="AL2763" s="17"/>
      <c r="AM2763" s="17"/>
      <c r="AN2763" s="17"/>
      <c r="AO2763" s="17"/>
      <c r="AP2763" s="28" t="str">
        <f t="shared" si="835"/>
        <v>CancelCancel</v>
      </c>
      <c r="AQ2763" s="28" t="str">
        <f t="shared" si="836"/>
        <v>CancelCancelRMB</v>
      </c>
      <c r="AR2763" s="206" t="str">
        <f t="shared" si="837"/>
        <v>YAMAHA_Mounter</v>
      </c>
      <c r="AS2763" s="22" t="str">
        <f t="shared" si="838"/>
        <v/>
      </c>
      <c r="AT2763" s="24" t="str">
        <f t="shared" si="839"/>
        <v/>
      </c>
    </row>
    <row r="2764" spans="1:46" s="12" customFormat="1">
      <c r="A2764" s="33" t="str">
        <f t="shared" si="827"/>
        <v>cancel</v>
      </c>
      <c r="B2764" s="152"/>
      <c r="C2764" s="152" t="s">
        <v>186</v>
      </c>
      <c r="D2764" s="33" t="str">
        <f t="shared" si="828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9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30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25"/>
        <v>1147500</v>
      </c>
      <c r="AA2764" s="13">
        <v>1.1599999999999999</v>
      </c>
      <c r="AB2764" s="21">
        <f t="shared" si="831"/>
        <v>1177964.6017699116</v>
      </c>
      <c r="AC2764" s="130">
        <f t="shared" si="832"/>
        <v>141355.75221238937</v>
      </c>
      <c r="AD2764" s="169">
        <v>0.12</v>
      </c>
      <c r="AE2764" s="154">
        <f t="shared" si="833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40"/>
        <v>477651199.57437885</v>
      </c>
      <c r="AJ2764" s="19">
        <f t="shared" si="841"/>
        <v>56918800.518691957</v>
      </c>
      <c r="AK2764" s="20">
        <f t="shared" si="834"/>
        <v>0.11916394341605475</v>
      </c>
      <c r="AL2764" s="17"/>
      <c r="AM2764" s="17"/>
      <c r="AN2764" s="17"/>
      <c r="AO2764" s="17"/>
      <c r="AP2764" s="28" t="str">
        <f t="shared" si="835"/>
        <v>CancelCancel</v>
      </c>
      <c r="AQ2764" s="28" t="str">
        <f t="shared" si="836"/>
        <v>CancelCancelRMB</v>
      </c>
      <c r="AR2764" s="206" t="str">
        <f t="shared" si="837"/>
        <v>YAMAHA_Mounter</v>
      </c>
      <c r="AS2764" s="22" t="str">
        <f t="shared" si="838"/>
        <v/>
      </c>
      <c r="AT2764" s="24" t="str">
        <f t="shared" si="839"/>
        <v/>
      </c>
    </row>
    <row r="2765" spans="1:46" s="12" customFormat="1">
      <c r="A2765" s="33" t="str">
        <f t="shared" si="827"/>
        <v>cancel</v>
      </c>
      <c r="B2765" s="152"/>
      <c r="C2765" s="152" t="s">
        <v>186</v>
      </c>
      <c r="D2765" s="33" t="str">
        <f t="shared" si="828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9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30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25"/>
        <v>1520000</v>
      </c>
      <c r="AA2765" s="13">
        <v>1.1599999999999999</v>
      </c>
      <c r="AB2765" s="21">
        <f t="shared" si="831"/>
        <v>1560353.9823008848</v>
      </c>
      <c r="AC2765" s="130">
        <f t="shared" si="832"/>
        <v>187242.47787610616</v>
      </c>
      <c r="AD2765" s="169">
        <v>0.12</v>
      </c>
      <c r="AE2765" s="154">
        <f t="shared" si="833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40"/>
        <v>477651199.57437885</v>
      </c>
      <c r="AJ2765" s="19">
        <f t="shared" si="841"/>
        <v>56918800.518691957</v>
      </c>
      <c r="AK2765" s="20">
        <f t="shared" si="834"/>
        <v>0.11916394341605475</v>
      </c>
      <c r="AL2765" s="17"/>
      <c r="AM2765" s="17"/>
      <c r="AN2765" s="17"/>
      <c r="AO2765" s="17"/>
      <c r="AP2765" s="28" t="str">
        <f t="shared" si="835"/>
        <v>CancelCancel</v>
      </c>
      <c r="AQ2765" s="28" t="str">
        <f t="shared" si="836"/>
        <v>CancelCancelRMB</v>
      </c>
      <c r="AR2765" s="206" t="str">
        <f t="shared" si="837"/>
        <v>YAMAHA_Mounter</v>
      </c>
      <c r="AS2765" s="22" t="str">
        <f t="shared" si="838"/>
        <v/>
      </c>
      <c r="AT2765" s="24" t="str">
        <f t="shared" si="839"/>
        <v/>
      </c>
    </row>
    <row r="2766" spans="1:46" s="12" customFormat="1">
      <c r="A2766" s="33" t="str">
        <f t="shared" si="827"/>
        <v>FY 20/21</v>
      </c>
      <c r="B2766" s="152">
        <v>2020</v>
      </c>
      <c r="C2766" s="152">
        <v>9</v>
      </c>
      <c r="D2766" s="33" t="str">
        <f t="shared" si="828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9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30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25"/>
        <v>504774</v>
      </c>
      <c r="AA2766" s="13">
        <v>1.175</v>
      </c>
      <c r="AB2766" s="21">
        <f t="shared" si="831"/>
        <v>524875.61946902669</v>
      </c>
      <c r="AC2766" s="130">
        <f t="shared" si="832"/>
        <v>62092.785783185856</v>
      </c>
      <c r="AD2766" s="169">
        <v>0.1183</v>
      </c>
      <c r="AE2766" s="154">
        <f t="shared" si="833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40"/>
        <v>48763143.537654862</v>
      </c>
      <c r="AJ2766" s="19">
        <f t="shared" si="841"/>
        <v>5924029.9702154724</v>
      </c>
      <c r="AK2766" s="20">
        <f t="shared" si="834"/>
        <v>0.1214858095774925</v>
      </c>
      <c r="AL2766" s="17"/>
      <c r="AM2766" s="17"/>
      <c r="AN2766" s="17"/>
      <c r="AO2766" s="17"/>
      <c r="AP2766" s="28" t="str">
        <f t="shared" si="835"/>
        <v>202012</v>
      </c>
      <c r="AQ2766" s="28" t="str">
        <f t="shared" si="836"/>
        <v>202012RMB</v>
      </c>
      <c r="AR2766" s="206" t="str">
        <f t="shared" si="837"/>
        <v>YAMAHA_Mounter</v>
      </c>
      <c r="AS2766" s="22">
        <f t="shared" si="838"/>
        <v>3</v>
      </c>
      <c r="AT2766" s="24" t="str">
        <f t="shared" si="839"/>
        <v>0-3 months</v>
      </c>
    </row>
    <row r="2767" spans="1:46" s="12" customFormat="1">
      <c r="A2767" s="33" t="str">
        <f t="shared" si="827"/>
        <v>FY 20/21</v>
      </c>
      <c r="B2767" s="152">
        <v>2020</v>
      </c>
      <c r="C2767" s="152">
        <v>9</v>
      </c>
      <c r="D2767" s="33" t="str">
        <f t="shared" si="828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9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30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25"/>
        <v>504774</v>
      </c>
      <c r="AA2767" s="13">
        <v>1.175</v>
      </c>
      <c r="AB2767" s="21">
        <f t="shared" si="831"/>
        <v>524875.61946902669</v>
      </c>
      <c r="AC2767" s="130">
        <f t="shared" si="832"/>
        <v>62092.785783185856</v>
      </c>
      <c r="AD2767" s="169">
        <v>0.1183</v>
      </c>
      <c r="AE2767" s="154">
        <f t="shared" si="833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40"/>
        <v>48763143.537654862</v>
      </c>
      <c r="AJ2767" s="19">
        <f t="shared" si="841"/>
        <v>5924029.9702154724</v>
      </c>
      <c r="AK2767" s="20">
        <f t="shared" si="834"/>
        <v>0.1214858095774925</v>
      </c>
      <c r="AL2767" s="17"/>
      <c r="AM2767" s="17"/>
      <c r="AN2767" s="17"/>
      <c r="AO2767" s="17"/>
      <c r="AP2767" s="28" t="str">
        <f t="shared" si="835"/>
        <v>202012</v>
      </c>
      <c r="AQ2767" s="28" t="str">
        <f t="shared" si="836"/>
        <v>202012RMB</v>
      </c>
      <c r="AR2767" s="206" t="str">
        <f t="shared" si="837"/>
        <v>YAMAHA_Mounter</v>
      </c>
      <c r="AS2767" s="22">
        <f t="shared" si="838"/>
        <v>3</v>
      </c>
      <c r="AT2767" s="24" t="str">
        <f t="shared" si="839"/>
        <v>0-3 months</v>
      </c>
    </row>
    <row r="2768" spans="1:46" s="12" customFormat="1">
      <c r="A2768" s="33" t="str">
        <f t="shared" si="827"/>
        <v>FY 19/20</v>
      </c>
      <c r="B2768" s="152">
        <v>2019</v>
      </c>
      <c r="C2768" s="152">
        <v>7</v>
      </c>
      <c r="D2768" s="33" t="str">
        <f t="shared" si="828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9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30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25"/>
        <v>600687.5</v>
      </c>
      <c r="AA2768" s="13">
        <v>1.135</v>
      </c>
      <c r="AB2768" s="21">
        <f t="shared" si="831"/>
        <v>603345.4092920355</v>
      </c>
      <c r="AC2768" s="130">
        <f t="shared" si="832"/>
        <v>72401.449115044263</v>
      </c>
      <c r="AD2768" s="169">
        <v>0.12</v>
      </c>
      <c r="AE2768" s="154">
        <f t="shared" si="833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40"/>
        <v>34015877.71150443</v>
      </c>
      <c r="AJ2768" s="19">
        <f t="shared" si="841"/>
        <v>4446292.375441948</v>
      </c>
      <c r="AK2768" s="20">
        <f t="shared" si="834"/>
        <v>0.13071226364205143</v>
      </c>
      <c r="AL2768" s="17"/>
      <c r="AM2768" s="17"/>
      <c r="AN2768" s="17"/>
      <c r="AO2768" s="17"/>
      <c r="AP2768" s="28" t="str">
        <f t="shared" si="835"/>
        <v>20197</v>
      </c>
      <c r="AQ2768" s="28" t="str">
        <f t="shared" si="836"/>
        <v>20197RMB</v>
      </c>
      <c r="AR2768" s="206" t="str">
        <f t="shared" si="837"/>
        <v>YAMAHA_Mounter</v>
      </c>
      <c r="AS2768" s="22">
        <f t="shared" si="838"/>
        <v>0</v>
      </c>
      <c r="AT2768" s="24" t="str">
        <f t="shared" si="839"/>
        <v>0-3 months</v>
      </c>
    </row>
    <row r="2769" spans="1:46" s="12" customFormat="1">
      <c r="A2769" s="33" t="str">
        <f t="shared" si="827"/>
        <v>FY 19/20</v>
      </c>
      <c r="B2769" s="152">
        <v>2019</v>
      </c>
      <c r="C2769" s="152">
        <v>7</v>
      </c>
      <c r="D2769" s="33" t="str">
        <f t="shared" si="828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9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30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25"/>
        <v>600687.5</v>
      </c>
      <c r="AA2769" s="13">
        <v>1.135</v>
      </c>
      <c r="AB2769" s="21">
        <f t="shared" si="831"/>
        <v>603345.4092920355</v>
      </c>
      <c r="AC2769" s="130">
        <f t="shared" si="832"/>
        <v>72401.449115044263</v>
      </c>
      <c r="AD2769" s="169">
        <v>0.12</v>
      </c>
      <c r="AE2769" s="154">
        <f t="shared" si="833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40"/>
        <v>34015877.71150443</v>
      </c>
      <c r="AJ2769" s="19">
        <f t="shared" si="841"/>
        <v>4446292.375441948</v>
      </c>
      <c r="AK2769" s="20">
        <f t="shared" si="834"/>
        <v>0.13071226364205143</v>
      </c>
      <c r="AL2769" s="17"/>
      <c r="AM2769" s="17"/>
      <c r="AN2769" s="17"/>
      <c r="AO2769" s="17"/>
      <c r="AP2769" s="28" t="str">
        <f t="shared" si="835"/>
        <v>20197</v>
      </c>
      <c r="AQ2769" s="28" t="str">
        <f t="shared" si="836"/>
        <v>20197RMB</v>
      </c>
      <c r="AR2769" s="206" t="str">
        <f t="shared" si="837"/>
        <v>YAMAHA_Mounter</v>
      </c>
      <c r="AS2769" s="22">
        <f t="shared" si="838"/>
        <v>0</v>
      </c>
      <c r="AT2769" s="24" t="str">
        <f t="shared" si="839"/>
        <v>0-3 months</v>
      </c>
    </row>
    <row r="2770" spans="1:46" s="12" customFormat="1">
      <c r="A2770" s="33" t="str">
        <f t="shared" si="827"/>
        <v>FY 19/20</v>
      </c>
      <c r="B2770" s="152">
        <v>2019</v>
      </c>
      <c r="C2770" s="152">
        <v>7</v>
      </c>
      <c r="D2770" s="33" t="str">
        <f t="shared" si="828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9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30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25"/>
        <v>600687.5</v>
      </c>
      <c r="AA2770" s="13">
        <v>1.135</v>
      </c>
      <c r="AB2770" s="21">
        <f t="shared" si="831"/>
        <v>603345.4092920355</v>
      </c>
      <c r="AC2770" s="130">
        <f t="shared" si="832"/>
        <v>72401.449115044263</v>
      </c>
      <c r="AD2770" s="169">
        <v>0.12</v>
      </c>
      <c r="AE2770" s="154">
        <f t="shared" si="833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40"/>
        <v>34015877.71150443</v>
      </c>
      <c r="AJ2770" s="19">
        <f t="shared" si="841"/>
        <v>4446292.375441948</v>
      </c>
      <c r="AK2770" s="20">
        <f t="shared" si="834"/>
        <v>0.13071226364205143</v>
      </c>
      <c r="AL2770" s="17"/>
      <c r="AM2770" s="17"/>
      <c r="AN2770" s="17"/>
      <c r="AO2770" s="17"/>
      <c r="AP2770" s="28" t="str">
        <f t="shared" si="835"/>
        <v>20197</v>
      </c>
      <c r="AQ2770" s="28" t="str">
        <f t="shared" si="836"/>
        <v>20197RMB</v>
      </c>
      <c r="AR2770" s="206" t="str">
        <f t="shared" si="837"/>
        <v>YAMAHA_Mounter</v>
      </c>
      <c r="AS2770" s="22">
        <f t="shared" si="838"/>
        <v>0</v>
      </c>
      <c r="AT2770" s="24" t="str">
        <f t="shared" si="839"/>
        <v>0-3 months</v>
      </c>
    </row>
    <row r="2771" spans="1:46" s="12" customFormat="1">
      <c r="A2771" s="33" t="str">
        <f t="shared" si="827"/>
        <v>FY 19/20</v>
      </c>
      <c r="B2771" s="152">
        <v>2019</v>
      </c>
      <c r="C2771" s="152">
        <v>7</v>
      </c>
      <c r="D2771" s="33" t="str">
        <f t="shared" si="828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9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30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25"/>
        <v>600687.5</v>
      </c>
      <c r="AA2771" s="13">
        <v>1.135</v>
      </c>
      <c r="AB2771" s="21">
        <f t="shared" si="831"/>
        <v>603345.4092920355</v>
      </c>
      <c r="AC2771" s="130">
        <f t="shared" si="832"/>
        <v>72401.449115044263</v>
      </c>
      <c r="AD2771" s="169">
        <v>0.12</v>
      </c>
      <c r="AE2771" s="154">
        <f t="shared" si="833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40"/>
        <v>34015877.71150443</v>
      </c>
      <c r="AJ2771" s="19">
        <f t="shared" si="841"/>
        <v>4446292.375441948</v>
      </c>
      <c r="AK2771" s="20">
        <f t="shared" si="834"/>
        <v>0.13071226364205143</v>
      </c>
      <c r="AL2771" s="17"/>
      <c r="AM2771" s="17"/>
      <c r="AN2771" s="17"/>
      <c r="AO2771" s="17"/>
      <c r="AP2771" s="28" t="str">
        <f t="shared" si="835"/>
        <v>20197</v>
      </c>
      <c r="AQ2771" s="28" t="str">
        <f t="shared" si="836"/>
        <v>20197RMB</v>
      </c>
      <c r="AR2771" s="206" t="str">
        <f t="shared" si="837"/>
        <v>YAMAHA_Mounter</v>
      </c>
      <c r="AS2771" s="22">
        <f t="shared" si="838"/>
        <v>0</v>
      </c>
      <c r="AT2771" s="24" t="str">
        <f t="shared" si="839"/>
        <v>0-3 months</v>
      </c>
    </row>
    <row r="2772" spans="1:46" s="12" customFormat="1">
      <c r="A2772" s="33" t="str">
        <f t="shared" si="827"/>
        <v>FY 19/20</v>
      </c>
      <c r="B2772" s="152">
        <v>2019</v>
      </c>
      <c r="C2772" s="152">
        <v>7</v>
      </c>
      <c r="D2772" s="33" t="str">
        <f t="shared" si="828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9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30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25"/>
        <v>764375</v>
      </c>
      <c r="AA2772" s="13">
        <v>1.135</v>
      </c>
      <c r="AB2772" s="21">
        <f t="shared" si="831"/>
        <v>767757.19026548672</v>
      </c>
      <c r="AC2772" s="130">
        <f t="shared" si="832"/>
        <v>92130.862831858409</v>
      </c>
      <c r="AD2772" s="169">
        <v>0.12</v>
      </c>
      <c r="AE2772" s="154">
        <f t="shared" si="833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40"/>
        <v>34015877.71150443</v>
      </c>
      <c r="AJ2772" s="19">
        <f t="shared" si="841"/>
        <v>4446292.375441948</v>
      </c>
      <c r="AK2772" s="20">
        <f t="shared" si="834"/>
        <v>0.13071226364205143</v>
      </c>
      <c r="AL2772" s="17"/>
      <c r="AM2772" s="17"/>
      <c r="AN2772" s="17"/>
      <c r="AO2772" s="17"/>
      <c r="AP2772" s="28" t="str">
        <f t="shared" si="835"/>
        <v>20197</v>
      </c>
      <c r="AQ2772" s="28" t="str">
        <f t="shared" si="836"/>
        <v>20197RMB</v>
      </c>
      <c r="AR2772" s="206" t="str">
        <f t="shared" si="837"/>
        <v>YAMAHA_Mounter</v>
      </c>
      <c r="AS2772" s="22">
        <f t="shared" si="838"/>
        <v>0</v>
      </c>
      <c r="AT2772" s="24" t="str">
        <f t="shared" si="839"/>
        <v>0-3 months</v>
      </c>
    </row>
    <row r="2773" spans="1:46" s="12" customFormat="1">
      <c r="A2773" s="33" t="str">
        <f t="shared" si="827"/>
        <v>FY 19/20</v>
      </c>
      <c r="B2773" s="152">
        <v>2019</v>
      </c>
      <c r="C2773" s="152">
        <v>7</v>
      </c>
      <c r="D2773" s="33" t="str">
        <f t="shared" si="828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9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30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25"/>
        <v>764375</v>
      </c>
      <c r="AA2773" s="13">
        <v>1.135</v>
      </c>
      <c r="AB2773" s="21">
        <f t="shared" si="831"/>
        <v>767757.19026548672</v>
      </c>
      <c r="AC2773" s="130">
        <f t="shared" si="832"/>
        <v>92130.862831858409</v>
      </c>
      <c r="AD2773" s="169">
        <v>0.12</v>
      </c>
      <c r="AE2773" s="154">
        <f t="shared" si="833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40"/>
        <v>34015877.71150443</v>
      </c>
      <c r="AJ2773" s="19">
        <f t="shared" si="841"/>
        <v>4446292.375441948</v>
      </c>
      <c r="AK2773" s="20">
        <f t="shared" si="834"/>
        <v>0.13071226364205143</v>
      </c>
      <c r="AL2773" s="17"/>
      <c r="AM2773" s="17"/>
      <c r="AN2773" s="17"/>
      <c r="AO2773" s="17"/>
      <c r="AP2773" s="28" t="str">
        <f t="shared" si="835"/>
        <v>20197</v>
      </c>
      <c r="AQ2773" s="28" t="str">
        <f t="shared" si="836"/>
        <v>20197RMB</v>
      </c>
      <c r="AR2773" s="206" t="str">
        <f t="shared" si="837"/>
        <v>YAMAHA_Mounter</v>
      </c>
      <c r="AS2773" s="22">
        <f t="shared" si="838"/>
        <v>0</v>
      </c>
      <c r="AT2773" s="24" t="str">
        <f t="shared" si="839"/>
        <v>0-3 months</v>
      </c>
    </row>
    <row r="2774" spans="1:46" s="12" customFormat="1">
      <c r="A2774" s="33" t="str">
        <f t="shared" si="827"/>
        <v>FY 19/20</v>
      </c>
      <c r="B2774" s="152">
        <v>2019</v>
      </c>
      <c r="C2774" s="152">
        <v>5</v>
      </c>
      <c r="D2774" s="33" t="str">
        <f t="shared" si="828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9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si="830"/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ref="Z2774:Z2837" si="842">IF(X2774="","",X2774*MAX(O2774,N2774))</f>
        <v>764375</v>
      </c>
      <c r="AA2774" s="13">
        <v>1.135</v>
      </c>
      <c r="AB2774" s="21">
        <f t="shared" si="831"/>
        <v>767757.19026548672</v>
      </c>
      <c r="AC2774" s="130">
        <f t="shared" si="832"/>
        <v>62111.556692477876</v>
      </c>
      <c r="AD2774" s="169">
        <v>8.09E-2</v>
      </c>
      <c r="AE2774" s="154">
        <f t="shared" si="833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40"/>
        <v>31296887.037898075</v>
      </c>
      <c r="AJ2774" s="19">
        <f t="shared" si="841"/>
        <v>3588873.9502021763</v>
      </c>
      <c r="AK2774" s="20">
        <f t="shared" si="834"/>
        <v>0.11467191436184473</v>
      </c>
      <c r="AL2774" s="17"/>
      <c r="AM2774" s="17"/>
      <c r="AN2774" s="17"/>
      <c r="AO2774" s="17"/>
      <c r="AP2774" s="28" t="str">
        <f t="shared" si="835"/>
        <v>20196</v>
      </c>
      <c r="AQ2774" s="28" t="str">
        <f t="shared" si="836"/>
        <v>20196RMB</v>
      </c>
      <c r="AR2774" s="206" t="str">
        <f t="shared" si="837"/>
        <v>YAMAHA_Mounter</v>
      </c>
      <c r="AS2774" s="22">
        <f t="shared" si="838"/>
        <v>1</v>
      </c>
      <c r="AT2774" s="24" t="str">
        <f t="shared" si="839"/>
        <v>0-3 months</v>
      </c>
    </row>
    <row r="2775" spans="1:46" s="12" customFormat="1">
      <c r="A2775" s="33" t="str">
        <f t="shared" si="827"/>
        <v>FY 19/20</v>
      </c>
      <c r="B2775" s="152">
        <v>2019</v>
      </c>
      <c r="C2775" s="152">
        <v>5</v>
      </c>
      <c r="D2775" s="33" t="str">
        <f t="shared" si="828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9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0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42"/>
        <v>764375</v>
      </c>
      <c r="AA2775" s="13">
        <v>1.135</v>
      </c>
      <c r="AB2775" s="21">
        <f t="shared" si="831"/>
        <v>767757.19026548672</v>
      </c>
      <c r="AC2775" s="130">
        <f t="shared" si="832"/>
        <v>62111.556692477876</v>
      </c>
      <c r="AD2775" s="169">
        <v>8.09E-2</v>
      </c>
      <c r="AE2775" s="154">
        <f t="shared" si="833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40"/>
        <v>31296887.037898075</v>
      </c>
      <c r="AJ2775" s="19">
        <f t="shared" si="841"/>
        <v>3588873.9502021763</v>
      </c>
      <c r="AK2775" s="20">
        <f t="shared" si="834"/>
        <v>0.11467191436184473</v>
      </c>
      <c r="AL2775" s="17"/>
      <c r="AM2775" s="17"/>
      <c r="AN2775" s="17"/>
      <c r="AO2775" s="17"/>
      <c r="AP2775" s="28" t="str">
        <f t="shared" si="835"/>
        <v>20196</v>
      </c>
      <c r="AQ2775" s="28" t="str">
        <f t="shared" si="836"/>
        <v>20196RMB</v>
      </c>
      <c r="AR2775" s="206" t="str">
        <f t="shared" si="837"/>
        <v>YAMAHA_Mounter</v>
      </c>
      <c r="AS2775" s="22">
        <f t="shared" si="838"/>
        <v>1</v>
      </c>
      <c r="AT2775" s="24" t="str">
        <f t="shared" si="839"/>
        <v>0-3 months</v>
      </c>
    </row>
    <row r="2776" spans="1:46" s="12" customFormat="1">
      <c r="A2776" s="33" t="str">
        <f t="shared" si="827"/>
        <v>FY 19/20</v>
      </c>
      <c r="B2776" s="152">
        <v>2019</v>
      </c>
      <c r="C2776" s="152">
        <v>5</v>
      </c>
      <c r="D2776" s="33" t="str">
        <f t="shared" si="828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9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0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42"/>
        <v>613750</v>
      </c>
      <c r="AA2776" s="13">
        <v>1.135</v>
      </c>
      <c r="AB2776" s="21">
        <f t="shared" si="831"/>
        <v>616465.70796460181</v>
      </c>
      <c r="AC2776" s="130">
        <f t="shared" si="832"/>
        <v>41919.668141592927</v>
      </c>
      <c r="AD2776" s="169">
        <v>6.8000000000000005E-2</v>
      </c>
      <c r="AE2776" s="154">
        <f t="shared" si="833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40"/>
        <v>31296887.037898075</v>
      </c>
      <c r="AJ2776" s="19">
        <f t="shared" si="841"/>
        <v>3588873.9502021763</v>
      </c>
      <c r="AK2776" s="20">
        <f t="shared" si="834"/>
        <v>0.11467191436184473</v>
      </c>
      <c r="AL2776" s="17"/>
      <c r="AM2776" s="17"/>
      <c r="AN2776" s="17"/>
      <c r="AO2776" s="17"/>
      <c r="AP2776" s="28" t="str">
        <f t="shared" si="835"/>
        <v>20196</v>
      </c>
      <c r="AQ2776" s="28" t="str">
        <f t="shared" si="836"/>
        <v>20196RMB</v>
      </c>
      <c r="AR2776" s="206" t="str">
        <f t="shared" si="837"/>
        <v>YAMAHA_Mounter</v>
      </c>
      <c r="AS2776" s="22">
        <f t="shared" si="838"/>
        <v>1</v>
      </c>
      <c r="AT2776" s="24" t="str">
        <f t="shared" si="839"/>
        <v>0-3 months</v>
      </c>
    </row>
    <row r="2777" spans="1:46" s="12" customFormat="1">
      <c r="A2777" s="33" t="str">
        <f t="shared" si="827"/>
        <v>FY 19/20</v>
      </c>
      <c r="B2777" s="152">
        <v>2019</v>
      </c>
      <c r="C2777" s="152">
        <v>5</v>
      </c>
      <c r="D2777" s="33" t="str">
        <f t="shared" si="828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9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0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42"/>
        <v>760000</v>
      </c>
      <c r="AA2777" s="13">
        <v>1.135</v>
      </c>
      <c r="AB2777" s="21">
        <f t="shared" si="831"/>
        <v>763362.83185840712</v>
      </c>
      <c r="AC2777" s="130">
        <f t="shared" si="832"/>
        <v>51908.672566371686</v>
      </c>
      <c r="AD2777" s="169">
        <v>6.8000000000000005E-2</v>
      </c>
      <c r="AE2777" s="154">
        <f t="shared" si="833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40"/>
        <v>31296887.037898075</v>
      </c>
      <c r="AJ2777" s="19">
        <f t="shared" si="841"/>
        <v>3588873.9502021763</v>
      </c>
      <c r="AK2777" s="20">
        <f t="shared" si="834"/>
        <v>0.11467191436184473</v>
      </c>
      <c r="AL2777" s="17"/>
      <c r="AM2777" s="17"/>
      <c r="AN2777" s="17"/>
      <c r="AO2777" s="17"/>
      <c r="AP2777" s="28" t="str">
        <f t="shared" si="835"/>
        <v>20196</v>
      </c>
      <c r="AQ2777" s="28" t="str">
        <f t="shared" si="836"/>
        <v>20196RMB</v>
      </c>
      <c r="AR2777" s="206" t="str">
        <f t="shared" si="837"/>
        <v>YAMAHA_Mounter</v>
      </c>
      <c r="AS2777" s="22">
        <f t="shared" si="838"/>
        <v>1</v>
      </c>
      <c r="AT2777" s="24" t="str">
        <f t="shared" si="839"/>
        <v>0-3 months</v>
      </c>
    </row>
    <row r="2778" spans="1:46" s="12" customFormat="1">
      <c r="A2778" s="33" t="str">
        <f t="shared" si="827"/>
        <v>cancel</v>
      </c>
      <c r="B2778" s="152"/>
      <c r="C2778" s="152" t="s">
        <v>186</v>
      </c>
      <c r="D2778" s="33" t="str">
        <f t="shared" si="828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9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0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42"/>
        <v>613750</v>
      </c>
      <c r="AA2778" s="13">
        <v>1.135</v>
      </c>
      <c r="AB2778" s="21">
        <f t="shared" si="831"/>
        <v>616465.70796460181</v>
      </c>
      <c r="AC2778" s="130">
        <f t="shared" si="832"/>
        <v>73975.884955752219</v>
      </c>
      <c r="AD2778" s="169">
        <v>0.12</v>
      </c>
      <c r="AE2778" s="154">
        <f t="shared" si="833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40"/>
        <v>477651199.57437885</v>
      </c>
      <c r="AJ2778" s="19">
        <f t="shared" si="841"/>
        <v>56918800.518691957</v>
      </c>
      <c r="AK2778" s="20">
        <f t="shared" si="834"/>
        <v>0.11916394341605475</v>
      </c>
      <c r="AL2778" s="17"/>
      <c r="AM2778" s="17"/>
      <c r="AN2778" s="17"/>
      <c r="AO2778" s="17"/>
      <c r="AP2778" s="28" t="str">
        <f t="shared" si="835"/>
        <v>CancelCancel</v>
      </c>
      <c r="AQ2778" s="28" t="str">
        <f t="shared" si="836"/>
        <v>CancelCancelRMB</v>
      </c>
      <c r="AR2778" s="206" t="str">
        <f t="shared" si="837"/>
        <v>YAMAHA_Mounter</v>
      </c>
      <c r="AS2778" s="22" t="str">
        <f t="shared" si="838"/>
        <v/>
      </c>
      <c r="AT2778" s="24" t="str">
        <f t="shared" si="839"/>
        <v/>
      </c>
    </row>
    <row r="2779" spans="1:46" s="12" customFormat="1">
      <c r="A2779" s="33" t="str">
        <f t="shared" si="827"/>
        <v>cancel</v>
      </c>
      <c r="B2779" s="152"/>
      <c r="C2779" s="152" t="s">
        <v>186</v>
      </c>
      <c r="D2779" s="33" t="str">
        <f t="shared" si="828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9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0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42"/>
        <v>760000</v>
      </c>
      <c r="AA2779" s="13">
        <v>1.135</v>
      </c>
      <c r="AB2779" s="21">
        <f t="shared" si="831"/>
        <v>763362.83185840712</v>
      </c>
      <c r="AC2779" s="130">
        <f t="shared" si="832"/>
        <v>91603.539823008847</v>
      </c>
      <c r="AD2779" s="169">
        <v>0.12</v>
      </c>
      <c r="AE2779" s="154">
        <f t="shared" si="833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40"/>
        <v>477651199.57437885</v>
      </c>
      <c r="AJ2779" s="19">
        <f t="shared" si="841"/>
        <v>56918800.518691957</v>
      </c>
      <c r="AK2779" s="20">
        <f t="shared" si="834"/>
        <v>0.11916394341605475</v>
      </c>
      <c r="AL2779" s="17"/>
      <c r="AM2779" s="17"/>
      <c r="AN2779" s="17"/>
      <c r="AO2779" s="17"/>
      <c r="AP2779" s="28" t="str">
        <f t="shared" si="835"/>
        <v>CancelCancel</v>
      </c>
      <c r="AQ2779" s="28" t="str">
        <f t="shared" si="836"/>
        <v>CancelCancelRMB</v>
      </c>
      <c r="AR2779" s="206" t="str">
        <f t="shared" si="837"/>
        <v>YAMAHA_Mounter</v>
      </c>
      <c r="AS2779" s="22" t="str">
        <f t="shared" si="838"/>
        <v/>
      </c>
      <c r="AT2779" s="24" t="str">
        <f t="shared" si="839"/>
        <v/>
      </c>
    </row>
    <row r="2780" spans="1:46" s="12" customFormat="1">
      <c r="A2780" s="33" t="str">
        <f t="shared" si="827"/>
        <v>cancel</v>
      </c>
      <c r="B2780" s="152"/>
      <c r="C2780" s="152" t="s">
        <v>186</v>
      </c>
      <c r="D2780" s="33" t="str">
        <f t="shared" si="828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9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0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42"/>
        <v>613750</v>
      </c>
      <c r="AA2780" s="13">
        <v>1.135</v>
      </c>
      <c r="AB2780" s="21">
        <f t="shared" si="831"/>
        <v>616465.70796460181</v>
      </c>
      <c r="AC2780" s="130">
        <f t="shared" si="832"/>
        <v>73975.884955752219</v>
      </c>
      <c r="AD2780" s="169">
        <v>0.12</v>
      </c>
      <c r="AE2780" s="154">
        <f t="shared" si="833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40"/>
        <v>477651199.57437885</v>
      </c>
      <c r="AJ2780" s="19">
        <f t="shared" si="841"/>
        <v>56918800.518691957</v>
      </c>
      <c r="AK2780" s="20">
        <f t="shared" si="834"/>
        <v>0.11916394341605475</v>
      </c>
      <c r="AL2780" s="17"/>
      <c r="AM2780" s="17"/>
      <c r="AN2780" s="17"/>
      <c r="AO2780" s="17"/>
      <c r="AP2780" s="28" t="str">
        <f t="shared" si="835"/>
        <v>CancelCancel</v>
      </c>
      <c r="AQ2780" s="28" t="str">
        <f t="shared" si="836"/>
        <v>CancelCancelRMB</v>
      </c>
      <c r="AR2780" s="206" t="str">
        <f t="shared" si="837"/>
        <v>YAMAHA_Mounter</v>
      </c>
      <c r="AS2780" s="22" t="str">
        <f t="shared" si="838"/>
        <v/>
      </c>
      <c r="AT2780" s="24" t="str">
        <f t="shared" si="839"/>
        <v/>
      </c>
    </row>
    <row r="2781" spans="1:46" s="12" customFormat="1">
      <c r="A2781" s="33" t="str">
        <f t="shared" si="827"/>
        <v>cancel</v>
      </c>
      <c r="B2781" s="152"/>
      <c r="C2781" s="152" t="s">
        <v>186</v>
      </c>
      <c r="D2781" s="33" t="str">
        <f t="shared" si="828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9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0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42"/>
        <v>1528750</v>
      </c>
      <c r="AA2781" s="13">
        <v>1.135</v>
      </c>
      <c r="AB2781" s="21">
        <f t="shared" si="831"/>
        <v>1535514.3805309734</v>
      </c>
      <c r="AC2781" s="130">
        <f t="shared" si="832"/>
        <v>184261.72566371682</v>
      </c>
      <c r="AD2781" s="169">
        <v>0.12</v>
      </c>
      <c r="AE2781" s="154">
        <f t="shared" si="833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40"/>
        <v>477651199.57437885</v>
      </c>
      <c r="AJ2781" s="19">
        <f t="shared" si="841"/>
        <v>56918800.518691957</v>
      </c>
      <c r="AK2781" s="20">
        <f t="shared" si="834"/>
        <v>0.11916394341605475</v>
      </c>
      <c r="AL2781" s="17"/>
      <c r="AM2781" s="17"/>
      <c r="AN2781" s="17"/>
      <c r="AO2781" s="17"/>
      <c r="AP2781" s="28" t="str">
        <f t="shared" si="835"/>
        <v>CancelCancel</v>
      </c>
      <c r="AQ2781" s="28" t="str">
        <f t="shared" si="836"/>
        <v>CancelCancelRMB</v>
      </c>
      <c r="AR2781" s="206" t="str">
        <f t="shared" si="837"/>
        <v>YAMAHA_Mounter</v>
      </c>
      <c r="AS2781" s="22" t="str">
        <f t="shared" si="838"/>
        <v/>
      </c>
      <c r="AT2781" s="24" t="str">
        <f t="shared" si="839"/>
        <v/>
      </c>
    </row>
    <row r="2782" spans="1:46" s="12" customFormat="1">
      <c r="A2782" s="33" t="str">
        <f t="shared" si="827"/>
        <v>FY 17/18</v>
      </c>
      <c r="B2782" s="152">
        <v>2018</v>
      </c>
      <c r="C2782" s="152">
        <v>1</v>
      </c>
      <c r="D2782" s="33" t="str">
        <f t="shared" si="828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9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0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42"/>
        <v>610000</v>
      </c>
      <c r="AA2782" s="13">
        <v>1.23</v>
      </c>
      <c r="AB2782" s="21">
        <f t="shared" si="831"/>
        <v>646810.34482758632</v>
      </c>
      <c r="AC2782" s="130">
        <f t="shared" si="832"/>
        <v>78264.051724137942</v>
      </c>
      <c r="AD2782" s="169">
        <v>0.121</v>
      </c>
      <c r="AE2782" s="154">
        <f t="shared" si="833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40"/>
        <v>34109166.105589926</v>
      </c>
      <c r="AJ2782" s="19">
        <f t="shared" si="841"/>
        <v>4642032.7199573703</v>
      </c>
      <c r="AK2782" s="20">
        <f t="shared" si="834"/>
        <v>0.13609340977692849</v>
      </c>
      <c r="AL2782" s="17"/>
      <c r="AM2782" s="17"/>
      <c r="AN2782" s="17"/>
      <c r="AO2782" s="17"/>
      <c r="AP2782" s="28" t="str">
        <f t="shared" si="835"/>
        <v>20185</v>
      </c>
      <c r="AQ2782" s="28" t="str">
        <f t="shared" si="836"/>
        <v>20185RMB</v>
      </c>
      <c r="AR2782" s="206" t="str">
        <f t="shared" si="837"/>
        <v>YAMAHA_Mounter</v>
      </c>
      <c r="AS2782" s="22">
        <f t="shared" si="838"/>
        <v>4</v>
      </c>
      <c r="AT2782" s="24" t="str">
        <f t="shared" si="839"/>
        <v>4-6 months</v>
      </c>
    </row>
    <row r="2783" spans="1:46" s="12" customFormat="1">
      <c r="A2783" s="33" t="str">
        <f t="shared" si="827"/>
        <v>FY 17/18</v>
      </c>
      <c r="B2783" s="152">
        <v>2018</v>
      </c>
      <c r="C2783" s="152">
        <v>1</v>
      </c>
      <c r="D2783" s="33" t="str">
        <f t="shared" si="828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9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0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42"/>
        <v>490000</v>
      </c>
      <c r="AA2783" s="13">
        <v>1.23</v>
      </c>
      <c r="AB2783" s="21">
        <f t="shared" si="831"/>
        <v>519568.96551724139</v>
      </c>
      <c r="AC2783" s="130">
        <f t="shared" si="832"/>
        <v>62867.844827586203</v>
      </c>
      <c r="AD2783" s="169">
        <v>0.121</v>
      </c>
      <c r="AE2783" s="154">
        <f t="shared" si="833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40"/>
        <v>34109166.105589926</v>
      </c>
      <c r="AJ2783" s="19">
        <f t="shared" si="841"/>
        <v>4642032.7199573703</v>
      </c>
      <c r="AK2783" s="20">
        <f t="shared" si="834"/>
        <v>0.13609340977692849</v>
      </c>
      <c r="AL2783" s="17"/>
      <c r="AM2783" s="17"/>
      <c r="AN2783" s="17"/>
      <c r="AO2783" s="17"/>
      <c r="AP2783" s="28" t="str">
        <f t="shared" si="835"/>
        <v>20185</v>
      </c>
      <c r="AQ2783" s="28" t="str">
        <f t="shared" si="836"/>
        <v>20185RMB</v>
      </c>
      <c r="AR2783" s="206" t="str">
        <f t="shared" si="837"/>
        <v>YAMAHA_Mounter</v>
      </c>
      <c r="AS2783" s="22">
        <f t="shared" si="838"/>
        <v>4</v>
      </c>
      <c r="AT2783" s="24" t="str">
        <f t="shared" si="839"/>
        <v>4-6 months</v>
      </c>
    </row>
    <row r="2784" spans="1:46" s="12" customFormat="1">
      <c r="A2784" s="33" t="str">
        <f t="shared" si="827"/>
        <v>FY 20/21</v>
      </c>
      <c r="B2784" s="152">
        <v>2021</v>
      </c>
      <c r="C2784" s="152">
        <v>1</v>
      </c>
      <c r="D2784" s="33" t="str">
        <f t="shared" si="828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9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0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43">IF(W2784="RMB","1.13", "1")</f>
        <v>1</v>
      </c>
      <c r="Z2784" s="18">
        <f t="shared" si="842"/>
        <v>12000000</v>
      </c>
      <c r="AA2784" s="13">
        <v>7.2800000000000004E-2</v>
      </c>
      <c r="AB2784" s="21">
        <f t="shared" si="831"/>
        <v>873600</v>
      </c>
      <c r="AC2784" s="130">
        <f t="shared" si="832"/>
        <v>100376.64</v>
      </c>
      <c r="AD2784" s="169">
        <v>0.1149</v>
      </c>
      <c r="AE2784" s="154">
        <f t="shared" si="833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40"/>
        <v>63006605.696460173</v>
      </c>
      <c r="AJ2784" s="19">
        <f t="shared" si="841"/>
        <v>8897485.660753984</v>
      </c>
      <c r="AK2784" s="20">
        <f t="shared" si="834"/>
        <v>0.141215124388995</v>
      </c>
      <c r="AL2784" s="17"/>
      <c r="AM2784" s="17"/>
      <c r="AN2784" s="17"/>
      <c r="AO2784" s="17"/>
      <c r="AP2784" s="28" t="str">
        <f t="shared" si="835"/>
        <v>20215</v>
      </c>
      <c r="AQ2784" s="28" t="str">
        <f t="shared" si="836"/>
        <v>20215JPY</v>
      </c>
      <c r="AR2784" s="206" t="str">
        <f t="shared" si="837"/>
        <v>YAMAHA_Mounter</v>
      </c>
      <c r="AS2784" s="22">
        <f t="shared" si="838"/>
        <v>4</v>
      </c>
      <c r="AT2784" s="24" t="str">
        <f t="shared" si="839"/>
        <v>4-6 months</v>
      </c>
    </row>
    <row r="2785" spans="1:46" s="12" customFormat="1">
      <c r="A2785" s="33" t="str">
        <f t="shared" si="827"/>
        <v>FY 20/21</v>
      </c>
      <c r="B2785" s="152">
        <v>2021</v>
      </c>
      <c r="C2785" s="152">
        <v>1</v>
      </c>
      <c r="D2785" s="33" t="str">
        <f t="shared" si="828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9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0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43"/>
        <v>1</v>
      </c>
      <c r="Z2785" s="18">
        <f t="shared" si="842"/>
        <v>12000000</v>
      </c>
      <c r="AA2785" s="13">
        <v>7.2800000000000004E-2</v>
      </c>
      <c r="AB2785" s="21">
        <f t="shared" si="831"/>
        <v>873600</v>
      </c>
      <c r="AC2785" s="130">
        <f t="shared" si="832"/>
        <v>100376.64</v>
      </c>
      <c r="AD2785" s="169">
        <v>0.1149</v>
      </c>
      <c r="AE2785" s="154">
        <f t="shared" si="833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40"/>
        <v>63006605.696460173</v>
      </c>
      <c r="AJ2785" s="19">
        <f t="shared" si="841"/>
        <v>8897485.660753984</v>
      </c>
      <c r="AK2785" s="20">
        <f t="shared" si="834"/>
        <v>0.141215124388995</v>
      </c>
      <c r="AL2785" s="17"/>
      <c r="AM2785" s="17"/>
      <c r="AN2785" s="17"/>
      <c r="AO2785" s="17"/>
      <c r="AP2785" s="28" t="str">
        <f t="shared" si="835"/>
        <v>20215</v>
      </c>
      <c r="AQ2785" s="28" t="str">
        <f t="shared" si="836"/>
        <v>20215JPY</v>
      </c>
      <c r="AR2785" s="206" t="str">
        <f t="shared" si="837"/>
        <v>YAMAHA_Mounter</v>
      </c>
      <c r="AS2785" s="22">
        <f t="shared" si="838"/>
        <v>4</v>
      </c>
      <c r="AT2785" s="24" t="str">
        <f t="shared" si="839"/>
        <v>4-6 months</v>
      </c>
    </row>
    <row r="2786" spans="1:46" s="12" customFormat="1">
      <c r="A2786" s="33" t="str">
        <f t="shared" si="827"/>
        <v>FY 20/21</v>
      </c>
      <c r="B2786" s="152">
        <v>2021</v>
      </c>
      <c r="C2786" s="152">
        <v>1</v>
      </c>
      <c r="D2786" s="33" t="str">
        <f t="shared" si="828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9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0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43"/>
        <v>1</v>
      </c>
      <c r="Z2786" s="18">
        <f t="shared" si="842"/>
        <v>12000000</v>
      </c>
      <c r="AA2786" s="13">
        <v>7.2800000000000004E-2</v>
      </c>
      <c r="AB2786" s="21">
        <f t="shared" si="831"/>
        <v>873600</v>
      </c>
      <c r="AC2786" s="130">
        <f t="shared" si="832"/>
        <v>100376.64</v>
      </c>
      <c r="AD2786" s="169">
        <v>0.1149</v>
      </c>
      <c r="AE2786" s="154">
        <f t="shared" si="833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40"/>
        <v>63006605.696460173</v>
      </c>
      <c r="AJ2786" s="19">
        <f t="shared" si="841"/>
        <v>8897485.660753984</v>
      </c>
      <c r="AK2786" s="20">
        <f t="shared" si="834"/>
        <v>0.141215124388995</v>
      </c>
      <c r="AL2786" s="17"/>
      <c r="AM2786" s="17"/>
      <c r="AN2786" s="17"/>
      <c r="AO2786" s="17"/>
      <c r="AP2786" s="28" t="str">
        <f t="shared" si="835"/>
        <v>20215</v>
      </c>
      <c r="AQ2786" s="28" t="str">
        <f t="shared" si="836"/>
        <v>20215JPY</v>
      </c>
      <c r="AR2786" s="206" t="str">
        <f t="shared" si="837"/>
        <v>YAMAHA_Mounter</v>
      </c>
      <c r="AS2786" s="22">
        <f t="shared" si="838"/>
        <v>4</v>
      </c>
      <c r="AT2786" s="24" t="str">
        <f t="shared" si="839"/>
        <v>4-6 months</v>
      </c>
    </row>
    <row r="2787" spans="1:46" s="12" customFormat="1">
      <c r="A2787" s="33" t="str">
        <f t="shared" si="827"/>
        <v>FY 20/21</v>
      </c>
      <c r="B2787" s="152">
        <v>2021</v>
      </c>
      <c r="C2787" s="152">
        <v>1</v>
      </c>
      <c r="D2787" s="33" t="str">
        <f t="shared" si="828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9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0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43"/>
        <v>1</v>
      </c>
      <c r="Z2787" s="18">
        <f t="shared" si="842"/>
        <v>9300000</v>
      </c>
      <c r="AA2787" s="13">
        <v>7.2800000000000004E-2</v>
      </c>
      <c r="AB2787" s="21">
        <f t="shared" si="831"/>
        <v>677040</v>
      </c>
      <c r="AC2787" s="130">
        <f t="shared" si="832"/>
        <v>77791.896000000008</v>
      </c>
      <c r="AD2787" s="169">
        <v>0.1149</v>
      </c>
      <c r="AE2787" s="154">
        <f t="shared" si="833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40"/>
        <v>63006605.696460173</v>
      </c>
      <c r="AJ2787" s="19">
        <f t="shared" si="841"/>
        <v>8897485.660753984</v>
      </c>
      <c r="AK2787" s="20">
        <f t="shared" si="834"/>
        <v>0.141215124388995</v>
      </c>
      <c r="AL2787" s="17"/>
      <c r="AM2787" s="17"/>
      <c r="AN2787" s="17"/>
      <c r="AO2787" s="17"/>
      <c r="AP2787" s="28" t="str">
        <f t="shared" si="835"/>
        <v>20215</v>
      </c>
      <c r="AQ2787" s="28" t="str">
        <f t="shared" si="836"/>
        <v>20215JPY</v>
      </c>
      <c r="AR2787" s="206" t="str">
        <f t="shared" si="837"/>
        <v>YAMAHA_Mounter</v>
      </c>
      <c r="AS2787" s="22">
        <f t="shared" si="838"/>
        <v>4</v>
      </c>
      <c r="AT2787" s="24" t="str">
        <f t="shared" si="839"/>
        <v>4-6 months</v>
      </c>
    </row>
    <row r="2788" spans="1:46" s="12" customFormat="1">
      <c r="A2788" s="33" t="str">
        <f t="shared" si="827"/>
        <v>FY 20/21</v>
      </c>
      <c r="B2788" s="152">
        <v>2021</v>
      </c>
      <c r="C2788" s="152">
        <v>1</v>
      </c>
      <c r="D2788" s="33" t="str">
        <f t="shared" si="828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9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0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43"/>
        <v>1</v>
      </c>
      <c r="Z2788" s="18">
        <f t="shared" si="842"/>
        <v>9300000</v>
      </c>
      <c r="AA2788" s="13">
        <v>7.2800000000000004E-2</v>
      </c>
      <c r="AB2788" s="21">
        <f t="shared" si="831"/>
        <v>677040</v>
      </c>
      <c r="AC2788" s="130">
        <f t="shared" si="832"/>
        <v>77791.896000000008</v>
      </c>
      <c r="AD2788" s="169">
        <v>0.1149</v>
      </c>
      <c r="AE2788" s="154">
        <f t="shared" si="833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40"/>
        <v>63006605.696460173</v>
      </c>
      <c r="AJ2788" s="19">
        <f t="shared" si="841"/>
        <v>8897485.660753984</v>
      </c>
      <c r="AK2788" s="20">
        <f t="shared" si="834"/>
        <v>0.141215124388995</v>
      </c>
      <c r="AL2788" s="17"/>
      <c r="AM2788" s="17"/>
      <c r="AN2788" s="17"/>
      <c r="AO2788" s="17"/>
      <c r="AP2788" s="28" t="str">
        <f t="shared" si="835"/>
        <v>20215</v>
      </c>
      <c r="AQ2788" s="28" t="str">
        <f t="shared" si="836"/>
        <v>20215JPY</v>
      </c>
      <c r="AR2788" s="206" t="str">
        <f t="shared" si="837"/>
        <v>YAMAHA_Mounter</v>
      </c>
      <c r="AS2788" s="22">
        <f t="shared" si="838"/>
        <v>4</v>
      </c>
      <c r="AT2788" s="24" t="str">
        <f t="shared" si="839"/>
        <v>4-6 months</v>
      </c>
    </row>
    <row r="2789" spans="1:46" s="12" customFormat="1">
      <c r="A2789" s="33" t="str">
        <f t="shared" si="827"/>
        <v>FY 20/21</v>
      </c>
      <c r="B2789" s="152">
        <v>2021</v>
      </c>
      <c r="C2789" s="152">
        <v>1</v>
      </c>
      <c r="D2789" s="33" t="str">
        <f t="shared" si="828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9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0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43"/>
        <v>1</v>
      </c>
      <c r="Z2789" s="18">
        <f t="shared" si="842"/>
        <v>9300000</v>
      </c>
      <c r="AA2789" s="13">
        <v>7.2800000000000004E-2</v>
      </c>
      <c r="AB2789" s="21">
        <f t="shared" si="831"/>
        <v>677040</v>
      </c>
      <c r="AC2789" s="130">
        <f t="shared" si="832"/>
        <v>77791.896000000008</v>
      </c>
      <c r="AD2789" s="169">
        <v>0.1149</v>
      </c>
      <c r="AE2789" s="154">
        <f t="shared" si="833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40"/>
        <v>63006605.696460173</v>
      </c>
      <c r="AJ2789" s="19">
        <f t="shared" si="841"/>
        <v>8897485.660753984</v>
      </c>
      <c r="AK2789" s="20">
        <f t="shared" si="834"/>
        <v>0.141215124388995</v>
      </c>
      <c r="AL2789" s="17"/>
      <c r="AM2789" s="17"/>
      <c r="AN2789" s="17"/>
      <c r="AO2789" s="17"/>
      <c r="AP2789" s="28" t="str">
        <f t="shared" si="835"/>
        <v>20215</v>
      </c>
      <c r="AQ2789" s="28" t="str">
        <f t="shared" si="836"/>
        <v>20215JPY</v>
      </c>
      <c r="AR2789" s="206" t="str">
        <f t="shared" si="837"/>
        <v>YAMAHA_Mounter</v>
      </c>
      <c r="AS2789" s="22">
        <f t="shared" si="838"/>
        <v>4</v>
      </c>
      <c r="AT2789" s="24" t="str">
        <f t="shared" si="839"/>
        <v>4-6 months</v>
      </c>
    </row>
    <row r="2790" spans="1:46" s="12" customFormat="1">
      <c r="A2790" s="33" t="str">
        <f t="shared" si="827"/>
        <v>FY 24/25</v>
      </c>
      <c r="B2790" s="23">
        <v>2024</v>
      </c>
      <c r="C2790" s="152">
        <v>5</v>
      </c>
      <c r="D2790" s="202" t="str">
        <f t="shared" si="828"/>
        <v>Q1</v>
      </c>
      <c r="E2790" s="33" t="s">
        <v>3173</v>
      </c>
      <c r="F2790" s="152">
        <v>2024</v>
      </c>
      <c r="G2790" s="23">
        <v>8</v>
      </c>
      <c r="H2790" s="29"/>
      <c r="I2790" s="202" t="str">
        <f t="shared" si="829"/>
        <v>Q2</v>
      </c>
      <c r="J2790" s="188" t="s">
        <v>3425</v>
      </c>
      <c r="K2790" s="29" t="s">
        <v>1708</v>
      </c>
      <c r="L2790" s="17" t="s">
        <v>68</v>
      </c>
      <c r="M2790" s="22" t="s">
        <v>61</v>
      </c>
      <c r="N2790" s="22">
        <v>1</v>
      </c>
      <c r="O2790" s="22"/>
      <c r="P2790" s="33" t="str">
        <f t="shared" si="830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121</v>
      </c>
      <c r="V2790" s="22" t="s">
        <v>122</v>
      </c>
      <c r="W2790" s="22" t="s">
        <v>110</v>
      </c>
      <c r="X2790" s="94">
        <v>10000000</v>
      </c>
      <c r="Y2790" s="195" t="str">
        <f>IF(W2790="","",IF(W2790="RMB","1.13", "1"))</f>
        <v>1</v>
      </c>
      <c r="Z2790" s="196">
        <f t="shared" si="842"/>
        <v>10000000</v>
      </c>
      <c r="AA2790" s="22">
        <v>5.2299999999999999E-2</v>
      </c>
      <c r="AB2790" s="197">
        <f t="shared" si="831"/>
        <v>523000</v>
      </c>
      <c r="AC2790" s="198">
        <f t="shared" si="832"/>
        <v>42938.3</v>
      </c>
      <c r="AD2790" s="169">
        <v>8.2100000000000006E-2</v>
      </c>
      <c r="AE2790" s="199">
        <f t="shared" si="833"/>
        <v>0</v>
      </c>
      <c r="AF2790" s="199" t="str">
        <f>IF(AND(COUNTIFS($J$18:J2790,J2790)=1,AE2790=1),1,"")</f>
        <v/>
      </c>
      <c r="AG2790" s="199" t="str">
        <f>IF(C2790="","",IF(AND(COUNTIFS($J$18:J2790,J2790)=1,C2790&lt;&gt;""),1,""))</f>
        <v/>
      </c>
      <c r="AH2790" s="199" t="str">
        <f>IF(G2790="","",IF(AND(COUNTIFS($J$18:J2790,J2790)=1,G2790&lt;&gt;""),1,""))</f>
        <v/>
      </c>
      <c r="AI2790" s="200">
        <f t="shared" si="840"/>
        <v>25354039.366920356</v>
      </c>
      <c r="AJ2790" s="200">
        <f t="shared" si="841"/>
        <v>3027878.5311884549</v>
      </c>
      <c r="AK2790" s="201">
        <f t="shared" si="834"/>
        <v>0.11942391061910851</v>
      </c>
      <c r="AL2790" s="24"/>
      <c r="AM2790" s="24"/>
      <c r="AN2790" s="24"/>
      <c r="AO2790" s="24"/>
      <c r="AP2790" s="28" t="str">
        <f t="shared" si="835"/>
        <v>20248</v>
      </c>
      <c r="AQ2790" s="28" t="str">
        <f t="shared" si="836"/>
        <v>20248JPY</v>
      </c>
      <c r="AR2790" s="206" t="str">
        <f t="shared" si="837"/>
        <v>YAMAHA_Mounter</v>
      </c>
      <c r="AS2790" s="22">
        <f t="shared" si="838"/>
        <v>3</v>
      </c>
      <c r="AT2790" s="24" t="str">
        <f t="shared" si="839"/>
        <v>0-3 months</v>
      </c>
    </row>
    <row r="2791" spans="1:46" s="12" customFormat="1">
      <c r="A2791" s="33" t="str">
        <f t="shared" si="827"/>
        <v>FY 23/24</v>
      </c>
      <c r="B2791" s="23">
        <v>2024</v>
      </c>
      <c r="C2791" s="152">
        <v>1</v>
      </c>
      <c r="D2791" s="33" t="str">
        <f t="shared" si="828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9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0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42"/>
        <v>600000</v>
      </c>
      <c r="AA2791" s="22">
        <v>1.1080000000000001</v>
      </c>
      <c r="AB2791" s="21">
        <f t="shared" si="831"/>
        <v>588318.58407079661</v>
      </c>
      <c r="AC2791" s="25">
        <f t="shared" si="832"/>
        <v>70598.230088495591</v>
      </c>
      <c r="AD2791" s="169">
        <v>0.12</v>
      </c>
      <c r="AE2791" s="26">
        <f t="shared" si="833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40"/>
        <v>24129972.828771491</v>
      </c>
      <c r="AJ2791" s="27">
        <f t="shared" si="841"/>
        <v>2880955.0890193055</v>
      </c>
      <c r="AK2791" s="28">
        <f t="shared" si="834"/>
        <v>0.11939321728469518</v>
      </c>
      <c r="AL2791" s="24"/>
      <c r="AM2791" s="24"/>
      <c r="AN2791" s="24"/>
      <c r="AO2791" s="24"/>
      <c r="AP2791" s="28" t="str">
        <f t="shared" si="835"/>
        <v>202411</v>
      </c>
      <c r="AQ2791" s="28" t="str">
        <f t="shared" si="836"/>
        <v>202411RMB</v>
      </c>
      <c r="AR2791" s="206" t="str">
        <f t="shared" si="837"/>
        <v>YAMAHA_Mounter</v>
      </c>
      <c r="AS2791" s="22">
        <f t="shared" si="838"/>
        <v>10</v>
      </c>
      <c r="AT2791" s="24" t="str">
        <f t="shared" si="839"/>
        <v>&gt; 6 months</v>
      </c>
    </row>
    <row r="2792" spans="1:46" s="12" customFormat="1">
      <c r="A2792" s="33" t="str">
        <f t="shared" si="827"/>
        <v>cancel</v>
      </c>
      <c r="B2792" s="152"/>
      <c r="C2792" s="152" t="s">
        <v>186</v>
      </c>
      <c r="D2792" s="33" t="str">
        <f t="shared" si="828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9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0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44">IF(W2792="RMB","1.13", "1")</f>
        <v>1</v>
      </c>
      <c r="Z2792" s="18">
        <f t="shared" si="842"/>
        <v>14000000</v>
      </c>
      <c r="AA2792" s="13">
        <v>7.3999999999999996E-2</v>
      </c>
      <c r="AB2792" s="21">
        <f t="shared" si="831"/>
        <v>1036000</v>
      </c>
      <c r="AC2792" s="130">
        <f t="shared" si="832"/>
        <v>130328.79999999999</v>
      </c>
      <c r="AD2792" s="169">
        <v>0.1258</v>
      </c>
      <c r="AE2792" s="154">
        <f t="shared" si="833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40"/>
        <v>477651199.57437885</v>
      </c>
      <c r="AJ2792" s="19">
        <f t="shared" si="841"/>
        <v>56918800.518691957</v>
      </c>
      <c r="AK2792" s="20">
        <f t="shared" si="834"/>
        <v>0.11916394341605475</v>
      </c>
      <c r="AL2792" s="17"/>
      <c r="AM2792" s="17"/>
      <c r="AN2792" s="17"/>
      <c r="AO2792" s="17"/>
      <c r="AP2792" s="28" t="str">
        <f t="shared" si="835"/>
        <v>CancelCancel</v>
      </c>
      <c r="AQ2792" s="28" t="str">
        <f t="shared" si="836"/>
        <v>CancelCancelJPY</v>
      </c>
      <c r="AR2792" s="206" t="str">
        <f t="shared" si="837"/>
        <v>YAMAHA_Mounter</v>
      </c>
      <c r="AS2792" s="22" t="str">
        <f t="shared" si="838"/>
        <v/>
      </c>
      <c r="AT2792" s="24" t="str">
        <f t="shared" si="839"/>
        <v/>
      </c>
    </row>
    <row r="2793" spans="1:46" s="12" customFormat="1">
      <c r="A2793" s="33" t="str">
        <f t="shared" si="827"/>
        <v>cancel</v>
      </c>
      <c r="B2793" s="152"/>
      <c r="C2793" s="152" t="s">
        <v>186</v>
      </c>
      <c r="D2793" s="33" t="str">
        <f t="shared" si="828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9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0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44"/>
        <v>1</v>
      </c>
      <c r="Z2793" s="18">
        <f t="shared" si="842"/>
        <v>10500000</v>
      </c>
      <c r="AA2793" s="13">
        <v>7.3999999999999996E-2</v>
      </c>
      <c r="AB2793" s="21">
        <f t="shared" si="831"/>
        <v>777000</v>
      </c>
      <c r="AC2793" s="130">
        <f t="shared" si="832"/>
        <v>97746.599999999991</v>
      </c>
      <c r="AD2793" s="169">
        <v>0.1258</v>
      </c>
      <c r="AE2793" s="154">
        <f t="shared" si="833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40"/>
        <v>477651199.57437885</v>
      </c>
      <c r="AJ2793" s="19">
        <f t="shared" si="841"/>
        <v>56918800.518691957</v>
      </c>
      <c r="AK2793" s="20">
        <f t="shared" si="834"/>
        <v>0.11916394341605475</v>
      </c>
      <c r="AL2793" s="17"/>
      <c r="AM2793" s="17"/>
      <c r="AN2793" s="17"/>
      <c r="AO2793" s="17"/>
      <c r="AP2793" s="28" t="str">
        <f t="shared" si="835"/>
        <v>CancelCancel</v>
      </c>
      <c r="AQ2793" s="28" t="str">
        <f t="shared" si="836"/>
        <v>CancelCancelJPY</v>
      </c>
      <c r="AR2793" s="206" t="str">
        <f t="shared" si="837"/>
        <v>YAMAHA_Mounter</v>
      </c>
      <c r="AS2793" s="22" t="str">
        <f t="shared" si="838"/>
        <v/>
      </c>
      <c r="AT2793" s="24" t="str">
        <f t="shared" si="839"/>
        <v/>
      </c>
    </row>
    <row r="2794" spans="1:46" s="12" customFormat="1">
      <c r="A2794" s="33" t="str">
        <f t="shared" si="827"/>
        <v>cancel</v>
      </c>
      <c r="B2794" s="152"/>
      <c r="C2794" s="152" t="s">
        <v>186</v>
      </c>
      <c r="D2794" s="33" t="str">
        <f t="shared" si="828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9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0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44"/>
        <v>1</v>
      </c>
      <c r="Z2794" s="18">
        <f t="shared" si="842"/>
        <v>28000000</v>
      </c>
      <c r="AA2794" s="13">
        <v>7.3999999999999996E-2</v>
      </c>
      <c r="AB2794" s="21">
        <f t="shared" si="831"/>
        <v>2072000</v>
      </c>
      <c r="AC2794" s="130">
        <f t="shared" si="832"/>
        <v>248640</v>
      </c>
      <c r="AD2794" s="169">
        <v>0.12</v>
      </c>
      <c r="AE2794" s="154">
        <f t="shared" si="833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40"/>
        <v>477651199.57437885</v>
      </c>
      <c r="AJ2794" s="19">
        <f t="shared" si="841"/>
        <v>56918800.518691957</v>
      </c>
      <c r="AK2794" s="20">
        <f t="shared" si="834"/>
        <v>0.11916394341605475</v>
      </c>
      <c r="AL2794" s="17"/>
      <c r="AM2794" s="17"/>
      <c r="AN2794" s="17"/>
      <c r="AO2794" s="17"/>
      <c r="AP2794" s="28" t="str">
        <f t="shared" si="835"/>
        <v>CancelCancel</v>
      </c>
      <c r="AQ2794" s="28" t="str">
        <f t="shared" si="836"/>
        <v>CancelCancelJPY</v>
      </c>
      <c r="AR2794" s="206" t="str">
        <f t="shared" si="837"/>
        <v>YAMAHA_Mounter</v>
      </c>
      <c r="AS2794" s="22" t="str">
        <f t="shared" si="838"/>
        <v/>
      </c>
      <c r="AT2794" s="24" t="str">
        <f t="shared" si="839"/>
        <v/>
      </c>
    </row>
    <row r="2795" spans="1:46" s="12" customFormat="1">
      <c r="A2795" s="33" t="str">
        <f t="shared" si="827"/>
        <v>cancel</v>
      </c>
      <c r="B2795" s="152"/>
      <c r="C2795" s="152" t="s">
        <v>186</v>
      </c>
      <c r="D2795" s="33" t="str">
        <f t="shared" si="828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9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0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44"/>
        <v>1</v>
      </c>
      <c r="Z2795" s="18">
        <f t="shared" si="842"/>
        <v>42000000</v>
      </c>
      <c r="AA2795" s="13">
        <v>7.3400000000000007E-2</v>
      </c>
      <c r="AB2795" s="21">
        <f t="shared" si="831"/>
        <v>3082800.0000000005</v>
      </c>
      <c r="AC2795" s="130">
        <f t="shared" si="832"/>
        <v>369936.00000000006</v>
      </c>
      <c r="AD2795" s="169">
        <v>0.12</v>
      </c>
      <c r="AE2795" s="154">
        <f t="shared" si="833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40"/>
        <v>477651199.57437885</v>
      </c>
      <c r="AJ2795" s="19">
        <f t="shared" si="841"/>
        <v>56918800.518691957</v>
      </c>
      <c r="AK2795" s="20">
        <f t="shared" si="834"/>
        <v>0.11916394341605475</v>
      </c>
      <c r="AL2795" s="17"/>
      <c r="AM2795" s="17"/>
      <c r="AN2795" s="17"/>
      <c r="AO2795" s="17"/>
      <c r="AP2795" s="28" t="str">
        <f t="shared" si="835"/>
        <v>CancelCancel</v>
      </c>
      <c r="AQ2795" s="28" t="str">
        <f t="shared" si="836"/>
        <v>CancelCancelJPY</v>
      </c>
      <c r="AR2795" s="206" t="str">
        <f t="shared" si="837"/>
        <v>YAMAHA_Mounter</v>
      </c>
      <c r="AS2795" s="22" t="str">
        <f t="shared" si="838"/>
        <v/>
      </c>
      <c r="AT2795" s="24" t="str">
        <f t="shared" si="839"/>
        <v/>
      </c>
    </row>
    <row r="2796" spans="1:46" s="12" customFormat="1">
      <c r="A2796" s="33" t="str">
        <f t="shared" ref="A2796:A2859" si="845">IF(C2796="cancel","cancel",IFERROR(IF(D2796="Q4","FY "&amp;RIGHT(B2796,2)-1&amp;"/"&amp;RIGHT(B2796,2),"FY "&amp;RIGHT(B2796,2)&amp;"/"&amp;RIGHT(B2796,2)+1),""))</f>
        <v>cancel</v>
      </c>
      <c r="B2796" s="152"/>
      <c r="C2796" s="152" t="s">
        <v>186</v>
      </c>
      <c r="D2796" s="33" t="str">
        <f t="shared" ref="D2796:D2859" si="846">IF(B2796="","",IF(AND(C2796&gt;=10,C2796&lt;=12),"Q3",IF(AND(C2796&gt;=1,C2796&lt;=3),"Q4",IF(AND(C2796&gt;=7,C2796&lt;=9),"Q2",IF(AND(C2796&gt;=4,C2796&lt;=6),"Q1")))))</f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ref="I2796:I2859" si="847">IFERROR(IF(F2796="","",IF(F2796="TBA","TBA",IF(F2796="Cancel","Cancel",IF(AND(G2796&gt;=10,G2796&lt;=12),"Q3",IF(AND(G2796&gt;=1,G2796&lt;=3),"Q4",IF(AND(G2796&gt;=7,G2796&lt;=9),"Q2",IF(AND(G2796&gt;=4,G2796&lt;=6),"Q1"))))))),"")</f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ref="P2796:P2859" si="848">IF(M2796="","",IF(AND(N2796&gt;0,L2796&lt;&gt;""),"MAIN UNIT",IF(AND(O2796&gt;0,L2796&lt;&gt;""),"SERVICE/ PARTS","C66 SERVICE/OTHERS")))</f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44"/>
        <v>1</v>
      </c>
      <c r="Z2796" s="18">
        <f t="shared" si="842"/>
        <v>10500000</v>
      </c>
      <c r="AA2796" s="13">
        <v>7.3999999999999996E-2</v>
      </c>
      <c r="AB2796" s="21">
        <f t="shared" ref="AB2796:AB2859" si="849">IF(AND(R2796&lt;&gt;"C66",R2796&lt;&gt;""),Z2796/Y2796*AA2796,"")</f>
        <v>777000</v>
      </c>
      <c r="AC2796" s="130">
        <f t="shared" ref="AC2796:AC2859" si="850">IF(R2796&lt;&gt;"",AB2796*AD2796,"")</f>
        <v>93240</v>
      </c>
      <c r="AD2796" s="169">
        <v>0.12</v>
      </c>
      <c r="AE2796" s="154">
        <f t="shared" ref="AE2796:AE2859" si="851">IF(Q2796="","",IF(Q2796="Yes",1,0))</f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40"/>
        <v>477651199.57437885</v>
      </c>
      <c r="AJ2796" s="19">
        <f t="shared" si="841"/>
        <v>56918800.518691957</v>
      </c>
      <c r="AK2796" s="20">
        <f t="shared" ref="AK2796:AK2859" si="852">IF(AJ2796&gt;0,AJ2796/AI2796,"")</f>
        <v>0.11916394341605475</v>
      </c>
      <c r="AL2796" s="17"/>
      <c r="AM2796" s="17"/>
      <c r="AN2796" s="17"/>
      <c r="AO2796" s="17"/>
      <c r="AP2796" s="28" t="str">
        <f t="shared" ref="AP2796:AP2859" si="853">IF(F2796="","",F2796&amp;G2796)</f>
        <v>CancelCancel</v>
      </c>
      <c r="AQ2796" s="28" t="str">
        <f t="shared" ref="AQ2796:AQ2859" si="854">IF(W2796="","",F2796&amp;G2796&amp;W2796)</f>
        <v>CancelCancelJPY</v>
      </c>
      <c r="AR2796" s="206" t="str">
        <f t="shared" ref="AR2796:AR2859" si="855">IFERROR(IF(AND(M2796="YAMAHA", R2796="C28"), "YAMAHA_Non_Mounter", IF(AND(M2796="YAMAHA", R2796="C49"), "YAMAHA_Mounter", M2796)),"")</f>
        <v>YAMAHA_Mounter</v>
      </c>
      <c r="AS2796" s="22" t="str">
        <f t="shared" ref="AS2796:AS2859" si="856">IFERROR(IF(OR(G2796="TBA", G2796=""), "", DATEDIF(DATE(B2796, C2796, 1), DATE(F2796, G2796, 1), "M")),"")</f>
        <v/>
      </c>
      <c r="AT2796" s="24" t="str">
        <f t="shared" ref="AT2796:AT2859" si="857">IF(ISNUMBER(AS2796), IF(AS2796&gt;=0, IF(AS2796&lt;=3, "0-3 months", IF(AS2796&lt;=6, "4-6 months", "&gt; 6 months"))), "")</f>
        <v/>
      </c>
    </row>
    <row r="2797" spans="1:46" s="12" customFormat="1">
      <c r="A2797" s="33" t="str">
        <f t="shared" si="845"/>
        <v>cancel</v>
      </c>
      <c r="B2797" s="152"/>
      <c r="C2797" s="152" t="s">
        <v>186</v>
      </c>
      <c r="D2797" s="33" t="str">
        <f t="shared" si="846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47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48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44"/>
        <v>1</v>
      </c>
      <c r="Z2797" s="18">
        <f t="shared" si="842"/>
        <v>21000000</v>
      </c>
      <c r="AA2797" s="13">
        <v>7.3999999999999996E-2</v>
      </c>
      <c r="AB2797" s="21">
        <f t="shared" si="849"/>
        <v>1554000</v>
      </c>
      <c r="AC2797" s="130">
        <f t="shared" si="850"/>
        <v>195493.19999999998</v>
      </c>
      <c r="AD2797" s="169">
        <v>0.1258</v>
      </c>
      <c r="AE2797" s="154">
        <f t="shared" si="851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40"/>
        <v>477651199.57437885</v>
      </c>
      <c r="AJ2797" s="19">
        <f t="shared" si="841"/>
        <v>56918800.518691957</v>
      </c>
      <c r="AK2797" s="20">
        <f t="shared" si="852"/>
        <v>0.11916394341605475</v>
      </c>
      <c r="AL2797" s="17"/>
      <c r="AM2797" s="17"/>
      <c r="AN2797" s="17"/>
      <c r="AO2797" s="17"/>
      <c r="AP2797" s="28" t="str">
        <f t="shared" si="853"/>
        <v>CancelCancel</v>
      </c>
      <c r="AQ2797" s="28" t="str">
        <f t="shared" si="854"/>
        <v>CancelCancelJPY</v>
      </c>
      <c r="AR2797" s="206" t="str">
        <f t="shared" si="855"/>
        <v>YAMAHA_Mounter</v>
      </c>
      <c r="AS2797" s="22" t="str">
        <f t="shared" si="856"/>
        <v/>
      </c>
      <c r="AT2797" s="24" t="str">
        <f t="shared" si="857"/>
        <v/>
      </c>
    </row>
    <row r="2798" spans="1:46" s="12" customFormat="1">
      <c r="A2798" s="33" t="str">
        <f t="shared" si="845"/>
        <v>FY 20/21</v>
      </c>
      <c r="B2798" s="152">
        <v>2021</v>
      </c>
      <c r="C2798" s="152">
        <v>3</v>
      </c>
      <c r="D2798" s="33" t="str">
        <f t="shared" si="846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47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48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44"/>
        <v>1</v>
      </c>
      <c r="Z2798" s="18">
        <f t="shared" si="842"/>
        <v>13500000</v>
      </c>
      <c r="AA2798" s="13">
        <v>5.4199999999999998E-2</v>
      </c>
      <c r="AB2798" s="21">
        <f t="shared" si="849"/>
        <v>731700</v>
      </c>
      <c r="AC2798" s="130">
        <f t="shared" si="850"/>
        <v>87804</v>
      </c>
      <c r="AD2798" s="169">
        <v>0.12</v>
      </c>
      <c r="AE2798" s="154">
        <f t="shared" si="851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40"/>
        <v>477651199.57437885</v>
      </c>
      <c r="AJ2798" s="19">
        <f t="shared" si="841"/>
        <v>56918800.518691957</v>
      </c>
      <c r="AK2798" s="20">
        <f t="shared" si="852"/>
        <v>0.11916394341605475</v>
      </c>
      <c r="AL2798" s="17"/>
      <c r="AM2798" s="17"/>
      <c r="AN2798" s="17"/>
      <c r="AO2798" s="17" t="s">
        <v>2627</v>
      </c>
      <c r="AP2798" s="28" t="str">
        <f t="shared" si="853"/>
        <v>CancelCancel</v>
      </c>
      <c r="AQ2798" s="28" t="str">
        <f t="shared" si="854"/>
        <v>CancelCancelJPY</v>
      </c>
      <c r="AR2798" s="206" t="str">
        <f t="shared" si="855"/>
        <v>YAMAHA_Mounter</v>
      </c>
      <c r="AS2798" s="22" t="str">
        <f t="shared" si="856"/>
        <v/>
      </c>
      <c r="AT2798" s="24" t="str">
        <f t="shared" si="857"/>
        <v/>
      </c>
    </row>
    <row r="2799" spans="1:46" s="12" customFormat="1">
      <c r="A2799" s="33" t="str">
        <f t="shared" si="845"/>
        <v>FY 20/21</v>
      </c>
      <c r="B2799" s="152">
        <v>2021</v>
      </c>
      <c r="C2799" s="152">
        <v>3</v>
      </c>
      <c r="D2799" s="33" t="str">
        <f t="shared" si="846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47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48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44"/>
        <v>1</v>
      </c>
      <c r="Z2799" s="18">
        <f t="shared" si="842"/>
        <v>13500000</v>
      </c>
      <c r="AA2799" s="13">
        <v>5.4199999999999998E-2</v>
      </c>
      <c r="AB2799" s="21">
        <f t="shared" si="849"/>
        <v>731700</v>
      </c>
      <c r="AC2799" s="130">
        <f t="shared" si="850"/>
        <v>87804</v>
      </c>
      <c r="AD2799" s="169">
        <v>0.12</v>
      </c>
      <c r="AE2799" s="154">
        <f t="shared" si="851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40"/>
        <v>477651199.57437885</v>
      </c>
      <c r="AJ2799" s="19">
        <f t="shared" si="841"/>
        <v>56918800.518691957</v>
      </c>
      <c r="AK2799" s="20">
        <f t="shared" si="852"/>
        <v>0.11916394341605475</v>
      </c>
      <c r="AL2799" s="17"/>
      <c r="AM2799" s="17"/>
      <c r="AN2799" s="17"/>
      <c r="AO2799" s="17" t="s">
        <v>2627</v>
      </c>
      <c r="AP2799" s="28" t="str">
        <f t="shared" si="853"/>
        <v>CancelCancel</v>
      </c>
      <c r="AQ2799" s="28" t="str">
        <f t="shared" si="854"/>
        <v>CancelCancelJPY</v>
      </c>
      <c r="AR2799" s="206" t="str">
        <f t="shared" si="855"/>
        <v>YAMAHA_Mounter</v>
      </c>
      <c r="AS2799" s="22" t="str">
        <f t="shared" si="856"/>
        <v/>
      </c>
      <c r="AT2799" s="24" t="str">
        <f t="shared" si="857"/>
        <v/>
      </c>
    </row>
    <row r="2800" spans="1:46" s="12" customFormat="1">
      <c r="A2800" s="33" t="str">
        <f t="shared" si="845"/>
        <v>FY 20/21</v>
      </c>
      <c r="B2800" s="152">
        <v>2021</v>
      </c>
      <c r="C2800" s="152">
        <v>3</v>
      </c>
      <c r="D2800" s="33" t="str">
        <f t="shared" si="846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47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48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44"/>
        <v>1</v>
      </c>
      <c r="Z2800" s="18">
        <f t="shared" si="842"/>
        <v>10500000</v>
      </c>
      <c r="AA2800" s="13">
        <v>5.4199999999999998E-2</v>
      </c>
      <c r="AB2800" s="21">
        <f t="shared" si="849"/>
        <v>569100</v>
      </c>
      <c r="AC2800" s="130">
        <f t="shared" si="850"/>
        <v>68292</v>
      </c>
      <c r="AD2800" s="169">
        <v>0.12</v>
      </c>
      <c r="AE2800" s="154">
        <f t="shared" si="851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40"/>
        <v>477651199.57437885</v>
      </c>
      <c r="AJ2800" s="19">
        <f t="shared" si="841"/>
        <v>56918800.518691957</v>
      </c>
      <c r="AK2800" s="20">
        <f t="shared" si="852"/>
        <v>0.11916394341605475</v>
      </c>
      <c r="AL2800" s="17"/>
      <c r="AM2800" s="17"/>
      <c r="AN2800" s="17"/>
      <c r="AO2800" s="17" t="s">
        <v>2627</v>
      </c>
      <c r="AP2800" s="28" t="str">
        <f t="shared" si="853"/>
        <v>CancelCancel</v>
      </c>
      <c r="AQ2800" s="28" t="str">
        <f t="shared" si="854"/>
        <v>CancelCancelJPY</v>
      </c>
      <c r="AR2800" s="206" t="str">
        <f t="shared" si="855"/>
        <v>YAMAHA_Mounter</v>
      </c>
      <c r="AS2800" s="22" t="str">
        <f t="shared" si="856"/>
        <v/>
      </c>
      <c r="AT2800" s="24" t="str">
        <f t="shared" si="857"/>
        <v/>
      </c>
    </row>
    <row r="2801" spans="1:46" s="12" customFormat="1">
      <c r="A2801" s="33" t="str">
        <f t="shared" si="845"/>
        <v>FY 20/21</v>
      </c>
      <c r="B2801" s="152">
        <v>2020</v>
      </c>
      <c r="C2801" s="152">
        <v>9</v>
      </c>
      <c r="D2801" s="33" t="str">
        <f t="shared" si="846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47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48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44"/>
        <v>1</v>
      </c>
      <c r="Z2801" s="18">
        <f t="shared" si="842"/>
        <v>6850000</v>
      </c>
      <c r="AA2801" s="13">
        <v>7.6100000000000001E-2</v>
      </c>
      <c r="AB2801" s="21">
        <f t="shared" si="849"/>
        <v>521285</v>
      </c>
      <c r="AC2801" s="130">
        <f t="shared" si="850"/>
        <v>62554.2</v>
      </c>
      <c r="AD2801" s="169">
        <v>0.12</v>
      </c>
      <c r="AE2801" s="154">
        <f t="shared" si="851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40"/>
        <v>477651199.57437885</v>
      </c>
      <c r="AJ2801" s="19">
        <f t="shared" si="841"/>
        <v>56918800.518691957</v>
      </c>
      <c r="AK2801" s="20">
        <f t="shared" si="852"/>
        <v>0.11916394341605475</v>
      </c>
      <c r="AL2801" s="17"/>
      <c r="AM2801" s="17"/>
      <c r="AN2801" s="17"/>
      <c r="AO2801" s="17"/>
      <c r="AP2801" s="28" t="str">
        <f t="shared" si="853"/>
        <v>CancelCancel</v>
      </c>
      <c r="AQ2801" s="28" t="str">
        <f t="shared" si="854"/>
        <v>CancelCancelJPY</v>
      </c>
      <c r="AR2801" s="206" t="str">
        <f t="shared" si="855"/>
        <v>YAMAHA_Mounter</v>
      </c>
      <c r="AS2801" s="22" t="str">
        <f t="shared" si="856"/>
        <v/>
      </c>
      <c r="AT2801" s="24" t="str">
        <f t="shared" si="857"/>
        <v/>
      </c>
    </row>
    <row r="2802" spans="1:46" s="12" customFormat="1">
      <c r="A2802" s="33" t="str">
        <f t="shared" si="845"/>
        <v>FY 23/24</v>
      </c>
      <c r="B2802" s="152">
        <v>2023</v>
      </c>
      <c r="C2802" s="152">
        <v>10</v>
      </c>
      <c r="D2802" s="33" t="str">
        <f t="shared" si="846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47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48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42"/>
        <v>390000</v>
      </c>
      <c r="AA2802" s="13">
        <v>1.07</v>
      </c>
      <c r="AB2802" s="21">
        <f t="shared" si="849"/>
        <v>369292.03539823013</v>
      </c>
      <c r="AC2802" s="130">
        <f t="shared" si="850"/>
        <v>34713.451327433635</v>
      </c>
      <c r="AD2802" s="169">
        <v>9.4E-2</v>
      </c>
      <c r="AE2802" s="154">
        <f t="shared" si="851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40"/>
        <v>5219988.5752212387</v>
      </c>
      <c r="AJ2802" s="19">
        <f t="shared" si="841"/>
        <v>631627.0013460177</v>
      </c>
      <c r="AK2802" s="20">
        <f t="shared" si="852"/>
        <v>0.12100160608478869</v>
      </c>
      <c r="AL2802" s="17"/>
      <c r="AM2802" s="17"/>
      <c r="AN2802" s="17"/>
      <c r="AO2802" s="17"/>
      <c r="AP2802" s="28" t="str">
        <f t="shared" si="853"/>
        <v>202310</v>
      </c>
      <c r="AQ2802" s="28" t="str">
        <f t="shared" si="854"/>
        <v>202310RMB</v>
      </c>
      <c r="AR2802" s="206" t="str">
        <f t="shared" si="855"/>
        <v>YAMAHA_Mounter</v>
      </c>
      <c r="AS2802" s="22">
        <f t="shared" si="856"/>
        <v>0</v>
      </c>
      <c r="AT2802" s="24" t="str">
        <f t="shared" si="857"/>
        <v>0-3 months</v>
      </c>
    </row>
    <row r="2803" spans="1:46" s="12" customFormat="1">
      <c r="A2803" s="33" t="str">
        <f t="shared" si="845"/>
        <v>FY 21/22</v>
      </c>
      <c r="B2803" s="152">
        <v>2021</v>
      </c>
      <c r="C2803" s="152">
        <v>4</v>
      </c>
      <c r="D2803" s="33" t="str">
        <f t="shared" si="846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47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48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42"/>
        <v>788000</v>
      </c>
      <c r="AA2803" s="13">
        <v>1.1950000000000001</v>
      </c>
      <c r="AB2803" s="21">
        <f t="shared" si="849"/>
        <v>833327.43362831871</v>
      </c>
      <c r="AC2803" s="130">
        <f t="shared" si="850"/>
        <v>145165.6389380531</v>
      </c>
      <c r="AD2803" s="169">
        <v>0.17419999999999999</v>
      </c>
      <c r="AE2803" s="154">
        <f t="shared" si="851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40"/>
        <v>63006605.696460173</v>
      </c>
      <c r="AJ2803" s="19">
        <f t="shared" si="841"/>
        <v>8897485.660753984</v>
      </c>
      <c r="AK2803" s="20">
        <f t="shared" si="852"/>
        <v>0.141215124388995</v>
      </c>
      <c r="AL2803" s="17"/>
      <c r="AM2803" s="17"/>
      <c r="AN2803" s="17"/>
      <c r="AO2803" s="17"/>
      <c r="AP2803" s="28" t="str">
        <f t="shared" si="853"/>
        <v>20215</v>
      </c>
      <c r="AQ2803" s="28" t="str">
        <f t="shared" si="854"/>
        <v>20215RMB</v>
      </c>
      <c r="AR2803" s="206" t="str">
        <f t="shared" si="855"/>
        <v>YAMAHA_Mounter</v>
      </c>
      <c r="AS2803" s="22">
        <f t="shared" si="856"/>
        <v>1</v>
      </c>
      <c r="AT2803" s="24" t="str">
        <f t="shared" si="857"/>
        <v>0-3 months</v>
      </c>
    </row>
    <row r="2804" spans="1:46" s="12" customFormat="1">
      <c r="A2804" s="33" t="str">
        <f t="shared" si="845"/>
        <v>FY 21/22</v>
      </c>
      <c r="B2804" s="152">
        <v>2021</v>
      </c>
      <c r="C2804" s="152">
        <v>7</v>
      </c>
      <c r="D2804" s="33" t="str">
        <f t="shared" si="846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47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48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42"/>
        <v>10325000</v>
      </c>
      <c r="AA2804" s="13">
        <v>7.17E-2</v>
      </c>
      <c r="AB2804" s="21">
        <f t="shared" si="849"/>
        <v>740302.5</v>
      </c>
      <c r="AC2804" s="130">
        <f t="shared" si="850"/>
        <v>35682.580499999996</v>
      </c>
      <c r="AD2804" s="169">
        <v>4.82E-2</v>
      </c>
      <c r="AE2804" s="154">
        <f t="shared" si="851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40"/>
        <v>41443303.53761062</v>
      </c>
      <c r="AJ2804" s="19">
        <f t="shared" si="841"/>
        <v>6194988.76643031</v>
      </c>
      <c r="AK2804" s="20">
        <f t="shared" si="852"/>
        <v>0.1494810557466355</v>
      </c>
      <c r="AL2804" s="17"/>
      <c r="AM2804" s="17"/>
      <c r="AN2804" s="17"/>
      <c r="AO2804" s="17"/>
      <c r="AP2804" s="28" t="str">
        <f t="shared" si="853"/>
        <v>20217</v>
      </c>
      <c r="AQ2804" s="28" t="str">
        <f t="shared" si="854"/>
        <v>20217JPY</v>
      </c>
      <c r="AR2804" s="206" t="str">
        <f t="shared" si="855"/>
        <v>YAMAHA_Mounter</v>
      </c>
      <c r="AS2804" s="22">
        <f t="shared" si="856"/>
        <v>0</v>
      </c>
      <c r="AT2804" s="24" t="str">
        <f t="shared" si="857"/>
        <v>0-3 months</v>
      </c>
    </row>
    <row r="2805" spans="1:46" s="12" customFormat="1">
      <c r="A2805" s="33" t="str">
        <f t="shared" si="845"/>
        <v>FY 21/22</v>
      </c>
      <c r="B2805" s="152">
        <v>2021</v>
      </c>
      <c r="C2805" s="152">
        <v>7</v>
      </c>
      <c r="D2805" s="33" t="str">
        <f t="shared" si="846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47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48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42"/>
        <v>10325000</v>
      </c>
      <c r="AA2805" s="13">
        <v>7.17E-2</v>
      </c>
      <c r="AB2805" s="21">
        <f t="shared" si="849"/>
        <v>740302.5</v>
      </c>
      <c r="AC2805" s="130">
        <f t="shared" si="850"/>
        <v>35682.580499999996</v>
      </c>
      <c r="AD2805" s="169">
        <v>4.82E-2</v>
      </c>
      <c r="AE2805" s="154">
        <f t="shared" si="851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40"/>
        <v>41443303.53761062</v>
      </c>
      <c r="AJ2805" s="19">
        <f t="shared" si="841"/>
        <v>6194988.76643031</v>
      </c>
      <c r="AK2805" s="20">
        <f t="shared" si="852"/>
        <v>0.1494810557466355</v>
      </c>
      <c r="AL2805" s="17"/>
      <c r="AM2805" s="17"/>
      <c r="AN2805" s="17"/>
      <c r="AO2805" s="17"/>
      <c r="AP2805" s="28" t="str">
        <f t="shared" si="853"/>
        <v>20217</v>
      </c>
      <c r="AQ2805" s="28" t="str">
        <f t="shared" si="854"/>
        <v>20217JPY</v>
      </c>
      <c r="AR2805" s="206" t="str">
        <f t="shared" si="855"/>
        <v>YAMAHA_Mounter</v>
      </c>
      <c r="AS2805" s="22">
        <f t="shared" si="856"/>
        <v>0</v>
      </c>
      <c r="AT2805" s="24" t="str">
        <f t="shared" si="857"/>
        <v>0-3 months</v>
      </c>
    </row>
    <row r="2806" spans="1:46" s="12" customFormat="1">
      <c r="A2806" s="33" t="str">
        <f t="shared" si="845"/>
        <v>FY 19/20</v>
      </c>
      <c r="B2806" s="152">
        <v>2019</v>
      </c>
      <c r="C2806" s="152">
        <v>4</v>
      </c>
      <c r="D2806" s="33" t="str">
        <f t="shared" si="846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47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48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42"/>
        <v>12030000</v>
      </c>
      <c r="AA2806" s="13">
        <v>7.17E-2</v>
      </c>
      <c r="AB2806" s="21">
        <f t="shared" si="849"/>
        <v>862551</v>
      </c>
      <c r="AC2806" s="130">
        <f t="shared" si="850"/>
        <v>99538.385399999999</v>
      </c>
      <c r="AD2806" s="169">
        <v>0.1154</v>
      </c>
      <c r="AE2806" s="154">
        <f t="shared" si="851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40"/>
        <v>14593788.187146019</v>
      </c>
      <c r="AJ2806" s="19">
        <f t="shared" si="841"/>
        <v>1868647.7321969916</v>
      </c>
      <c r="AK2806" s="20">
        <f t="shared" si="852"/>
        <v>0.12804404916900652</v>
      </c>
      <c r="AL2806" s="17"/>
      <c r="AM2806" s="17"/>
      <c r="AN2806" s="17"/>
      <c r="AO2806" s="17"/>
      <c r="AP2806" s="28" t="str">
        <f t="shared" si="853"/>
        <v>20195</v>
      </c>
      <c r="AQ2806" s="28" t="str">
        <f t="shared" si="854"/>
        <v>20195JPY</v>
      </c>
      <c r="AR2806" s="206" t="str">
        <f t="shared" si="855"/>
        <v>YAMAHA_Mounter</v>
      </c>
      <c r="AS2806" s="22">
        <f t="shared" si="856"/>
        <v>1</v>
      </c>
      <c r="AT2806" s="24" t="str">
        <f t="shared" si="857"/>
        <v>0-3 months</v>
      </c>
    </row>
    <row r="2807" spans="1:46" s="12" customFormat="1">
      <c r="A2807" s="33" t="str">
        <f t="shared" si="845"/>
        <v>FY 19/20</v>
      </c>
      <c r="B2807" s="152">
        <v>2019</v>
      </c>
      <c r="C2807" s="152">
        <v>4</v>
      </c>
      <c r="D2807" s="33" t="str">
        <f t="shared" si="846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47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48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42"/>
        <v>12030000</v>
      </c>
      <c r="AA2807" s="13">
        <v>7.17E-2</v>
      </c>
      <c r="AB2807" s="21">
        <f t="shared" si="849"/>
        <v>862551</v>
      </c>
      <c r="AC2807" s="130">
        <f t="shared" si="850"/>
        <v>99538.385399999999</v>
      </c>
      <c r="AD2807" s="169">
        <v>0.1154</v>
      </c>
      <c r="AE2807" s="154">
        <f t="shared" si="851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40"/>
        <v>14593788.187146019</v>
      </c>
      <c r="AJ2807" s="19">
        <f t="shared" si="841"/>
        <v>1868647.7321969916</v>
      </c>
      <c r="AK2807" s="20">
        <f t="shared" si="852"/>
        <v>0.12804404916900652</v>
      </c>
      <c r="AL2807" s="17"/>
      <c r="AM2807" s="17"/>
      <c r="AN2807" s="17"/>
      <c r="AO2807" s="17"/>
      <c r="AP2807" s="28" t="str">
        <f t="shared" si="853"/>
        <v>20195</v>
      </c>
      <c r="AQ2807" s="28" t="str">
        <f t="shared" si="854"/>
        <v>20195JPY</v>
      </c>
      <c r="AR2807" s="206" t="str">
        <f t="shared" si="855"/>
        <v>YAMAHA_Mounter</v>
      </c>
      <c r="AS2807" s="22">
        <f t="shared" si="856"/>
        <v>1</v>
      </c>
      <c r="AT2807" s="24" t="str">
        <f t="shared" si="857"/>
        <v>0-3 months</v>
      </c>
    </row>
    <row r="2808" spans="1:46" s="12" customFormat="1">
      <c r="A2808" s="33" t="str">
        <f t="shared" si="845"/>
        <v>FY 19/20</v>
      </c>
      <c r="B2808" s="152">
        <v>2019</v>
      </c>
      <c r="C2808" s="152">
        <v>9</v>
      </c>
      <c r="D2808" s="33" t="str">
        <f t="shared" si="846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47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48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42"/>
        <v>1380000</v>
      </c>
      <c r="AA2808" s="13">
        <v>1.095</v>
      </c>
      <c r="AB2808" s="21">
        <f t="shared" si="849"/>
        <v>1337256.6371681418</v>
      </c>
      <c r="AC2808" s="130">
        <f t="shared" si="850"/>
        <v>129713.89380530975</v>
      </c>
      <c r="AD2808" s="169">
        <v>9.7000000000000003E-2</v>
      </c>
      <c r="AE2808" s="154">
        <f t="shared" si="851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40"/>
        <v>28647263.974455759</v>
      </c>
      <c r="AJ2808" s="19">
        <f t="shared" si="841"/>
        <v>3219855.6912513468</v>
      </c>
      <c r="AK2808" s="20">
        <f t="shared" si="852"/>
        <v>0.11239662168514358</v>
      </c>
      <c r="AL2808" s="17"/>
      <c r="AM2808" s="17"/>
      <c r="AN2808" s="17"/>
      <c r="AO2808" s="17"/>
      <c r="AP2808" s="28" t="str">
        <f t="shared" si="853"/>
        <v>201910</v>
      </c>
      <c r="AQ2808" s="28" t="str">
        <f t="shared" si="854"/>
        <v>201910RMB</v>
      </c>
      <c r="AR2808" s="206" t="str">
        <f t="shared" si="855"/>
        <v>YAMAHA_Mounter</v>
      </c>
      <c r="AS2808" s="22">
        <f t="shared" si="856"/>
        <v>1</v>
      </c>
      <c r="AT2808" s="24" t="str">
        <f t="shared" si="857"/>
        <v>0-3 months</v>
      </c>
    </row>
    <row r="2809" spans="1:46" s="12" customFormat="1">
      <c r="A2809" s="33" t="str">
        <f t="shared" si="845"/>
        <v>cancel</v>
      </c>
      <c r="B2809" s="152"/>
      <c r="C2809" s="152" t="s">
        <v>186</v>
      </c>
      <c r="D2809" s="33" t="str">
        <f t="shared" si="846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47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48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42"/>
        <v>12500000</v>
      </c>
      <c r="AA2809" s="13">
        <v>7.2300000000000003E-2</v>
      </c>
      <c r="AB2809" s="21">
        <f t="shared" si="849"/>
        <v>903750</v>
      </c>
      <c r="AC2809" s="130">
        <f t="shared" si="850"/>
        <v>108450</v>
      </c>
      <c r="AD2809" s="169">
        <v>0.12</v>
      </c>
      <c r="AE2809" s="154">
        <f t="shared" si="851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40"/>
        <v>477651199.57437885</v>
      </c>
      <c r="AJ2809" s="19">
        <f t="shared" si="841"/>
        <v>56918800.518691957</v>
      </c>
      <c r="AK2809" s="20">
        <f t="shared" si="852"/>
        <v>0.11916394341605475</v>
      </c>
      <c r="AL2809" s="17"/>
      <c r="AM2809" s="17"/>
      <c r="AN2809" s="17"/>
      <c r="AO2809" s="17" t="s">
        <v>186</v>
      </c>
      <c r="AP2809" s="28" t="str">
        <f t="shared" si="853"/>
        <v>CancelCancel</v>
      </c>
      <c r="AQ2809" s="28" t="str">
        <f t="shared" si="854"/>
        <v>CancelCancelJPY</v>
      </c>
      <c r="AR2809" s="206" t="str">
        <f t="shared" si="855"/>
        <v>YAMAHA_Mounter</v>
      </c>
      <c r="AS2809" s="22" t="str">
        <f t="shared" si="856"/>
        <v/>
      </c>
      <c r="AT2809" s="24" t="str">
        <f t="shared" si="857"/>
        <v/>
      </c>
    </row>
    <row r="2810" spans="1:46" s="12" customFormat="1">
      <c r="A2810" s="33" t="str">
        <f t="shared" si="845"/>
        <v>cancel</v>
      </c>
      <c r="B2810" s="152"/>
      <c r="C2810" s="152" t="s">
        <v>186</v>
      </c>
      <c r="D2810" s="33" t="str">
        <f t="shared" si="846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47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48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42"/>
        <v>12500000</v>
      </c>
      <c r="AA2810" s="13">
        <v>7.2300000000000003E-2</v>
      </c>
      <c r="AB2810" s="21">
        <f t="shared" si="849"/>
        <v>903750</v>
      </c>
      <c r="AC2810" s="130">
        <f t="shared" si="850"/>
        <v>108450</v>
      </c>
      <c r="AD2810" s="169">
        <v>0.12</v>
      </c>
      <c r="AE2810" s="154">
        <f t="shared" si="851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40"/>
        <v>477651199.57437885</v>
      </c>
      <c r="AJ2810" s="19">
        <f t="shared" si="841"/>
        <v>56918800.518691957</v>
      </c>
      <c r="AK2810" s="20">
        <f t="shared" si="852"/>
        <v>0.11916394341605475</v>
      </c>
      <c r="AL2810" s="17"/>
      <c r="AM2810" s="17"/>
      <c r="AN2810" s="17"/>
      <c r="AO2810" s="17" t="s">
        <v>186</v>
      </c>
      <c r="AP2810" s="28" t="str">
        <f t="shared" si="853"/>
        <v>CancelCancel</v>
      </c>
      <c r="AQ2810" s="28" t="str">
        <f t="shared" si="854"/>
        <v>CancelCancelJPY</v>
      </c>
      <c r="AR2810" s="206" t="str">
        <f t="shared" si="855"/>
        <v>YAMAHA_Mounter</v>
      </c>
      <c r="AS2810" s="22" t="str">
        <f t="shared" si="856"/>
        <v/>
      </c>
      <c r="AT2810" s="24" t="str">
        <f t="shared" si="857"/>
        <v/>
      </c>
    </row>
    <row r="2811" spans="1:46" s="12" customFormat="1">
      <c r="A2811" s="33" t="str">
        <f t="shared" si="845"/>
        <v>FY 20/21</v>
      </c>
      <c r="B2811" s="152">
        <v>2020</v>
      </c>
      <c r="C2811" s="152">
        <v>12</v>
      </c>
      <c r="D2811" s="33" t="str">
        <f t="shared" si="846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47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48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42"/>
        <v>900000</v>
      </c>
      <c r="AA2811" s="13">
        <v>1.1950000000000001</v>
      </c>
      <c r="AB2811" s="21">
        <f t="shared" si="849"/>
        <v>951769.91150442488</v>
      </c>
      <c r="AC2811" s="130">
        <f t="shared" si="850"/>
        <v>164370.66371681416</v>
      </c>
      <c r="AD2811" s="169">
        <v>0.17269999999999999</v>
      </c>
      <c r="AE2811" s="154">
        <f t="shared" si="851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40"/>
        <v>63006605.696460173</v>
      </c>
      <c r="AJ2811" s="19">
        <f t="shared" si="841"/>
        <v>8897485.660753984</v>
      </c>
      <c r="AK2811" s="20">
        <f t="shared" si="852"/>
        <v>0.141215124388995</v>
      </c>
      <c r="AL2811" s="17"/>
      <c r="AM2811" s="17"/>
      <c r="AN2811" s="17"/>
      <c r="AO2811" s="17"/>
      <c r="AP2811" s="28" t="str">
        <f t="shared" si="853"/>
        <v>20215</v>
      </c>
      <c r="AQ2811" s="28" t="str">
        <f t="shared" si="854"/>
        <v>20215RMB</v>
      </c>
      <c r="AR2811" s="206" t="str">
        <f t="shared" si="855"/>
        <v>YAMAHA_Mounter</v>
      </c>
      <c r="AS2811" s="22">
        <f t="shared" si="856"/>
        <v>5</v>
      </c>
      <c r="AT2811" s="24" t="str">
        <f t="shared" si="857"/>
        <v>4-6 months</v>
      </c>
    </row>
    <row r="2812" spans="1:46" s="12" customFormat="1">
      <c r="A2812" s="33" t="str">
        <f t="shared" si="845"/>
        <v>FY 20/21</v>
      </c>
      <c r="B2812" s="152">
        <v>2020</v>
      </c>
      <c r="C2812" s="152">
        <v>12</v>
      </c>
      <c r="D2812" s="33" t="str">
        <f t="shared" si="846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47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48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42"/>
        <v>630000</v>
      </c>
      <c r="AA2812" s="13">
        <v>1.1950000000000001</v>
      </c>
      <c r="AB2812" s="21">
        <f t="shared" si="849"/>
        <v>666238.93805309734</v>
      </c>
      <c r="AC2812" s="130">
        <f t="shared" si="850"/>
        <v>115059.46460176991</v>
      </c>
      <c r="AD2812" s="169">
        <v>0.17269999999999999</v>
      </c>
      <c r="AE2812" s="154">
        <f t="shared" si="851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40"/>
        <v>63006605.696460173</v>
      </c>
      <c r="AJ2812" s="19">
        <f t="shared" si="841"/>
        <v>8897485.660753984</v>
      </c>
      <c r="AK2812" s="20">
        <f t="shared" si="852"/>
        <v>0.141215124388995</v>
      </c>
      <c r="AL2812" s="17"/>
      <c r="AM2812" s="17"/>
      <c r="AN2812" s="17"/>
      <c r="AO2812" s="17"/>
      <c r="AP2812" s="28" t="str">
        <f t="shared" si="853"/>
        <v>20215</v>
      </c>
      <c r="AQ2812" s="28" t="str">
        <f t="shared" si="854"/>
        <v>20215RMB</v>
      </c>
      <c r="AR2812" s="206" t="str">
        <f t="shared" si="855"/>
        <v>YAMAHA_Mounter</v>
      </c>
      <c r="AS2812" s="22">
        <f t="shared" si="856"/>
        <v>5</v>
      </c>
      <c r="AT2812" s="24" t="str">
        <f t="shared" si="857"/>
        <v>4-6 months</v>
      </c>
    </row>
    <row r="2813" spans="1:46" s="12" customFormat="1">
      <c r="A2813" s="33" t="str">
        <f t="shared" si="845"/>
        <v>FY 20/21</v>
      </c>
      <c r="B2813" s="152">
        <v>2021</v>
      </c>
      <c r="C2813" s="152">
        <v>2</v>
      </c>
      <c r="D2813" s="33" t="str">
        <f t="shared" si="846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47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48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42"/>
        <v>1030000</v>
      </c>
      <c r="AA2813" s="13">
        <v>1.2</v>
      </c>
      <c r="AB2813" s="21">
        <f t="shared" si="849"/>
        <v>1093805.3097345133</v>
      </c>
      <c r="AC2813" s="130">
        <f t="shared" si="850"/>
        <v>165273.98230088496</v>
      </c>
      <c r="AD2813" s="169">
        <v>0.15110000000000001</v>
      </c>
      <c r="AE2813" s="154">
        <f t="shared" si="851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40"/>
        <v>41443303.53761062</v>
      </c>
      <c r="AJ2813" s="19">
        <f t="shared" si="841"/>
        <v>6194988.76643031</v>
      </c>
      <c r="AK2813" s="20">
        <f t="shared" si="852"/>
        <v>0.1494810557466355</v>
      </c>
      <c r="AL2813" s="17"/>
      <c r="AM2813" s="17"/>
      <c r="AN2813" s="17"/>
      <c r="AO2813" s="17"/>
      <c r="AP2813" s="28" t="str">
        <f t="shared" si="853"/>
        <v>20217</v>
      </c>
      <c r="AQ2813" s="28" t="str">
        <f t="shared" si="854"/>
        <v>20217RMB</v>
      </c>
      <c r="AR2813" s="206" t="str">
        <f t="shared" si="855"/>
        <v>YAMAHA_Mounter</v>
      </c>
      <c r="AS2813" s="22">
        <f t="shared" si="856"/>
        <v>5</v>
      </c>
      <c r="AT2813" s="24" t="str">
        <f t="shared" si="857"/>
        <v>4-6 months</v>
      </c>
    </row>
    <row r="2814" spans="1:46" s="12" customFormat="1">
      <c r="A2814" s="33" t="str">
        <f t="shared" si="845"/>
        <v>FY 20/21</v>
      </c>
      <c r="B2814" s="152">
        <v>2020</v>
      </c>
      <c r="C2814" s="152">
        <v>6</v>
      </c>
      <c r="D2814" s="33" t="str">
        <f t="shared" si="846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47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48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42"/>
        <v>15000000</v>
      </c>
      <c r="AA2814" s="13">
        <v>7.3400000000000007E-2</v>
      </c>
      <c r="AB2814" s="21">
        <f t="shared" si="849"/>
        <v>1101000</v>
      </c>
      <c r="AC2814" s="130">
        <f t="shared" si="850"/>
        <v>234513</v>
      </c>
      <c r="AD2814" s="169">
        <v>0.21299999999999999</v>
      </c>
      <c r="AE2814" s="154">
        <f t="shared" si="851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40"/>
        <v>35384300.169380538</v>
      </c>
      <c r="AJ2814" s="19">
        <f t="shared" si="841"/>
        <v>5044538.8896988509</v>
      </c>
      <c r="AK2814" s="20">
        <f t="shared" si="852"/>
        <v>0.14256432557804533</v>
      </c>
      <c r="AL2814" s="17"/>
      <c r="AM2814" s="17"/>
      <c r="AN2814" s="17"/>
      <c r="AO2814" s="17"/>
      <c r="AP2814" s="28" t="str">
        <f t="shared" si="853"/>
        <v>20207</v>
      </c>
      <c r="AQ2814" s="28" t="str">
        <f t="shared" si="854"/>
        <v>20207JPY</v>
      </c>
      <c r="AR2814" s="206" t="str">
        <f t="shared" si="855"/>
        <v>YAMAHA_Mounter</v>
      </c>
      <c r="AS2814" s="22">
        <f t="shared" si="856"/>
        <v>1</v>
      </c>
      <c r="AT2814" s="24" t="str">
        <f t="shared" si="857"/>
        <v>0-3 months</v>
      </c>
    </row>
    <row r="2815" spans="1:46" s="12" customFormat="1">
      <c r="A2815" s="33" t="str">
        <f t="shared" si="845"/>
        <v>FY 20/21</v>
      </c>
      <c r="B2815" s="152">
        <v>2020</v>
      </c>
      <c r="C2815" s="152">
        <v>6</v>
      </c>
      <c r="D2815" s="33" t="str">
        <f t="shared" si="846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47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48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42"/>
        <v>10100100</v>
      </c>
      <c r="AA2815" s="13">
        <v>7.3400000000000007E-2</v>
      </c>
      <c r="AB2815" s="21">
        <f t="shared" si="849"/>
        <v>741347.34000000008</v>
      </c>
      <c r="AC2815" s="130">
        <f t="shared" si="850"/>
        <v>157906.98342</v>
      </c>
      <c r="AD2815" s="169">
        <v>0.21299999999999999</v>
      </c>
      <c r="AE2815" s="154">
        <f t="shared" si="851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40"/>
        <v>35384300.169380538</v>
      </c>
      <c r="AJ2815" s="19">
        <f t="shared" si="841"/>
        <v>5044538.8896988509</v>
      </c>
      <c r="AK2815" s="20">
        <f t="shared" si="852"/>
        <v>0.14256432557804533</v>
      </c>
      <c r="AL2815" s="17"/>
      <c r="AM2815" s="17"/>
      <c r="AN2815" s="17"/>
      <c r="AO2815" s="17"/>
      <c r="AP2815" s="28" t="str">
        <f t="shared" si="853"/>
        <v>20207</v>
      </c>
      <c r="AQ2815" s="28" t="str">
        <f t="shared" si="854"/>
        <v>20207JPY</v>
      </c>
      <c r="AR2815" s="206" t="str">
        <f t="shared" si="855"/>
        <v>YAMAHA_Mounter</v>
      </c>
      <c r="AS2815" s="22">
        <f t="shared" si="856"/>
        <v>1</v>
      </c>
      <c r="AT2815" s="24" t="str">
        <f t="shared" si="857"/>
        <v>0-3 months</v>
      </c>
    </row>
    <row r="2816" spans="1:46" s="12" customFormat="1">
      <c r="A2816" s="33" t="str">
        <f t="shared" si="845"/>
        <v>FY 20/21</v>
      </c>
      <c r="B2816" s="152">
        <v>2020</v>
      </c>
      <c r="C2816" s="152">
        <v>6</v>
      </c>
      <c r="D2816" s="33" t="str">
        <f t="shared" si="846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47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48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42"/>
        <v>10100100</v>
      </c>
      <c r="AA2816" s="13">
        <v>7.3400000000000007E-2</v>
      </c>
      <c r="AB2816" s="21">
        <f t="shared" si="849"/>
        <v>741347.34000000008</v>
      </c>
      <c r="AC2816" s="130">
        <f t="shared" si="850"/>
        <v>157906.98342</v>
      </c>
      <c r="AD2816" s="169">
        <v>0.21299999999999999</v>
      </c>
      <c r="AE2816" s="154">
        <f t="shared" si="851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40"/>
        <v>35384300.169380538</v>
      </c>
      <c r="AJ2816" s="19">
        <f t="shared" si="841"/>
        <v>5044538.8896988509</v>
      </c>
      <c r="AK2816" s="20">
        <f t="shared" si="852"/>
        <v>0.14256432557804533</v>
      </c>
      <c r="AL2816" s="17"/>
      <c r="AM2816" s="17"/>
      <c r="AN2816" s="17"/>
      <c r="AO2816" s="17"/>
      <c r="AP2816" s="28" t="str">
        <f t="shared" si="853"/>
        <v>20207</v>
      </c>
      <c r="AQ2816" s="28" t="str">
        <f t="shared" si="854"/>
        <v>20207JPY</v>
      </c>
      <c r="AR2816" s="206" t="str">
        <f t="shared" si="855"/>
        <v>YAMAHA_Mounter</v>
      </c>
      <c r="AS2816" s="22">
        <f t="shared" si="856"/>
        <v>1</v>
      </c>
      <c r="AT2816" s="24" t="str">
        <f t="shared" si="857"/>
        <v>0-3 months</v>
      </c>
    </row>
    <row r="2817" spans="1:46" s="12" customFormat="1">
      <c r="A2817" s="33" t="str">
        <f t="shared" si="845"/>
        <v>FY 22/23</v>
      </c>
      <c r="B2817" s="152">
        <v>2022</v>
      </c>
      <c r="C2817" s="152">
        <v>7</v>
      </c>
      <c r="D2817" s="33" t="str">
        <f t="shared" si="846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47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48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42"/>
        <v>1440000</v>
      </c>
      <c r="AA2817" s="13">
        <v>1.163</v>
      </c>
      <c r="AB2817" s="21">
        <f t="shared" si="849"/>
        <v>1482053.0973451328</v>
      </c>
      <c r="AC2817" s="130">
        <f t="shared" si="850"/>
        <v>289741.38053097349</v>
      </c>
      <c r="AD2817" s="169">
        <v>0.19550000000000001</v>
      </c>
      <c r="AE2817" s="154">
        <f t="shared" si="851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40"/>
        <v>35073581.838938057</v>
      </c>
      <c r="AJ2817" s="19">
        <f t="shared" si="841"/>
        <v>5034113.9728989396</v>
      </c>
      <c r="AK2817" s="20">
        <f t="shared" si="852"/>
        <v>0.14353007902118958</v>
      </c>
      <c r="AL2817" s="17"/>
      <c r="AM2817" s="17"/>
      <c r="AN2817" s="17"/>
      <c r="AO2817" s="17"/>
      <c r="AP2817" s="28" t="str">
        <f t="shared" si="853"/>
        <v>20228</v>
      </c>
      <c r="AQ2817" s="28" t="str">
        <f t="shared" si="854"/>
        <v>20228RMB</v>
      </c>
      <c r="AR2817" s="206" t="str">
        <f t="shared" si="855"/>
        <v>YAMAHA_Mounter</v>
      </c>
      <c r="AS2817" s="22">
        <f t="shared" si="856"/>
        <v>1</v>
      </c>
      <c r="AT2817" s="24" t="str">
        <f t="shared" si="857"/>
        <v>0-3 months</v>
      </c>
    </row>
    <row r="2818" spans="1:46" s="12" customFormat="1">
      <c r="A2818" s="33" t="str">
        <f t="shared" si="845"/>
        <v>FY 22/23</v>
      </c>
      <c r="B2818" s="152">
        <v>2022</v>
      </c>
      <c r="C2818" s="152">
        <v>7</v>
      </c>
      <c r="D2818" s="33" t="str">
        <f t="shared" si="846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47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48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42"/>
        <v>1440000</v>
      </c>
      <c r="AA2818" s="13">
        <v>1.163</v>
      </c>
      <c r="AB2818" s="21">
        <f t="shared" si="849"/>
        <v>1482053.0973451328</v>
      </c>
      <c r="AC2818" s="130">
        <f t="shared" si="850"/>
        <v>289741.38053097349</v>
      </c>
      <c r="AD2818" s="169">
        <v>0.19550000000000001</v>
      </c>
      <c r="AE2818" s="154">
        <f t="shared" si="851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58">IF(P2818="C66 SERVICE","",SUMIFS(AB:AB,F:F,F2818,G:G,G2818,E:E,E2818))</f>
        <v>35073581.838938057</v>
      </c>
      <c r="AJ2818" s="19">
        <f t="shared" ref="AJ2818:AJ2881" si="859">IF(P2818="C66 SERVICE","",SUMIFS(AC:AC,F:F,F2818,G:G,G2818,E:E,E2818))</f>
        <v>5034113.9728989396</v>
      </c>
      <c r="AK2818" s="20">
        <f t="shared" si="852"/>
        <v>0.14353007902118958</v>
      </c>
      <c r="AL2818" s="17"/>
      <c r="AM2818" s="17"/>
      <c r="AN2818" s="17"/>
      <c r="AO2818" s="17"/>
      <c r="AP2818" s="28" t="str">
        <f t="shared" si="853"/>
        <v>20228</v>
      </c>
      <c r="AQ2818" s="28" t="str">
        <f t="shared" si="854"/>
        <v>20228RMB</v>
      </c>
      <c r="AR2818" s="206" t="str">
        <f t="shared" si="855"/>
        <v>YAMAHA_Mounter</v>
      </c>
      <c r="AS2818" s="22">
        <f t="shared" si="856"/>
        <v>1</v>
      </c>
      <c r="AT2818" s="24" t="str">
        <f t="shared" si="857"/>
        <v>0-3 months</v>
      </c>
    </row>
    <row r="2819" spans="1:46" s="12" customFormat="1">
      <c r="A2819" s="33" t="str">
        <f t="shared" si="845"/>
        <v>FY 22/23</v>
      </c>
      <c r="B2819" s="152">
        <v>2023</v>
      </c>
      <c r="C2819" s="152">
        <v>2</v>
      </c>
      <c r="D2819" s="33" t="str">
        <f t="shared" si="846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47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48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42"/>
        <v>1475000</v>
      </c>
      <c r="AA2819" s="13">
        <v>1.135</v>
      </c>
      <c r="AB2819" s="21">
        <f t="shared" si="849"/>
        <v>1481526.5486725664</v>
      </c>
      <c r="AC2819" s="130">
        <f t="shared" si="850"/>
        <v>428753.7831858407</v>
      </c>
      <c r="AD2819" s="169">
        <v>0.28939999999999999</v>
      </c>
      <c r="AE2819" s="154">
        <f t="shared" si="851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58"/>
        <v>28177779.013274338</v>
      </c>
      <c r="AJ2819" s="19">
        <f t="shared" si="859"/>
        <v>4727216.6376190251</v>
      </c>
      <c r="AK2819" s="20">
        <f t="shared" si="852"/>
        <v>0.1677639900359808</v>
      </c>
      <c r="AL2819" s="17"/>
      <c r="AM2819" s="17"/>
      <c r="AN2819" s="17"/>
      <c r="AO2819" s="17"/>
      <c r="AP2819" s="28" t="str">
        <f t="shared" si="853"/>
        <v>20235</v>
      </c>
      <c r="AQ2819" s="28" t="str">
        <f t="shared" si="854"/>
        <v>20235RMB</v>
      </c>
      <c r="AR2819" s="206" t="str">
        <f t="shared" si="855"/>
        <v>YAMAHA_Mounter</v>
      </c>
      <c r="AS2819" s="22">
        <f t="shared" si="856"/>
        <v>3</v>
      </c>
      <c r="AT2819" s="24" t="str">
        <f t="shared" si="857"/>
        <v>0-3 months</v>
      </c>
    </row>
    <row r="2820" spans="1:46" s="12" customFormat="1">
      <c r="A2820" s="33" t="str">
        <f t="shared" si="845"/>
        <v>FY 22/23</v>
      </c>
      <c r="B2820" s="152">
        <v>2023</v>
      </c>
      <c r="C2820" s="152">
        <v>2</v>
      </c>
      <c r="D2820" s="33" t="str">
        <f t="shared" si="846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47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48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42"/>
        <v>1475000</v>
      </c>
      <c r="AA2820" s="13">
        <v>1.135</v>
      </c>
      <c r="AB2820" s="21">
        <f t="shared" si="849"/>
        <v>1481526.5486725664</v>
      </c>
      <c r="AC2820" s="130">
        <f t="shared" si="850"/>
        <v>428753.7831858407</v>
      </c>
      <c r="AD2820" s="169">
        <v>0.28939999999999999</v>
      </c>
      <c r="AE2820" s="154">
        <f t="shared" si="851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58"/>
        <v>28177779.013274338</v>
      </c>
      <c r="AJ2820" s="19">
        <f t="shared" si="859"/>
        <v>4727216.6376190251</v>
      </c>
      <c r="AK2820" s="20">
        <f t="shared" si="852"/>
        <v>0.1677639900359808</v>
      </c>
      <c r="AL2820" s="17"/>
      <c r="AM2820" s="17"/>
      <c r="AN2820" s="17"/>
      <c r="AO2820" s="17"/>
      <c r="AP2820" s="28" t="str">
        <f t="shared" si="853"/>
        <v>20235</v>
      </c>
      <c r="AQ2820" s="28" t="str">
        <f t="shared" si="854"/>
        <v>20235RMB</v>
      </c>
      <c r="AR2820" s="206" t="str">
        <f t="shared" si="855"/>
        <v>YAMAHA_Mounter</v>
      </c>
      <c r="AS2820" s="22">
        <f t="shared" si="856"/>
        <v>3</v>
      </c>
      <c r="AT2820" s="24" t="str">
        <f t="shared" si="857"/>
        <v>0-3 months</v>
      </c>
    </row>
    <row r="2821" spans="1:46" s="12" customFormat="1">
      <c r="A2821" s="33" t="str">
        <f t="shared" si="845"/>
        <v>FY 22/23</v>
      </c>
      <c r="B2821" s="152">
        <v>2023</v>
      </c>
      <c r="C2821" s="152">
        <v>2</v>
      </c>
      <c r="D2821" s="33" t="str">
        <f t="shared" si="846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47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48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42"/>
        <v>1475000</v>
      </c>
      <c r="AA2821" s="13">
        <v>1.135</v>
      </c>
      <c r="AB2821" s="21">
        <f t="shared" si="849"/>
        <v>1481526.5486725664</v>
      </c>
      <c r="AC2821" s="130">
        <f t="shared" si="850"/>
        <v>428753.7831858407</v>
      </c>
      <c r="AD2821" s="169">
        <v>0.28939999999999999</v>
      </c>
      <c r="AE2821" s="154">
        <f t="shared" si="851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58"/>
        <v>28177779.013274338</v>
      </c>
      <c r="AJ2821" s="19">
        <f t="shared" si="859"/>
        <v>4727216.6376190251</v>
      </c>
      <c r="AK2821" s="20">
        <f t="shared" si="852"/>
        <v>0.1677639900359808</v>
      </c>
      <c r="AL2821" s="17"/>
      <c r="AM2821" s="17"/>
      <c r="AN2821" s="17"/>
      <c r="AO2821" s="17"/>
      <c r="AP2821" s="28" t="str">
        <f t="shared" si="853"/>
        <v>20235</v>
      </c>
      <c r="AQ2821" s="28" t="str">
        <f t="shared" si="854"/>
        <v>20235RMB</v>
      </c>
      <c r="AR2821" s="206" t="str">
        <f t="shared" si="855"/>
        <v>YAMAHA_Mounter</v>
      </c>
      <c r="AS2821" s="22">
        <f t="shared" si="856"/>
        <v>3</v>
      </c>
      <c r="AT2821" s="24" t="str">
        <f t="shared" si="857"/>
        <v>0-3 months</v>
      </c>
    </row>
    <row r="2822" spans="1:46" s="12" customFormat="1">
      <c r="A2822" s="33" t="str">
        <f t="shared" si="845"/>
        <v>FY 18/19</v>
      </c>
      <c r="B2822" s="152">
        <v>2019</v>
      </c>
      <c r="C2822" s="152">
        <v>3</v>
      </c>
      <c r="D2822" s="33" t="str">
        <f t="shared" si="846"/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si="847"/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48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42"/>
        <v>10538640</v>
      </c>
      <c r="AA2822" s="13">
        <v>7.22E-2</v>
      </c>
      <c r="AB2822" s="21">
        <f t="shared" si="849"/>
        <v>760889.80799999996</v>
      </c>
      <c r="AC2822" s="130">
        <f t="shared" si="850"/>
        <v>86817.527092799995</v>
      </c>
      <c r="AD2822" s="169">
        <v>0.11410000000000001</v>
      </c>
      <c r="AE2822" s="154">
        <f t="shared" si="851"/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58"/>
        <v>47416008.333399981</v>
      </c>
      <c r="AJ2822" s="19">
        <f t="shared" si="859"/>
        <v>6981738.4465290187</v>
      </c>
      <c r="AK2822" s="20">
        <f t="shared" si="852"/>
        <v>0.14724433143839863</v>
      </c>
      <c r="AL2822" s="17"/>
      <c r="AM2822" s="17"/>
      <c r="AN2822" s="17"/>
      <c r="AO2822" s="17"/>
      <c r="AP2822" s="28" t="str">
        <f t="shared" si="853"/>
        <v>20193</v>
      </c>
      <c r="AQ2822" s="28" t="str">
        <f t="shared" si="854"/>
        <v>20193JPY</v>
      </c>
      <c r="AR2822" s="206" t="str">
        <f t="shared" si="855"/>
        <v>YAMAHA_Mounter</v>
      </c>
      <c r="AS2822" s="22">
        <f t="shared" si="856"/>
        <v>0</v>
      </c>
      <c r="AT2822" s="24" t="str">
        <f t="shared" si="857"/>
        <v>0-3 months</v>
      </c>
    </row>
    <row r="2823" spans="1:46" s="12" customFormat="1">
      <c r="A2823" s="33" t="str">
        <f t="shared" si="845"/>
        <v>FY 20/21</v>
      </c>
      <c r="B2823" s="152">
        <v>2020</v>
      </c>
      <c r="C2823" s="152">
        <v>8</v>
      </c>
      <c r="D2823" s="33" t="str">
        <f t="shared" si="846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7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48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42"/>
        <v>12099500</v>
      </c>
      <c r="AA2823" s="13">
        <v>7.4899999999999994E-2</v>
      </c>
      <c r="AB2823" s="21">
        <f t="shared" si="849"/>
        <v>906252.54999999993</v>
      </c>
      <c r="AC2823" s="130">
        <f t="shared" si="850"/>
        <v>75581.462669999994</v>
      </c>
      <c r="AD2823" s="169">
        <v>8.3400000000000002E-2</v>
      </c>
      <c r="AE2823" s="154">
        <f t="shared" si="851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58"/>
        <v>28011162.254106201</v>
      </c>
      <c r="AJ2823" s="19">
        <f t="shared" si="859"/>
        <v>3401347.1124888416</v>
      </c>
      <c r="AK2823" s="20">
        <f t="shared" si="852"/>
        <v>0.12142827497242578</v>
      </c>
      <c r="AL2823" s="17"/>
      <c r="AM2823" s="17"/>
      <c r="AN2823" s="17"/>
      <c r="AO2823" s="17"/>
      <c r="AP2823" s="28" t="str">
        <f t="shared" si="853"/>
        <v>202010</v>
      </c>
      <c r="AQ2823" s="28" t="str">
        <f t="shared" si="854"/>
        <v>202010JPY</v>
      </c>
      <c r="AR2823" s="206" t="str">
        <f t="shared" si="855"/>
        <v>YAMAHA_Mounter</v>
      </c>
      <c r="AS2823" s="22">
        <f t="shared" si="856"/>
        <v>2</v>
      </c>
      <c r="AT2823" s="24" t="str">
        <f t="shared" si="857"/>
        <v>0-3 months</v>
      </c>
    </row>
    <row r="2824" spans="1:46" s="12" customFormat="1">
      <c r="A2824" s="33" t="str">
        <f t="shared" si="845"/>
        <v>FY 20/21</v>
      </c>
      <c r="B2824" s="152">
        <v>2020</v>
      </c>
      <c r="C2824" s="152">
        <v>8</v>
      </c>
      <c r="D2824" s="33" t="str">
        <f t="shared" si="846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7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48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42"/>
        <v>12099500</v>
      </c>
      <c r="AA2824" s="13">
        <v>7.4899999999999994E-2</v>
      </c>
      <c r="AB2824" s="21">
        <f t="shared" si="849"/>
        <v>906252.54999999993</v>
      </c>
      <c r="AC2824" s="130">
        <f t="shared" si="850"/>
        <v>75581.462669999994</v>
      </c>
      <c r="AD2824" s="169">
        <v>8.3400000000000002E-2</v>
      </c>
      <c r="AE2824" s="154">
        <f t="shared" si="851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58"/>
        <v>28011162.254106201</v>
      </c>
      <c r="AJ2824" s="19">
        <f t="shared" si="859"/>
        <v>3401347.1124888416</v>
      </c>
      <c r="AK2824" s="20">
        <f t="shared" si="852"/>
        <v>0.12142827497242578</v>
      </c>
      <c r="AL2824" s="17"/>
      <c r="AM2824" s="17"/>
      <c r="AN2824" s="17"/>
      <c r="AO2824" s="17"/>
      <c r="AP2824" s="28" t="str">
        <f t="shared" si="853"/>
        <v>202010</v>
      </c>
      <c r="AQ2824" s="28" t="str">
        <f t="shared" si="854"/>
        <v>202010JPY</v>
      </c>
      <c r="AR2824" s="206" t="str">
        <f t="shared" si="855"/>
        <v>YAMAHA_Mounter</v>
      </c>
      <c r="AS2824" s="22">
        <f t="shared" si="856"/>
        <v>2</v>
      </c>
      <c r="AT2824" s="24" t="str">
        <f t="shared" si="857"/>
        <v>0-3 months</v>
      </c>
    </row>
    <row r="2825" spans="1:46" s="12" customFormat="1">
      <c r="A2825" s="33" t="str">
        <f t="shared" si="845"/>
        <v>FY 20/21</v>
      </c>
      <c r="B2825" s="152">
        <v>2020</v>
      </c>
      <c r="C2825" s="152">
        <v>8</v>
      </c>
      <c r="D2825" s="33" t="str">
        <f t="shared" si="846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7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48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42"/>
        <v>6628360</v>
      </c>
      <c r="AA2825" s="13">
        <v>7.4899999999999994E-2</v>
      </c>
      <c r="AB2825" s="21">
        <f t="shared" si="849"/>
        <v>496464.16399999999</v>
      </c>
      <c r="AC2825" s="130">
        <f t="shared" si="850"/>
        <v>49795.355649199999</v>
      </c>
      <c r="AD2825" s="169">
        <v>0.1003</v>
      </c>
      <c r="AE2825" s="154">
        <f t="shared" si="851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58"/>
        <v>28011162.254106201</v>
      </c>
      <c r="AJ2825" s="19">
        <f t="shared" si="859"/>
        <v>3401347.1124888416</v>
      </c>
      <c r="AK2825" s="20">
        <f t="shared" si="852"/>
        <v>0.12142827497242578</v>
      </c>
      <c r="AL2825" s="17"/>
      <c r="AM2825" s="17"/>
      <c r="AN2825" s="17"/>
      <c r="AO2825" s="17"/>
      <c r="AP2825" s="28" t="str">
        <f t="shared" si="853"/>
        <v>202010</v>
      </c>
      <c r="AQ2825" s="28" t="str">
        <f t="shared" si="854"/>
        <v>202010JPY</v>
      </c>
      <c r="AR2825" s="206" t="str">
        <f t="shared" si="855"/>
        <v>YAMAHA_Mounter</v>
      </c>
      <c r="AS2825" s="22">
        <f t="shared" si="856"/>
        <v>2</v>
      </c>
      <c r="AT2825" s="24" t="str">
        <f t="shared" si="857"/>
        <v>0-3 months</v>
      </c>
    </row>
    <row r="2826" spans="1:46" s="12" customFormat="1">
      <c r="A2826" s="33" t="str">
        <f t="shared" si="845"/>
        <v>FY 20/21</v>
      </c>
      <c r="B2826" s="152">
        <v>2020</v>
      </c>
      <c r="C2826" s="152">
        <v>8</v>
      </c>
      <c r="D2826" s="33" t="str">
        <f t="shared" si="846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7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48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si="842"/>
        <v>6628360</v>
      </c>
      <c r="AA2826" s="13">
        <v>7.4899999999999994E-2</v>
      </c>
      <c r="AB2826" s="21">
        <f t="shared" si="849"/>
        <v>496464.16399999999</v>
      </c>
      <c r="AC2826" s="130">
        <f t="shared" si="850"/>
        <v>49795.355649199999</v>
      </c>
      <c r="AD2826" s="169">
        <v>0.1003</v>
      </c>
      <c r="AE2826" s="154">
        <f t="shared" si="851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58"/>
        <v>28011162.254106201</v>
      </c>
      <c r="AJ2826" s="19">
        <f t="shared" si="859"/>
        <v>3401347.1124888416</v>
      </c>
      <c r="AK2826" s="20">
        <f t="shared" si="852"/>
        <v>0.12142827497242578</v>
      </c>
      <c r="AL2826" s="17"/>
      <c r="AM2826" s="17"/>
      <c r="AN2826" s="17"/>
      <c r="AO2826" s="17"/>
      <c r="AP2826" s="28" t="str">
        <f t="shared" si="853"/>
        <v>202010</v>
      </c>
      <c r="AQ2826" s="28" t="str">
        <f t="shared" si="854"/>
        <v>202010JPY</v>
      </c>
      <c r="AR2826" s="206" t="str">
        <f t="shared" si="855"/>
        <v>YAMAHA_Mounter</v>
      </c>
      <c r="AS2826" s="22">
        <f t="shared" si="856"/>
        <v>2</v>
      </c>
      <c r="AT2826" s="24" t="str">
        <f t="shared" si="857"/>
        <v>0-3 months</v>
      </c>
    </row>
    <row r="2827" spans="1:46" s="12" customFormat="1">
      <c r="A2827" s="33" t="str">
        <f t="shared" si="845"/>
        <v>FY 20/21</v>
      </c>
      <c r="B2827" s="152">
        <v>2020</v>
      </c>
      <c r="C2827" s="152">
        <v>8</v>
      </c>
      <c r="D2827" s="33" t="str">
        <f t="shared" si="846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7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48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42"/>
        <v>6628360</v>
      </c>
      <c r="AA2827" s="13">
        <v>7.6100000000000001E-2</v>
      </c>
      <c r="AB2827" s="21">
        <f t="shared" si="849"/>
        <v>504418.196</v>
      </c>
      <c r="AC2827" s="130">
        <f t="shared" si="850"/>
        <v>50593.145058800001</v>
      </c>
      <c r="AD2827" s="169">
        <v>0.1003</v>
      </c>
      <c r="AE2827" s="154">
        <f t="shared" si="851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58"/>
        <v>44078731.611185849</v>
      </c>
      <c r="AJ2827" s="19">
        <f t="shared" si="859"/>
        <v>5508173.2163771465</v>
      </c>
      <c r="AK2827" s="20">
        <f t="shared" si="852"/>
        <v>0.12496215328889679</v>
      </c>
      <c r="AL2827" s="17"/>
      <c r="AM2827" s="17"/>
      <c r="AN2827" s="17"/>
      <c r="AO2827" s="17"/>
      <c r="AP2827" s="28" t="str">
        <f t="shared" si="853"/>
        <v>202011</v>
      </c>
      <c r="AQ2827" s="28" t="str">
        <f t="shared" si="854"/>
        <v>202011JPY</v>
      </c>
      <c r="AR2827" s="206" t="str">
        <f t="shared" si="855"/>
        <v>YAMAHA_Mounter</v>
      </c>
      <c r="AS2827" s="22">
        <f t="shared" si="856"/>
        <v>3</v>
      </c>
      <c r="AT2827" s="24" t="str">
        <f t="shared" si="857"/>
        <v>0-3 months</v>
      </c>
    </row>
    <row r="2828" spans="1:46" s="12" customFormat="1">
      <c r="A2828" s="33" t="str">
        <f t="shared" si="845"/>
        <v>FY 20/21</v>
      </c>
      <c r="B2828" s="152">
        <v>2020</v>
      </c>
      <c r="C2828" s="152">
        <v>8</v>
      </c>
      <c r="D2828" s="33" t="str">
        <f t="shared" si="846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7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48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42"/>
        <v>6628360</v>
      </c>
      <c r="AA2828" s="13">
        <v>7.6100000000000001E-2</v>
      </c>
      <c r="AB2828" s="21">
        <f t="shared" si="849"/>
        <v>504418.196</v>
      </c>
      <c r="AC2828" s="130">
        <f t="shared" si="850"/>
        <v>50593.145058800001</v>
      </c>
      <c r="AD2828" s="169">
        <v>0.1003</v>
      </c>
      <c r="AE2828" s="154">
        <f t="shared" si="851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58"/>
        <v>44078731.611185849</v>
      </c>
      <c r="AJ2828" s="19">
        <f t="shared" si="859"/>
        <v>5508173.2163771465</v>
      </c>
      <c r="AK2828" s="20">
        <f t="shared" si="852"/>
        <v>0.12496215328889679</v>
      </c>
      <c r="AL2828" s="17"/>
      <c r="AM2828" s="17"/>
      <c r="AN2828" s="17"/>
      <c r="AO2828" s="17"/>
      <c r="AP2828" s="28" t="str">
        <f t="shared" si="853"/>
        <v>202011</v>
      </c>
      <c r="AQ2828" s="28" t="str">
        <f t="shared" si="854"/>
        <v>202011JPY</v>
      </c>
      <c r="AR2828" s="206" t="str">
        <f t="shared" si="855"/>
        <v>YAMAHA_Mounter</v>
      </c>
      <c r="AS2828" s="22">
        <f t="shared" si="856"/>
        <v>3</v>
      </c>
      <c r="AT2828" s="24" t="str">
        <f t="shared" si="857"/>
        <v>0-3 months</v>
      </c>
    </row>
    <row r="2829" spans="1:46" s="12" customFormat="1">
      <c r="A2829" s="33" t="str">
        <f t="shared" si="845"/>
        <v>FY 20/21</v>
      </c>
      <c r="B2829" s="152">
        <v>2020</v>
      </c>
      <c r="C2829" s="152">
        <v>8</v>
      </c>
      <c r="D2829" s="33" t="str">
        <f t="shared" si="846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7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48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42"/>
        <v>6628360</v>
      </c>
      <c r="AA2829" s="13">
        <v>7.6100000000000001E-2</v>
      </c>
      <c r="AB2829" s="21">
        <f t="shared" si="849"/>
        <v>504418.196</v>
      </c>
      <c r="AC2829" s="130">
        <f t="shared" si="850"/>
        <v>50593.145058800001</v>
      </c>
      <c r="AD2829" s="169">
        <v>0.1003</v>
      </c>
      <c r="AE2829" s="154">
        <f t="shared" si="851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58"/>
        <v>44078731.611185849</v>
      </c>
      <c r="AJ2829" s="19">
        <f t="shared" si="859"/>
        <v>5508173.2163771465</v>
      </c>
      <c r="AK2829" s="20">
        <f t="shared" si="852"/>
        <v>0.12496215328889679</v>
      </c>
      <c r="AL2829" s="17"/>
      <c r="AM2829" s="17"/>
      <c r="AN2829" s="17"/>
      <c r="AO2829" s="17"/>
      <c r="AP2829" s="28" t="str">
        <f t="shared" si="853"/>
        <v>202011</v>
      </c>
      <c r="AQ2829" s="28" t="str">
        <f t="shared" si="854"/>
        <v>202011JPY</v>
      </c>
      <c r="AR2829" s="206" t="str">
        <f t="shared" si="855"/>
        <v>YAMAHA_Mounter</v>
      </c>
      <c r="AS2829" s="22">
        <f t="shared" si="856"/>
        <v>3</v>
      </c>
      <c r="AT2829" s="24" t="str">
        <f t="shared" si="857"/>
        <v>0-3 months</v>
      </c>
    </row>
    <row r="2830" spans="1:46" s="12" customFormat="1">
      <c r="A2830" s="33" t="str">
        <f t="shared" si="845"/>
        <v>FY 20/21</v>
      </c>
      <c r="B2830" s="152">
        <v>2020</v>
      </c>
      <c r="C2830" s="152">
        <v>8</v>
      </c>
      <c r="D2830" s="33" t="str">
        <f t="shared" si="846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7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48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42"/>
        <v>12099500</v>
      </c>
      <c r="AA2830" s="13">
        <v>7.4899999999999994E-2</v>
      </c>
      <c r="AB2830" s="21">
        <f t="shared" si="849"/>
        <v>906252.54999999993</v>
      </c>
      <c r="AC2830" s="130">
        <f t="shared" si="850"/>
        <v>75581.462669999994</v>
      </c>
      <c r="AD2830" s="169">
        <v>8.3400000000000002E-2</v>
      </c>
      <c r="AE2830" s="154">
        <f t="shared" si="851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58"/>
        <v>47907808.356810622</v>
      </c>
      <c r="AJ2830" s="19">
        <f t="shared" si="859"/>
        <v>6027384.8806384448</v>
      </c>
      <c r="AK2830" s="20">
        <f t="shared" si="852"/>
        <v>0.12581216063459488</v>
      </c>
      <c r="AL2830" s="17"/>
      <c r="AM2830" s="17"/>
      <c r="AN2830" s="17"/>
      <c r="AO2830" s="17"/>
      <c r="AP2830" s="28" t="str">
        <f t="shared" si="853"/>
        <v>20209</v>
      </c>
      <c r="AQ2830" s="28" t="str">
        <f t="shared" si="854"/>
        <v>20209JPY</v>
      </c>
      <c r="AR2830" s="206" t="str">
        <f t="shared" si="855"/>
        <v>YAMAHA_Mounter</v>
      </c>
      <c r="AS2830" s="22">
        <f t="shared" si="856"/>
        <v>1</v>
      </c>
      <c r="AT2830" s="24" t="str">
        <f t="shared" si="857"/>
        <v>0-3 months</v>
      </c>
    </row>
    <row r="2831" spans="1:46" s="12" customFormat="1">
      <c r="A2831" s="33" t="str">
        <f t="shared" si="845"/>
        <v>FY 20/21</v>
      </c>
      <c r="B2831" s="152">
        <v>2020</v>
      </c>
      <c r="C2831" s="152">
        <v>8</v>
      </c>
      <c r="D2831" s="33" t="str">
        <f t="shared" si="846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7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48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42"/>
        <v>12099500</v>
      </c>
      <c r="AA2831" s="13">
        <v>7.4899999999999994E-2</v>
      </c>
      <c r="AB2831" s="21">
        <f t="shared" si="849"/>
        <v>906252.54999999993</v>
      </c>
      <c r="AC2831" s="130">
        <f t="shared" si="850"/>
        <v>75581.462669999994</v>
      </c>
      <c r="AD2831" s="169">
        <v>8.3400000000000002E-2</v>
      </c>
      <c r="AE2831" s="154">
        <f t="shared" si="851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58"/>
        <v>47907808.356810622</v>
      </c>
      <c r="AJ2831" s="19">
        <f t="shared" si="859"/>
        <v>6027384.8806384448</v>
      </c>
      <c r="AK2831" s="20">
        <f t="shared" si="852"/>
        <v>0.12581216063459488</v>
      </c>
      <c r="AL2831" s="17"/>
      <c r="AM2831" s="17"/>
      <c r="AN2831" s="17"/>
      <c r="AO2831" s="17"/>
      <c r="AP2831" s="28" t="str">
        <f t="shared" si="853"/>
        <v>20209</v>
      </c>
      <c r="AQ2831" s="28" t="str">
        <f t="shared" si="854"/>
        <v>20209JPY</v>
      </c>
      <c r="AR2831" s="206" t="str">
        <f t="shared" si="855"/>
        <v>YAMAHA_Mounter</v>
      </c>
      <c r="AS2831" s="22">
        <f t="shared" si="856"/>
        <v>1</v>
      </c>
      <c r="AT2831" s="24" t="str">
        <f t="shared" si="857"/>
        <v>0-3 months</v>
      </c>
    </row>
    <row r="2832" spans="1:46" s="12" customFormat="1">
      <c r="A2832" s="33" t="str">
        <f t="shared" si="845"/>
        <v>FY 20/21</v>
      </c>
      <c r="B2832" s="152">
        <v>2020</v>
      </c>
      <c r="C2832" s="152">
        <v>8</v>
      </c>
      <c r="D2832" s="33" t="str">
        <f t="shared" si="846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7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48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42"/>
        <v>6628360</v>
      </c>
      <c r="AA2832" s="13">
        <v>5.8700000000000002E-2</v>
      </c>
      <c r="AB2832" s="21">
        <f t="shared" si="849"/>
        <v>389084.73200000002</v>
      </c>
      <c r="AC2832" s="130">
        <f t="shared" si="850"/>
        <v>46690.167840000002</v>
      </c>
      <c r="AD2832" s="169">
        <v>0.12</v>
      </c>
      <c r="AE2832" s="154">
        <f t="shared" si="851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58"/>
        <v>477651199.57437885</v>
      </c>
      <c r="AJ2832" s="19">
        <f t="shared" si="859"/>
        <v>56918800.518691957</v>
      </c>
      <c r="AK2832" s="20">
        <f t="shared" si="852"/>
        <v>0.11916394341605475</v>
      </c>
      <c r="AL2832" s="17"/>
      <c r="AM2832" s="17"/>
      <c r="AN2832" s="17"/>
      <c r="AO2832" s="17"/>
      <c r="AP2832" s="28" t="str">
        <f t="shared" si="853"/>
        <v>Cancelcancel</v>
      </c>
      <c r="AQ2832" s="28" t="str">
        <f t="shared" si="854"/>
        <v>CancelcancelJPY</v>
      </c>
      <c r="AR2832" s="206" t="str">
        <f t="shared" si="855"/>
        <v>YAMAHA_Mounter</v>
      </c>
      <c r="AS2832" s="22" t="str">
        <f t="shared" si="856"/>
        <v/>
      </c>
      <c r="AT2832" s="24" t="str">
        <f t="shared" si="857"/>
        <v/>
      </c>
    </row>
    <row r="2833" spans="1:46" s="12" customFormat="1">
      <c r="A2833" s="33" t="str">
        <f t="shared" si="845"/>
        <v>FY 20/21</v>
      </c>
      <c r="B2833" s="152">
        <v>2020</v>
      </c>
      <c r="C2833" s="152">
        <v>8</v>
      </c>
      <c r="D2833" s="33" t="str">
        <f t="shared" si="846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7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48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42"/>
        <v>6628360</v>
      </c>
      <c r="AA2833" s="13">
        <v>5.8700000000000002E-2</v>
      </c>
      <c r="AB2833" s="21">
        <f t="shared" si="849"/>
        <v>389084.73200000002</v>
      </c>
      <c r="AC2833" s="130">
        <f t="shared" si="850"/>
        <v>46690.167840000002</v>
      </c>
      <c r="AD2833" s="169">
        <v>0.12</v>
      </c>
      <c r="AE2833" s="154">
        <f t="shared" si="851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58"/>
        <v>477651199.57437885</v>
      </c>
      <c r="AJ2833" s="19">
        <f t="shared" si="859"/>
        <v>56918800.518691957</v>
      </c>
      <c r="AK2833" s="20">
        <f t="shared" si="852"/>
        <v>0.11916394341605475</v>
      </c>
      <c r="AL2833" s="17"/>
      <c r="AM2833" s="17"/>
      <c r="AN2833" s="17"/>
      <c r="AO2833" s="17"/>
      <c r="AP2833" s="28" t="str">
        <f t="shared" si="853"/>
        <v>Cancelcancel</v>
      </c>
      <c r="AQ2833" s="28" t="str">
        <f t="shared" si="854"/>
        <v>CancelcancelJPY</v>
      </c>
      <c r="AR2833" s="206" t="str">
        <f t="shared" si="855"/>
        <v>YAMAHA_Mounter</v>
      </c>
      <c r="AS2833" s="22" t="str">
        <f t="shared" si="856"/>
        <v/>
      </c>
      <c r="AT2833" s="24" t="str">
        <f t="shared" si="857"/>
        <v/>
      </c>
    </row>
    <row r="2834" spans="1:46" s="12" customFormat="1">
      <c r="A2834" s="33" t="str">
        <f t="shared" si="845"/>
        <v>FY 20/21</v>
      </c>
      <c r="B2834" s="152">
        <v>2020</v>
      </c>
      <c r="C2834" s="152">
        <v>8</v>
      </c>
      <c r="D2834" s="33" t="str">
        <f t="shared" si="846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7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48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42"/>
        <v>6628360</v>
      </c>
      <c r="AA2834" s="13">
        <v>5.8700000000000002E-2</v>
      </c>
      <c r="AB2834" s="21">
        <f t="shared" si="849"/>
        <v>389084.73200000002</v>
      </c>
      <c r="AC2834" s="130">
        <f t="shared" si="850"/>
        <v>46690.167840000002</v>
      </c>
      <c r="AD2834" s="169">
        <v>0.12</v>
      </c>
      <c r="AE2834" s="154">
        <f t="shared" si="851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58"/>
        <v>477651199.57437885</v>
      </c>
      <c r="AJ2834" s="19">
        <f t="shared" si="859"/>
        <v>56918800.518691957</v>
      </c>
      <c r="AK2834" s="20">
        <f t="shared" si="852"/>
        <v>0.11916394341605475</v>
      </c>
      <c r="AL2834" s="17"/>
      <c r="AM2834" s="17"/>
      <c r="AN2834" s="17"/>
      <c r="AO2834" s="17"/>
      <c r="AP2834" s="28" t="str">
        <f t="shared" si="853"/>
        <v>Cancelcancel</v>
      </c>
      <c r="AQ2834" s="28" t="str">
        <f t="shared" si="854"/>
        <v>CancelcancelJPY</v>
      </c>
      <c r="AR2834" s="206" t="str">
        <f t="shared" si="855"/>
        <v>YAMAHA_Mounter</v>
      </c>
      <c r="AS2834" s="22" t="str">
        <f t="shared" si="856"/>
        <v/>
      </c>
      <c r="AT2834" s="24" t="str">
        <f t="shared" si="857"/>
        <v/>
      </c>
    </row>
    <row r="2835" spans="1:46" s="12" customFormat="1">
      <c r="A2835" s="33" t="str">
        <f t="shared" si="845"/>
        <v>FY 20/21</v>
      </c>
      <c r="B2835" s="152">
        <v>2020</v>
      </c>
      <c r="C2835" s="152">
        <v>8</v>
      </c>
      <c r="D2835" s="33" t="str">
        <f t="shared" si="846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7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48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42"/>
        <v>6628360</v>
      </c>
      <c r="AA2835" s="13">
        <v>5.8700000000000002E-2</v>
      </c>
      <c r="AB2835" s="21">
        <f t="shared" si="849"/>
        <v>389084.73200000002</v>
      </c>
      <c r="AC2835" s="130">
        <f t="shared" si="850"/>
        <v>46690.167840000002</v>
      </c>
      <c r="AD2835" s="169">
        <v>0.12</v>
      </c>
      <c r="AE2835" s="154">
        <f t="shared" si="851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58"/>
        <v>477651199.57437885</v>
      </c>
      <c r="AJ2835" s="19">
        <f t="shared" si="859"/>
        <v>56918800.518691957</v>
      </c>
      <c r="AK2835" s="20">
        <f t="shared" si="852"/>
        <v>0.11916394341605475</v>
      </c>
      <c r="AL2835" s="17"/>
      <c r="AM2835" s="17"/>
      <c r="AN2835" s="17"/>
      <c r="AO2835" s="17"/>
      <c r="AP2835" s="28" t="str">
        <f t="shared" si="853"/>
        <v>Cancelcancel</v>
      </c>
      <c r="AQ2835" s="28" t="str">
        <f t="shared" si="854"/>
        <v>CancelcancelJPY</v>
      </c>
      <c r="AR2835" s="206" t="str">
        <f t="shared" si="855"/>
        <v>YAMAHA_Mounter</v>
      </c>
      <c r="AS2835" s="22" t="str">
        <f t="shared" si="856"/>
        <v/>
      </c>
      <c r="AT2835" s="24" t="str">
        <f t="shared" si="857"/>
        <v/>
      </c>
    </row>
    <row r="2836" spans="1:46" s="12" customFormat="1">
      <c r="A2836" s="33" t="str">
        <f t="shared" si="845"/>
        <v>FY 20/21</v>
      </c>
      <c r="B2836" s="152">
        <v>2020</v>
      </c>
      <c r="C2836" s="152">
        <v>8</v>
      </c>
      <c r="D2836" s="33" t="str">
        <f t="shared" si="846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7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48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42"/>
        <v>6628360</v>
      </c>
      <c r="AA2836" s="13">
        <v>5.8700000000000002E-2</v>
      </c>
      <c r="AB2836" s="21">
        <f t="shared" si="849"/>
        <v>389084.73200000002</v>
      </c>
      <c r="AC2836" s="130">
        <f t="shared" si="850"/>
        <v>46690.167840000002</v>
      </c>
      <c r="AD2836" s="169">
        <v>0.12</v>
      </c>
      <c r="AE2836" s="154">
        <f t="shared" si="851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58"/>
        <v>477651199.57437885</v>
      </c>
      <c r="AJ2836" s="19">
        <f t="shared" si="859"/>
        <v>56918800.518691957</v>
      </c>
      <c r="AK2836" s="20">
        <f t="shared" si="852"/>
        <v>0.11916394341605475</v>
      </c>
      <c r="AL2836" s="17"/>
      <c r="AM2836" s="17"/>
      <c r="AN2836" s="17"/>
      <c r="AO2836" s="17"/>
      <c r="AP2836" s="28" t="str">
        <f t="shared" si="853"/>
        <v>Cancelcancel</v>
      </c>
      <c r="AQ2836" s="28" t="str">
        <f t="shared" si="854"/>
        <v>CancelcancelJPY</v>
      </c>
      <c r="AR2836" s="206" t="str">
        <f t="shared" si="855"/>
        <v>YAMAHA_Mounter</v>
      </c>
      <c r="AS2836" s="22" t="str">
        <f t="shared" si="856"/>
        <v/>
      </c>
      <c r="AT2836" s="24" t="str">
        <f t="shared" si="857"/>
        <v/>
      </c>
    </row>
    <row r="2837" spans="1:46" s="12" customFormat="1">
      <c r="A2837" s="33" t="str">
        <f t="shared" si="845"/>
        <v>FY 23/24</v>
      </c>
      <c r="B2837" s="23">
        <v>2024</v>
      </c>
      <c r="C2837" s="152">
        <v>1</v>
      </c>
      <c r="D2837" s="33" t="str">
        <f t="shared" si="846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7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48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60">IF(W2837="","",IF(W2837="RMB","1.13", "1"))</f>
        <v>1</v>
      </c>
      <c r="Z2837" s="18">
        <f t="shared" si="842"/>
        <v>12397500</v>
      </c>
      <c r="AA2837" s="22">
        <v>5.6300000000000003E-2</v>
      </c>
      <c r="AB2837" s="21">
        <f t="shared" si="849"/>
        <v>697979.25</v>
      </c>
      <c r="AC2837" s="25">
        <f t="shared" si="850"/>
        <v>52976.625074999996</v>
      </c>
      <c r="AD2837" s="169">
        <v>7.5899999999999995E-2</v>
      </c>
      <c r="AE2837" s="26">
        <f t="shared" si="851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58"/>
        <v>21575119.674336284</v>
      </c>
      <c r="AJ2837" s="27">
        <f t="shared" si="859"/>
        <v>2556656.3801490259</v>
      </c>
      <c r="AK2837" s="28">
        <f t="shared" si="852"/>
        <v>0.1185002177851269</v>
      </c>
      <c r="AL2837" s="24"/>
      <c r="AM2837" s="24"/>
      <c r="AN2837" s="24"/>
      <c r="AO2837" s="24"/>
      <c r="AP2837" s="28" t="str">
        <f t="shared" si="853"/>
        <v>20241</v>
      </c>
      <c r="AQ2837" s="28" t="str">
        <f t="shared" si="854"/>
        <v>20241JPY</v>
      </c>
      <c r="AR2837" s="206" t="str">
        <f t="shared" si="855"/>
        <v>YAMAHA_Mounter</v>
      </c>
      <c r="AS2837" s="22">
        <f t="shared" si="856"/>
        <v>0</v>
      </c>
      <c r="AT2837" s="24" t="str">
        <f t="shared" si="857"/>
        <v>0-3 months</v>
      </c>
    </row>
    <row r="2838" spans="1:46" s="12" customFormat="1">
      <c r="A2838" s="33" t="str">
        <f t="shared" si="845"/>
        <v>FY 23/24</v>
      </c>
      <c r="B2838" s="23">
        <v>2024</v>
      </c>
      <c r="C2838" s="152">
        <v>1</v>
      </c>
      <c r="D2838" s="33" t="str">
        <f t="shared" si="846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7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si="848"/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60"/>
        <v>1</v>
      </c>
      <c r="Z2838" s="18">
        <f t="shared" ref="Z2838:Z2901" si="861">IF(X2838="","",X2838*MAX(O2838,N2838))</f>
        <v>12397500</v>
      </c>
      <c r="AA2838" s="22">
        <v>5.6300000000000003E-2</v>
      </c>
      <c r="AB2838" s="21">
        <f t="shared" si="849"/>
        <v>697979.25</v>
      </c>
      <c r="AC2838" s="25">
        <f t="shared" si="850"/>
        <v>52976.625074999996</v>
      </c>
      <c r="AD2838" s="169">
        <v>7.5899999999999995E-2</v>
      </c>
      <c r="AE2838" s="26">
        <f t="shared" si="851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58"/>
        <v>21575119.674336284</v>
      </c>
      <c r="AJ2838" s="27">
        <f t="shared" si="859"/>
        <v>2556656.3801490259</v>
      </c>
      <c r="AK2838" s="28">
        <f t="shared" si="852"/>
        <v>0.1185002177851269</v>
      </c>
      <c r="AL2838" s="24"/>
      <c r="AM2838" s="24"/>
      <c r="AN2838" s="24"/>
      <c r="AO2838" s="24"/>
      <c r="AP2838" s="28" t="str">
        <f t="shared" si="853"/>
        <v>20241</v>
      </c>
      <c r="AQ2838" s="28" t="str">
        <f t="shared" si="854"/>
        <v>20241JPY</v>
      </c>
      <c r="AR2838" s="206" t="str">
        <f t="shared" si="855"/>
        <v>YAMAHA_Mounter</v>
      </c>
      <c r="AS2838" s="22">
        <f t="shared" si="856"/>
        <v>0</v>
      </c>
      <c r="AT2838" s="24" t="str">
        <f t="shared" si="857"/>
        <v>0-3 months</v>
      </c>
    </row>
    <row r="2839" spans="1:46" s="12" customFormat="1">
      <c r="A2839" s="33" t="str">
        <f t="shared" si="845"/>
        <v>FY 23/24</v>
      </c>
      <c r="B2839" s="23">
        <v>2024</v>
      </c>
      <c r="C2839" s="152">
        <v>1</v>
      </c>
      <c r="D2839" s="33" t="str">
        <f t="shared" si="846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7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48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60"/>
        <v>1</v>
      </c>
      <c r="Z2839" s="18">
        <f t="shared" si="861"/>
        <v>12397500</v>
      </c>
      <c r="AA2839" s="22">
        <v>5.6300000000000003E-2</v>
      </c>
      <c r="AB2839" s="21">
        <f t="shared" si="849"/>
        <v>697979.25</v>
      </c>
      <c r="AC2839" s="25">
        <f t="shared" si="850"/>
        <v>52976.625074999996</v>
      </c>
      <c r="AD2839" s="169">
        <v>7.5899999999999995E-2</v>
      </c>
      <c r="AE2839" s="26">
        <f t="shared" si="851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58"/>
        <v>21575119.674336284</v>
      </c>
      <c r="AJ2839" s="27">
        <f t="shared" si="859"/>
        <v>2556656.3801490259</v>
      </c>
      <c r="AK2839" s="28">
        <f t="shared" si="852"/>
        <v>0.1185002177851269</v>
      </c>
      <c r="AL2839" s="24"/>
      <c r="AM2839" s="24"/>
      <c r="AN2839" s="24"/>
      <c r="AO2839" s="24"/>
      <c r="AP2839" s="28" t="str">
        <f t="shared" si="853"/>
        <v>20241</v>
      </c>
      <c r="AQ2839" s="28" t="str">
        <f t="shared" si="854"/>
        <v>20241JPY</v>
      </c>
      <c r="AR2839" s="206" t="str">
        <f t="shared" si="855"/>
        <v>YAMAHA_Mounter</v>
      </c>
      <c r="AS2839" s="22">
        <f t="shared" si="856"/>
        <v>0</v>
      </c>
      <c r="AT2839" s="24" t="str">
        <f t="shared" si="857"/>
        <v>0-3 months</v>
      </c>
    </row>
    <row r="2840" spans="1:46" s="12" customFormat="1">
      <c r="A2840" s="33" t="str">
        <f t="shared" si="845"/>
        <v>FY 23/24</v>
      </c>
      <c r="B2840" s="23">
        <v>2024</v>
      </c>
      <c r="C2840" s="152">
        <v>1</v>
      </c>
      <c r="D2840" s="33" t="str">
        <f t="shared" si="846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7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48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60"/>
        <v>1</v>
      </c>
      <c r="Z2840" s="18">
        <f t="shared" si="861"/>
        <v>12397500</v>
      </c>
      <c r="AA2840" s="22">
        <v>5.6300000000000003E-2</v>
      </c>
      <c r="AB2840" s="21">
        <f t="shared" si="849"/>
        <v>697979.25</v>
      </c>
      <c r="AC2840" s="25">
        <f t="shared" si="850"/>
        <v>52976.625074999996</v>
      </c>
      <c r="AD2840" s="169">
        <v>7.5899999999999995E-2</v>
      </c>
      <c r="AE2840" s="26">
        <f t="shared" si="851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58"/>
        <v>21575119.674336284</v>
      </c>
      <c r="AJ2840" s="27">
        <f t="shared" si="859"/>
        <v>2556656.3801490259</v>
      </c>
      <c r="AK2840" s="28">
        <f t="shared" si="852"/>
        <v>0.1185002177851269</v>
      </c>
      <c r="AL2840" s="24"/>
      <c r="AM2840" s="24"/>
      <c r="AN2840" s="24"/>
      <c r="AO2840" s="24"/>
      <c r="AP2840" s="28" t="str">
        <f t="shared" si="853"/>
        <v>20241</v>
      </c>
      <c r="AQ2840" s="28" t="str">
        <f t="shared" si="854"/>
        <v>20241JPY</v>
      </c>
      <c r="AR2840" s="206" t="str">
        <f t="shared" si="855"/>
        <v>YAMAHA_Mounter</v>
      </c>
      <c r="AS2840" s="22">
        <f t="shared" si="856"/>
        <v>0</v>
      </c>
      <c r="AT2840" s="24" t="str">
        <f t="shared" si="857"/>
        <v>0-3 months</v>
      </c>
    </row>
    <row r="2841" spans="1:46" s="12" customFormat="1">
      <c r="A2841" s="33" t="str">
        <f t="shared" si="845"/>
        <v>FY 24/25</v>
      </c>
      <c r="B2841" s="23">
        <v>2024</v>
      </c>
      <c r="C2841" s="152">
        <v>5</v>
      </c>
      <c r="D2841" s="202" t="str">
        <f t="shared" si="846"/>
        <v>Q1</v>
      </c>
      <c r="E2841" s="33" t="s">
        <v>3173</v>
      </c>
      <c r="F2841" s="152">
        <v>2024</v>
      </c>
      <c r="G2841" s="23">
        <v>8</v>
      </c>
      <c r="H2841" s="29"/>
      <c r="I2841" s="202" t="str">
        <f t="shared" si="847"/>
        <v>Q2</v>
      </c>
      <c r="J2841" s="188" t="s">
        <v>3456</v>
      </c>
      <c r="K2841" s="29" t="s">
        <v>2113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48"/>
        <v>MAIN UNIT</v>
      </c>
      <c r="Q2841" s="22" t="s">
        <v>62</v>
      </c>
      <c r="R2841" s="22" t="s">
        <v>63</v>
      </c>
      <c r="S2841" s="22" t="s">
        <v>51</v>
      </c>
      <c r="T2841" s="22" t="s">
        <v>89</v>
      </c>
      <c r="U2841" s="22" t="s">
        <v>71</v>
      </c>
      <c r="V2841" s="22" t="s">
        <v>1401</v>
      </c>
      <c r="W2841" s="22" t="s">
        <v>65</v>
      </c>
      <c r="X2841" s="104">
        <v>463000</v>
      </c>
      <c r="Y2841" s="195" t="str">
        <f t="shared" si="860"/>
        <v>1.13</v>
      </c>
      <c r="Z2841" s="196">
        <f t="shared" si="861"/>
        <v>463000</v>
      </c>
      <c r="AA2841" s="22">
        <v>1.08</v>
      </c>
      <c r="AB2841" s="197">
        <f t="shared" si="849"/>
        <v>442513.27433628327</v>
      </c>
      <c r="AC2841" s="198">
        <f t="shared" si="850"/>
        <v>44605.338053097352</v>
      </c>
      <c r="AD2841" s="170">
        <v>0.1008</v>
      </c>
      <c r="AE2841" s="199">
        <f t="shared" si="851"/>
        <v>0</v>
      </c>
      <c r="AF2841" s="199" t="str">
        <f>IF(AND(COUNTIFS($J$18:J2841,J2841)=1,AE2841=1),1,"")</f>
        <v/>
      </c>
      <c r="AG2841" s="199">
        <f>IF(C2841="","",IF(AND(COUNTIFS($J$18:J2841,J2841)=1,C2841&lt;&gt;""),1,""))</f>
        <v>1</v>
      </c>
      <c r="AH2841" s="199">
        <f>IF(G2841="","",IF(AND(COUNTIFS($J$18:J2841,J2841)=1,G2841&lt;&gt;""),1,""))</f>
        <v>1</v>
      </c>
      <c r="AI2841" s="200">
        <f t="shared" si="858"/>
        <v>25354039.366920356</v>
      </c>
      <c r="AJ2841" s="200">
        <f t="shared" si="859"/>
        <v>3027878.5311884549</v>
      </c>
      <c r="AK2841" s="201">
        <f t="shared" si="852"/>
        <v>0.11942391061910851</v>
      </c>
      <c r="AL2841" s="24"/>
      <c r="AM2841" s="24"/>
      <c r="AN2841" s="24"/>
      <c r="AO2841" s="24"/>
      <c r="AP2841" s="105" t="str">
        <f t="shared" si="853"/>
        <v>20248</v>
      </c>
      <c r="AQ2841" s="28" t="str">
        <f t="shared" si="854"/>
        <v>20248RMB</v>
      </c>
      <c r="AR2841" s="206" t="str">
        <f t="shared" si="855"/>
        <v>YAMAHA_Mounter</v>
      </c>
      <c r="AS2841" s="22">
        <f t="shared" si="856"/>
        <v>3</v>
      </c>
      <c r="AT2841" s="24" t="str">
        <f t="shared" si="857"/>
        <v>0-3 months</v>
      </c>
    </row>
    <row r="2842" spans="1:46" s="12" customFormat="1">
      <c r="A2842" s="33" t="str">
        <f t="shared" si="845"/>
        <v>FY 24/25</v>
      </c>
      <c r="B2842" s="23">
        <v>2024</v>
      </c>
      <c r="C2842" s="152">
        <v>5</v>
      </c>
      <c r="D2842" s="202" t="str">
        <f t="shared" si="846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7"/>
        <v>Q2</v>
      </c>
      <c r="J2842" s="188" t="s">
        <v>3463</v>
      </c>
      <c r="K2842" s="29" t="s">
        <v>3464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48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2535</v>
      </c>
      <c r="W2842" s="22" t="s">
        <v>65</v>
      </c>
      <c r="X2842" s="104">
        <v>390000</v>
      </c>
      <c r="Y2842" s="195" t="str">
        <f t="shared" si="860"/>
        <v>1.13</v>
      </c>
      <c r="Z2842" s="196">
        <f t="shared" si="861"/>
        <v>390000</v>
      </c>
      <c r="AA2842" s="22">
        <v>1.08</v>
      </c>
      <c r="AB2842" s="197">
        <f t="shared" si="849"/>
        <v>372743.36283185845</v>
      </c>
      <c r="AC2842" s="198">
        <f t="shared" si="850"/>
        <v>30751.327433628325</v>
      </c>
      <c r="AD2842" s="170">
        <v>8.2500000000000004E-2</v>
      </c>
      <c r="AE2842" s="199">
        <f t="shared" si="851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58"/>
        <v>25354039.366920356</v>
      </c>
      <c r="AJ2842" s="200">
        <f t="shared" si="859"/>
        <v>3027878.5311884549</v>
      </c>
      <c r="AK2842" s="201">
        <f t="shared" si="852"/>
        <v>0.11942391061910851</v>
      </c>
      <c r="AL2842" s="24"/>
      <c r="AM2842" s="24"/>
      <c r="AN2842" s="24"/>
      <c r="AO2842" s="24"/>
      <c r="AP2842" s="105" t="str">
        <f t="shared" si="853"/>
        <v>20248</v>
      </c>
      <c r="AQ2842" s="28" t="str">
        <f t="shared" si="854"/>
        <v>20248RMB</v>
      </c>
      <c r="AR2842" s="206" t="str">
        <f t="shared" si="855"/>
        <v>YAMAHA_Mounter</v>
      </c>
      <c r="AS2842" s="22">
        <f t="shared" si="856"/>
        <v>3</v>
      </c>
      <c r="AT2842" s="24" t="str">
        <f t="shared" si="857"/>
        <v>0-3 months</v>
      </c>
    </row>
    <row r="2843" spans="1:46" s="12" customFormat="1">
      <c r="A2843" s="33" t="str">
        <f t="shared" si="845"/>
        <v>FY 24/25</v>
      </c>
      <c r="B2843" s="23">
        <v>2024</v>
      </c>
      <c r="C2843" s="152">
        <v>5</v>
      </c>
      <c r="D2843" s="202" t="str">
        <f t="shared" si="846"/>
        <v>Q1</v>
      </c>
      <c r="E2843" s="33" t="s">
        <v>3173</v>
      </c>
      <c r="F2843" s="152">
        <v>2024</v>
      </c>
      <c r="G2843" s="23">
        <v>6</v>
      </c>
      <c r="H2843" s="29"/>
      <c r="I2843" s="202" t="str">
        <f t="shared" si="847"/>
        <v>Q1</v>
      </c>
      <c r="J2843" s="188" t="s">
        <v>3453</v>
      </c>
      <c r="K2843" s="29" t="s">
        <v>2265</v>
      </c>
      <c r="L2843" s="17" t="s">
        <v>93</v>
      </c>
      <c r="M2843" s="22" t="s">
        <v>61</v>
      </c>
      <c r="N2843" s="22">
        <v>1</v>
      </c>
      <c r="O2843" s="22"/>
      <c r="P2843" s="33" t="str">
        <f t="shared" si="848"/>
        <v>MAIN UNIT</v>
      </c>
      <c r="Q2843" s="22" t="s">
        <v>62</v>
      </c>
      <c r="R2843" s="22" t="s">
        <v>63</v>
      </c>
      <c r="S2843" s="22" t="s">
        <v>51</v>
      </c>
      <c r="T2843" s="22" t="s">
        <v>89</v>
      </c>
      <c r="U2843" s="22" t="s">
        <v>71</v>
      </c>
      <c r="V2843" s="22" t="s">
        <v>103</v>
      </c>
      <c r="W2843" s="22" t="s">
        <v>65</v>
      </c>
      <c r="X2843" s="104">
        <v>785000</v>
      </c>
      <c r="Y2843" s="195" t="str">
        <f t="shared" si="860"/>
        <v>1.13</v>
      </c>
      <c r="Z2843" s="196">
        <f t="shared" si="861"/>
        <v>785000</v>
      </c>
      <c r="AA2843" s="22">
        <v>1.08</v>
      </c>
      <c r="AB2843" s="197">
        <f t="shared" si="849"/>
        <v>750265.48672566388</v>
      </c>
      <c r="AC2843" s="198">
        <f t="shared" si="850"/>
        <v>179463.5044247788</v>
      </c>
      <c r="AD2843" s="170">
        <v>0.2392</v>
      </c>
      <c r="AE2843" s="199">
        <f t="shared" si="851"/>
        <v>0</v>
      </c>
      <c r="AF2843" s="199" t="str">
        <f>IF(AND(COUNTIFS($J$18:J2843,J2843)=1,AE2843=1),1,"")</f>
        <v/>
      </c>
      <c r="AG2843" s="199">
        <f>IF(C2843="","",IF(AND(COUNTIFS($J$18:J2843,J2843)=1,C2843&lt;&gt;""),1,""))</f>
        <v>1</v>
      </c>
      <c r="AH2843" s="199">
        <f>IF(G2843="","",IF(AND(COUNTIFS($J$18:J2843,J2843)=1,G2843&lt;&gt;""),1,""))</f>
        <v>1</v>
      </c>
      <c r="AI2843" s="200">
        <f t="shared" si="858"/>
        <v>27308925.887079656</v>
      </c>
      <c r="AJ2843" s="200">
        <f t="shared" si="859"/>
        <v>3319273.860338124</v>
      </c>
      <c r="AK2843" s="201">
        <f t="shared" si="852"/>
        <v>0.12154538314919709</v>
      </c>
      <c r="AL2843" s="24"/>
      <c r="AM2843" s="24"/>
      <c r="AN2843" s="24"/>
      <c r="AO2843" s="24"/>
      <c r="AP2843" s="105" t="str">
        <f t="shared" si="853"/>
        <v>20246</v>
      </c>
      <c r="AQ2843" s="28" t="str">
        <f t="shared" si="854"/>
        <v>20246RMB</v>
      </c>
      <c r="AR2843" s="206" t="str">
        <f t="shared" si="855"/>
        <v>YAMAHA_Mounter</v>
      </c>
      <c r="AS2843" s="22">
        <f t="shared" si="856"/>
        <v>1</v>
      </c>
      <c r="AT2843" s="24" t="str">
        <f t="shared" si="857"/>
        <v>0-3 months</v>
      </c>
    </row>
    <row r="2844" spans="1:46" s="12" customFormat="1">
      <c r="A2844" s="33" t="str">
        <f t="shared" si="845"/>
        <v>FY 24/25</v>
      </c>
      <c r="B2844" s="23">
        <v>2024</v>
      </c>
      <c r="C2844" s="152">
        <v>5</v>
      </c>
      <c r="D2844" s="202" t="str">
        <f t="shared" si="846"/>
        <v>Q1</v>
      </c>
      <c r="E2844" s="33" t="s">
        <v>3173</v>
      </c>
      <c r="F2844" s="152">
        <v>2024</v>
      </c>
      <c r="G2844" s="23">
        <v>6</v>
      </c>
      <c r="H2844" s="29"/>
      <c r="I2844" s="202" t="str">
        <f t="shared" si="847"/>
        <v>Q1</v>
      </c>
      <c r="J2844" s="188" t="s">
        <v>3453</v>
      </c>
      <c r="K2844" s="29" t="s">
        <v>2265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48"/>
        <v>MAIN UNIT</v>
      </c>
      <c r="Q2844" s="22" t="s">
        <v>62</v>
      </c>
      <c r="R2844" s="22" t="s">
        <v>63</v>
      </c>
      <c r="S2844" s="22" t="s">
        <v>51</v>
      </c>
      <c r="T2844" s="22" t="s">
        <v>89</v>
      </c>
      <c r="U2844" s="22" t="s">
        <v>71</v>
      </c>
      <c r="V2844" s="22" t="s">
        <v>103</v>
      </c>
      <c r="W2844" s="22" t="s">
        <v>65</v>
      </c>
      <c r="X2844" s="104">
        <v>785000</v>
      </c>
      <c r="Y2844" s="195" t="str">
        <f t="shared" si="860"/>
        <v>1.13</v>
      </c>
      <c r="Z2844" s="196">
        <f t="shared" si="861"/>
        <v>785000</v>
      </c>
      <c r="AA2844" s="22">
        <v>1.08</v>
      </c>
      <c r="AB2844" s="197">
        <f t="shared" si="849"/>
        <v>750265.48672566388</v>
      </c>
      <c r="AC2844" s="198">
        <f t="shared" si="850"/>
        <v>179463.5044247788</v>
      </c>
      <c r="AD2844" s="170">
        <v>0.2392</v>
      </c>
      <c r="AE2844" s="199">
        <f t="shared" si="851"/>
        <v>0</v>
      </c>
      <c r="AF2844" s="199" t="str">
        <f>IF(AND(COUNTIFS($J$18:J2844,J2844)=1,AE2844=1),1,"")</f>
        <v/>
      </c>
      <c r="AG2844" s="199" t="str">
        <f>IF(C2844="","",IF(AND(COUNTIFS($J$18:J2844,J2844)=1,C2844&lt;&gt;""),1,""))</f>
        <v/>
      </c>
      <c r="AH2844" s="199" t="str">
        <f>IF(G2844="","",IF(AND(COUNTIFS($J$18:J2844,J2844)=1,G2844&lt;&gt;""),1,""))</f>
        <v/>
      </c>
      <c r="AI2844" s="200">
        <f t="shared" si="858"/>
        <v>27308925.887079656</v>
      </c>
      <c r="AJ2844" s="200">
        <f t="shared" si="859"/>
        <v>3319273.860338124</v>
      </c>
      <c r="AK2844" s="201">
        <f t="shared" si="852"/>
        <v>0.12154538314919709</v>
      </c>
      <c r="AL2844" s="24"/>
      <c r="AM2844" s="24"/>
      <c r="AN2844" s="24"/>
      <c r="AO2844" s="24"/>
      <c r="AP2844" s="105" t="str">
        <f t="shared" si="853"/>
        <v>20246</v>
      </c>
      <c r="AQ2844" s="28" t="str">
        <f t="shared" si="854"/>
        <v>20246RMB</v>
      </c>
      <c r="AR2844" s="206" t="str">
        <f t="shared" si="855"/>
        <v>YAMAHA_Mounter</v>
      </c>
      <c r="AS2844" s="22">
        <f t="shared" si="856"/>
        <v>1</v>
      </c>
      <c r="AT2844" s="24" t="str">
        <f t="shared" si="857"/>
        <v>0-3 months</v>
      </c>
    </row>
    <row r="2845" spans="1:46" s="12" customFormat="1">
      <c r="A2845" s="33" t="str">
        <f t="shared" si="845"/>
        <v>FY 24/25</v>
      </c>
      <c r="B2845" s="23">
        <v>2024</v>
      </c>
      <c r="C2845" s="152">
        <v>5</v>
      </c>
      <c r="D2845" s="202" t="str">
        <f t="shared" si="846"/>
        <v>Q1</v>
      </c>
      <c r="E2845" s="33" t="s">
        <v>3173</v>
      </c>
      <c r="F2845" s="152">
        <v>2024</v>
      </c>
      <c r="G2845" s="23">
        <v>6</v>
      </c>
      <c r="H2845" s="29"/>
      <c r="I2845" s="202" t="str">
        <f t="shared" si="847"/>
        <v>Q1</v>
      </c>
      <c r="J2845" s="188" t="s">
        <v>3453</v>
      </c>
      <c r="K2845" s="29" t="s">
        <v>2265</v>
      </c>
      <c r="L2845" s="17" t="s">
        <v>68</v>
      </c>
      <c r="M2845" s="22" t="s">
        <v>61</v>
      </c>
      <c r="N2845" s="22">
        <v>1</v>
      </c>
      <c r="O2845" s="22"/>
      <c r="P2845" s="33" t="str">
        <f t="shared" si="848"/>
        <v>MAIN UNIT</v>
      </c>
      <c r="Q2845" s="22" t="s">
        <v>62</v>
      </c>
      <c r="R2845" s="22" t="s">
        <v>63</v>
      </c>
      <c r="S2845" s="22" t="s">
        <v>51</v>
      </c>
      <c r="T2845" s="22" t="s">
        <v>89</v>
      </c>
      <c r="U2845" s="22" t="s">
        <v>71</v>
      </c>
      <c r="V2845" s="22" t="s">
        <v>103</v>
      </c>
      <c r="W2845" s="22" t="s">
        <v>65</v>
      </c>
      <c r="X2845" s="104">
        <v>890000</v>
      </c>
      <c r="Y2845" s="195" t="str">
        <f t="shared" si="860"/>
        <v>1.13</v>
      </c>
      <c r="Z2845" s="196">
        <f t="shared" si="861"/>
        <v>890000</v>
      </c>
      <c r="AA2845" s="22">
        <v>1.08</v>
      </c>
      <c r="AB2845" s="197">
        <f t="shared" si="849"/>
        <v>850619.46902654879</v>
      </c>
      <c r="AC2845" s="198">
        <f t="shared" si="850"/>
        <v>203468.17699115045</v>
      </c>
      <c r="AD2845" s="170">
        <v>0.2392</v>
      </c>
      <c r="AE2845" s="199">
        <f t="shared" si="851"/>
        <v>0</v>
      </c>
      <c r="AF2845" s="199" t="str">
        <f>IF(AND(COUNTIFS($J$18:J2845,J2845)=1,AE2845=1),1,"")</f>
        <v/>
      </c>
      <c r="AG2845" s="199" t="str">
        <f>IF(C2845="","",IF(AND(COUNTIFS($J$18:J2845,J2845)=1,C2845&lt;&gt;""),1,""))</f>
        <v/>
      </c>
      <c r="AH2845" s="199" t="str">
        <f>IF(G2845="","",IF(AND(COUNTIFS($J$18:J2845,J2845)=1,G2845&lt;&gt;""),1,""))</f>
        <v/>
      </c>
      <c r="AI2845" s="200">
        <f t="shared" si="858"/>
        <v>27308925.887079656</v>
      </c>
      <c r="AJ2845" s="200">
        <f t="shared" si="859"/>
        <v>3319273.860338124</v>
      </c>
      <c r="AK2845" s="201">
        <f t="shared" si="852"/>
        <v>0.12154538314919709</v>
      </c>
      <c r="AL2845" s="24"/>
      <c r="AM2845" s="24"/>
      <c r="AN2845" s="24"/>
      <c r="AO2845" s="24"/>
      <c r="AP2845" s="105" t="str">
        <f t="shared" si="853"/>
        <v>20246</v>
      </c>
      <c r="AQ2845" s="28" t="str">
        <f t="shared" si="854"/>
        <v>20246RMB</v>
      </c>
      <c r="AR2845" s="206" t="str">
        <f t="shared" si="855"/>
        <v>YAMAHA_Mounter</v>
      </c>
      <c r="AS2845" s="22">
        <f t="shared" si="856"/>
        <v>1</v>
      </c>
      <c r="AT2845" s="24" t="str">
        <f t="shared" si="857"/>
        <v>0-3 months</v>
      </c>
    </row>
    <row r="2846" spans="1:46" s="12" customFormat="1">
      <c r="A2846" s="33" t="str">
        <f t="shared" si="845"/>
        <v>FY 23/24</v>
      </c>
      <c r="B2846" s="23">
        <v>2024</v>
      </c>
      <c r="C2846" s="152">
        <v>1</v>
      </c>
      <c r="D2846" s="33" t="str">
        <f t="shared" si="846"/>
        <v>Q4</v>
      </c>
      <c r="E2846" s="33" t="str">
        <f>IF(G2846="Cancel","Cancel",IF(G2846="TBA","TBA",IFERROR(IF(I2846="Q4","FY "&amp;RIGHT(F2846,2)-1&amp;"/"&amp;RIGHT(F2846,2),"FY "&amp;RIGHT(F2846,2)&amp;"/"&amp;RIGHT(F2846,2)+1),"")))</f>
        <v>FY 24/25</v>
      </c>
      <c r="F2846" s="152">
        <v>2024</v>
      </c>
      <c r="G2846" s="152">
        <v>12</v>
      </c>
      <c r="H2846" s="29"/>
      <c r="I2846" s="33" t="str">
        <f t="shared" si="847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48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60"/>
        <v>1.13</v>
      </c>
      <c r="Z2846" s="18">
        <f t="shared" si="861"/>
        <v>530000</v>
      </c>
      <c r="AA2846" s="22">
        <v>1.1080000000000001</v>
      </c>
      <c r="AB2846" s="21">
        <f t="shared" si="849"/>
        <v>519681.41592920362</v>
      </c>
      <c r="AC2846" s="25">
        <f t="shared" si="850"/>
        <v>62361.769911504431</v>
      </c>
      <c r="AD2846" s="169">
        <v>0.12</v>
      </c>
      <c r="AE2846" s="26">
        <f t="shared" si="851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58"/>
        <v>22399988.308672566</v>
      </c>
      <c r="AJ2846" s="27">
        <f t="shared" si="859"/>
        <v>2687998.5970407082</v>
      </c>
      <c r="AK2846" s="28">
        <f t="shared" si="852"/>
        <v>0.12000000000000001</v>
      </c>
      <c r="AL2846" s="24"/>
      <c r="AM2846" s="24"/>
      <c r="AN2846" s="24"/>
      <c r="AO2846" s="24"/>
      <c r="AP2846" s="28" t="str">
        <f t="shared" si="853"/>
        <v>202412</v>
      </c>
      <c r="AQ2846" s="28" t="str">
        <f t="shared" si="854"/>
        <v>202412RMB</v>
      </c>
      <c r="AR2846" s="206" t="str">
        <f t="shared" si="855"/>
        <v>YAMAHA_Mounter</v>
      </c>
      <c r="AS2846" s="22">
        <f t="shared" si="856"/>
        <v>11</v>
      </c>
      <c r="AT2846" s="24" t="str">
        <f t="shared" si="857"/>
        <v>&gt; 6 months</v>
      </c>
    </row>
    <row r="2847" spans="1:46" s="12" customFormat="1">
      <c r="A2847" s="33" t="str">
        <f t="shared" si="845"/>
        <v>FY 23/24</v>
      </c>
      <c r="B2847" s="23">
        <v>2024</v>
      </c>
      <c r="C2847" s="152">
        <v>1</v>
      </c>
      <c r="D2847" s="33" t="str">
        <f t="shared" si="846"/>
        <v>Q4</v>
      </c>
      <c r="E2847" s="33" t="str">
        <f>IF(G2847="Cancel","Cancel",IF(G2847="TBA","TBA",IFERROR(IF(I2847="Q4","FY "&amp;RIGHT(F2847,2)-1&amp;"/"&amp;RIGHT(F2847,2),"FY "&amp;RIGHT(F2847,2)&amp;"/"&amp;RIGHT(F2847,2)+1),"")))</f>
        <v>FY 24/25</v>
      </c>
      <c r="F2847" s="152">
        <v>2024</v>
      </c>
      <c r="G2847" s="152">
        <v>12</v>
      </c>
      <c r="H2847" s="29"/>
      <c r="I2847" s="33" t="str">
        <f t="shared" si="847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48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60"/>
        <v>1.13</v>
      </c>
      <c r="Z2847" s="18">
        <f t="shared" si="861"/>
        <v>850000</v>
      </c>
      <c r="AA2847" s="22">
        <v>1.1080000000000001</v>
      </c>
      <c r="AB2847" s="21">
        <f t="shared" si="849"/>
        <v>833451.3274336285</v>
      </c>
      <c r="AC2847" s="25">
        <f t="shared" si="850"/>
        <v>100014.15929203542</v>
      </c>
      <c r="AD2847" s="169">
        <v>0.12</v>
      </c>
      <c r="AE2847" s="26">
        <f t="shared" si="851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58"/>
        <v>22399988.308672566</v>
      </c>
      <c r="AJ2847" s="27">
        <f t="shared" si="859"/>
        <v>2687998.5970407082</v>
      </c>
      <c r="AK2847" s="28">
        <f t="shared" si="852"/>
        <v>0.12000000000000001</v>
      </c>
      <c r="AL2847" s="24"/>
      <c r="AM2847" s="24"/>
      <c r="AN2847" s="24"/>
      <c r="AO2847" s="24"/>
      <c r="AP2847" s="28" t="str">
        <f t="shared" si="853"/>
        <v>202412</v>
      </c>
      <c r="AQ2847" s="28" t="str">
        <f t="shared" si="854"/>
        <v>202412RMB</v>
      </c>
      <c r="AR2847" s="206" t="str">
        <f t="shared" si="855"/>
        <v>YAMAHA_Mounter</v>
      </c>
      <c r="AS2847" s="22">
        <f t="shared" si="856"/>
        <v>11</v>
      </c>
      <c r="AT2847" s="24" t="str">
        <f t="shared" si="857"/>
        <v>&gt; 6 months</v>
      </c>
    </row>
    <row r="2848" spans="1:46" s="12" customFormat="1">
      <c r="A2848" s="33" t="str">
        <f t="shared" si="845"/>
        <v>FY 24/25</v>
      </c>
      <c r="B2848" s="23">
        <v>2024</v>
      </c>
      <c r="C2848" s="152">
        <v>5</v>
      </c>
      <c r="D2848" s="202" t="str">
        <f t="shared" si="846"/>
        <v>Q1</v>
      </c>
      <c r="E2848" s="33" t="s">
        <v>3173</v>
      </c>
      <c r="F2848" s="152">
        <v>2024</v>
      </c>
      <c r="G2848" s="23">
        <v>8</v>
      </c>
      <c r="H2848" s="29"/>
      <c r="I2848" s="202" t="str">
        <f t="shared" si="847"/>
        <v>Q2</v>
      </c>
      <c r="J2848" s="188" t="s">
        <v>3467</v>
      </c>
      <c r="K2848" s="29" t="s">
        <v>1731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48"/>
        <v>MAIN UNIT</v>
      </c>
      <c r="Q2848" s="22" t="s">
        <v>62</v>
      </c>
      <c r="R2848" s="22" t="s">
        <v>63</v>
      </c>
      <c r="S2848" s="22" t="s">
        <v>50</v>
      </c>
      <c r="T2848" s="22" t="s">
        <v>79</v>
      </c>
      <c r="U2848" s="22" t="s">
        <v>397</v>
      </c>
      <c r="V2848" s="22" t="s">
        <v>1408</v>
      </c>
      <c r="W2848" s="22" t="s">
        <v>110</v>
      </c>
      <c r="X2848" s="104">
        <v>11500000</v>
      </c>
      <c r="Y2848" s="195" t="str">
        <f t="shared" si="860"/>
        <v>1</v>
      </c>
      <c r="Z2848" s="196">
        <f t="shared" si="861"/>
        <v>11500000</v>
      </c>
      <c r="AA2848" s="22">
        <v>5.2299999999999999E-2</v>
      </c>
      <c r="AB2848" s="197">
        <f t="shared" si="849"/>
        <v>601450</v>
      </c>
      <c r="AC2848" s="198">
        <f t="shared" si="850"/>
        <v>52025.424999999996</v>
      </c>
      <c r="AD2848" s="170">
        <v>8.6499999999999994E-2</v>
      </c>
      <c r="AE2848" s="199">
        <f t="shared" si="851"/>
        <v>0</v>
      </c>
      <c r="AF2848" s="199" t="str">
        <f>IF(AND(COUNTIFS($J$18:J2848,J2848)=1,AE2848=1),1,"")</f>
        <v/>
      </c>
      <c r="AG2848" s="199">
        <f>IF(C2848="","",IF(AND(COUNTIFS($J$18:J2848,J2848)=1,C2848&lt;&gt;""),1,""))</f>
        <v>1</v>
      </c>
      <c r="AH2848" s="199">
        <f>IF(G2848="","",IF(AND(COUNTIFS($J$18:J2848,J2848)=1,G2848&lt;&gt;""),1,""))</f>
        <v>1</v>
      </c>
      <c r="AI2848" s="200">
        <f t="shared" si="858"/>
        <v>25354039.366920356</v>
      </c>
      <c r="AJ2848" s="200">
        <f t="shared" si="859"/>
        <v>3027878.5311884549</v>
      </c>
      <c r="AK2848" s="201">
        <f t="shared" si="852"/>
        <v>0.11942391061910851</v>
      </c>
      <c r="AL2848" s="24"/>
      <c r="AM2848" s="24"/>
      <c r="AN2848" s="24"/>
      <c r="AO2848" s="24"/>
      <c r="AP2848" s="105" t="str">
        <f t="shared" si="853"/>
        <v>20248</v>
      </c>
      <c r="AQ2848" s="28" t="str">
        <f t="shared" si="854"/>
        <v>20248JPY</v>
      </c>
      <c r="AR2848" s="206" t="str">
        <f t="shared" si="855"/>
        <v>YAMAHA_Mounter</v>
      </c>
      <c r="AS2848" s="22">
        <f t="shared" si="856"/>
        <v>3</v>
      </c>
      <c r="AT2848" s="24" t="str">
        <f t="shared" si="857"/>
        <v>0-3 months</v>
      </c>
    </row>
    <row r="2849" spans="1:46" s="12" customFormat="1">
      <c r="A2849" s="33" t="str">
        <f t="shared" si="845"/>
        <v>FY 24/25</v>
      </c>
      <c r="B2849" s="23">
        <v>2024</v>
      </c>
      <c r="C2849" s="152">
        <v>5</v>
      </c>
      <c r="D2849" s="202" t="str">
        <f t="shared" si="846"/>
        <v>Q1</v>
      </c>
      <c r="E2849" s="33" t="str">
        <f>IF(G2849="Cancel","Cancel",IF(G2849="TBA","TBA",IFERROR(IF(I2849="Q4","FY "&amp;RIGHT(F2849,2)-1&amp;"/"&amp;RIGHT(F2849,2),"FY "&amp;RIGHT(F2849,2)&amp;"/"&amp;RIGHT(F2849,2)+1),"")))</f>
        <v>FY 24/25</v>
      </c>
      <c r="F2849" s="23">
        <v>2024</v>
      </c>
      <c r="G2849" s="23">
        <v>9</v>
      </c>
      <c r="H2849" s="29"/>
      <c r="I2849" s="202" t="str">
        <f t="shared" si="847"/>
        <v>Q2</v>
      </c>
      <c r="J2849" s="188" t="s">
        <v>3468</v>
      </c>
      <c r="K2849" s="29" t="s">
        <v>3469</v>
      </c>
      <c r="L2849" s="17" t="s">
        <v>68</v>
      </c>
      <c r="M2849" s="22" t="s">
        <v>61</v>
      </c>
      <c r="N2849" s="22">
        <v>1</v>
      </c>
      <c r="O2849" s="22"/>
      <c r="P2849" s="33" t="str">
        <f t="shared" si="848"/>
        <v>MAIN UNIT</v>
      </c>
      <c r="Q2849" s="22" t="s">
        <v>69</v>
      </c>
      <c r="R2849" s="22" t="s">
        <v>63</v>
      </c>
      <c r="S2849" s="22" t="s">
        <v>52</v>
      </c>
      <c r="T2849" s="22" t="s">
        <v>3470</v>
      </c>
      <c r="U2849" s="22" t="s">
        <v>150</v>
      </c>
      <c r="V2849" s="22" t="s">
        <v>135</v>
      </c>
      <c r="W2849" s="22" t="s">
        <v>65</v>
      </c>
      <c r="X2849" s="104">
        <v>503000</v>
      </c>
      <c r="Y2849" s="195" t="str">
        <f t="shared" si="860"/>
        <v>1.13</v>
      </c>
      <c r="Z2849" s="196">
        <f t="shared" si="861"/>
        <v>503000</v>
      </c>
      <c r="AA2849" s="22">
        <v>1.0980000000000001</v>
      </c>
      <c r="AB2849" s="197">
        <f t="shared" si="849"/>
        <v>488755.75221238943</v>
      </c>
      <c r="AC2849" s="198">
        <f t="shared" si="850"/>
        <v>5571.8155752212397</v>
      </c>
      <c r="AD2849" s="237">
        <v>1.14E-2</v>
      </c>
      <c r="AE2849" s="199">
        <f t="shared" si="851"/>
        <v>1</v>
      </c>
      <c r="AF2849" s="199">
        <f>IF(AND(COUNTIFS($J$18:J2849,J2849)=1,AE2849=1),1,"")</f>
        <v>1</v>
      </c>
      <c r="AG2849" s="199">
        <f>IF(C2849="","",IF(AND(COUNTIFS($J$18:J2849,J2849)=1,C2849&lt;&gt;""),1,""))</f>
        <v>1</v>
      </c>
      <c r="AH2849" s="199">
        <f>IF(G2849="","",IF(AND(COUNTIFS($J$18:J2849,J2849)=1,G2849&lt;&gt;""),1,""))</f>
        <v>1</v>
      </c>
      <c r="AI2849" s="200">
        <f t="shared" si="858"/>
        <v>35931087.732566379</v>
      </c>
      <c r="AJ2849" s="200">
        <f t="shared" si="859"/>
        <v>4346699.6584161064</v>
      </c>
      <c r="AK2849" s="201">
        <f t="shared" si="852"/>
        <v>0.12097322771769156</v>
      </c>
      <c r="AL2849" s="24"/>
      <c r="AM2849" s="24"/>
      <c r="AN2849" s="24"/>
      <c r="AO2849" s="24"/>
      <c r="AP2849" s="105" t="str">
        <f t="shared" si="853"/>
        <v>20249</v>
      </c>
      <c r="AQ2849" s="28" t="str">
        <f t="shared" si="854"/>
        <v>20249RMB</v>
      </c>
      <c r="AR2849" s="206" t="str">
        <f t="shared" si="855"/>
        <v>YAMAHA_Mounter</v>
      </c>
      <c r="AS2849" s="22">
        <f t="shared" si="856"/>
        <v>4</v>
      </c>
      <c r="AT2849" s="24" t="str">
        <f t="shared" si="857"/>
        <v>4-6 months</v>
      </c>
    </row>
    <row r="2850" spans="1:46" s="12" customFormat="1">
      <c r="A2850" s="33" t="str">
        <f t="shared" si="845"/>
        <v>FY 24/25</v>
      </c>
      <c r="B2850" s="23">
        <v>2024</v>
      </c>
      <c r="C2850" s="152">
        <v>5</v>
      </c>
      <c r="D2850" s="202" t="str">
        <f t="shared" si="846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7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48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60"/>
        <v>1</v>
      </c>
      <c r="Z2850" s="196">
        <f t="shared" si="861"/>
        <v>8500000</v>
      </c>
      <c r="AA2850" s="22">
        <v>5.5599999999999997E-2</v>
      </c>
      <c r="AB2850" s="197">
        <f t="shared" si="849"/>
        <v>472600</v>
      </c>
      <c r="AC2850" s="198">
        <f t="shared" si="850"/>
        <v>56712</v>
      </c>
      <c r="AD2850" s="169">
        <v>0.12</v>
      </c>
      <c r="AE2850" s="199">
        <f t="shared" si="851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58"/>
        <v>25860689.500884958</v>
      </c>
      <c r="AJ2850" s="200">
        <f t="shared" si="859"/>
        <v>3153620.4547964605</v>
      </c>
      <c r="AK2850" s="201">
        <f t="shared" si="852"/>
        <v>0.1219464954593938</v>
      </c>
      <c r="AL2850" s="24"/>
      <c r="AM2850" s="24"/>
      <c r="AN2850" s="24"/>
      <c r="AO2850" s="24"/>
      <c r="AP2850" s="105" t="str">
        <f t="shared" si="853"/>
        <v>202410</v>
      </c>
      <c r="AQ2850" s="28" t="str">
        <f t="shared" si="854"/>
        <v>202410JPY</v>
      </c>
      <c r="AR2850" s="206" t="str">
        <f t="shared" si="855"/>
        <v>YAMAHA_Mounter</v>
      </c>
      <c r="AS2850" s="22">
        <f t="shared" si="856"/>
        <v>5</v>
      </c>
      <c r="AT2850" s="24" t="str">
        <f t="shared" si="857"/>
        <v>4-6 months</v>
      </c>
    </row>
    <row r="2851" spans="1:46" s="12" customFormat="1">
      <c r="A2851" s="33" t="str">
        <f t="shared" si="845"/>
        <v>FY 20/21</v>
      </c>
      <c r="B2851" s="152">
        <v>2021</v>
      </c>
      <c r="C2851" s="152">
        <v>3</v>
      </c>
      <c r="D2851" s="33" t="str">
        <f t="shared" si="846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7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48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62">IF(W2851="RMB","1.13", "1")</f>
        <v>1</v>
      </c>
      <c r="Z2851" s="18">
        <f t="shared" si="861"/>
        <v>13200000</v>
      </c>
      <c r="AA2851" s="13">
        <v>7.2400000000000006E-2</v>
      </c>
      <c r="AB2851" s="21">
        <f t="shared" si="849"/>
        <v>955680.00000000012</v>
      </c>
      <c r="AC2851" s="130">
        <f t="shared" si="850"/>
        <v>84386.544000000009</v>
      </c>
      <c r="AD2851" s="169">
        <v>8.8300000000000003E-2</v>
      </c>
      <c r="AE2851" s="154">
        <f t="shared" si="851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58"/>
        <v>47458373.787610628</v>
      </c>
      <c r="AJ2851" s="19">
        <f t="shared" si="859"/>
        <v>7436880.1411522133</v>
      </c>
      <c r="AK2851" s="20">
        <f t="shared" si="852"/>
        <v>0.15670322321692506</v>
      </c>
      <c r="AL2851" s="17"/>
      <c r="AM2851" s="17"/>
      <c r="AN2851" s="17"/>
      <c r="AO2851" s="17"/>
      <c r="AP2851" s="28" t="str">
        <f t="shared" si="853"/>
        <v>20218</v>
      </c>
      <c r="AQ2851" s="28" t="str">
        <f t="shared" si="854"/>
        <v>20218JPY</v>
      </c>
      <c r="AR2851" s="206" t="str">
        <f t="shared" si="855"/>
        <v>YAMAHA_Mounter</v>
      </c>
      <c r="AS2851" s="22">
        <f t="shared" si="856"/>
        <v>5</v>
      </c>
      <c r="AT2851" s="24" t="str">
        <f t="shared" si="857"/>
        <v>4-6 months</v>
      </c>
    </row>
    <row r="2852" spans="1:46" s="12" customFormat="1">
      <c r="A2852" s="33" t="str">
        <f t="shared" si="845"/>
        <v>FY 20/21</v>
      </c>
      <c r="B2852" s="152">
        <v>2021</v>
      </c>
      <c r="C2852" s="152">
        <v>3</v>
      </c>
      <c r="D2852" s="33" t="str">
        <f t="shared" si="846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7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48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62"/>
        <v>1</v>
      </c>
      <c r="Z2852" s="18">
        <f t="shared" si="861"/>
        <v>13200000</v>
      </c>
      <c r="AA2852" s="13">
        <v>7.2400000000000006E-2</v>
      </c>
      <c r="AB2852" s="21">
        <f t="shared" si="849"/>
        <v>955680.00000000012</v>
      </c>
      <c r="AC2852" s="130">
        <f t="shared" si="850"/>
        <v>84386.544000000009</v>
      </c>
      <c r="AD2852" s="169">
        <v>8.8300000000000003E-2</v>
      </c>
      <c r="AE2852" s="154">
        <f t="shared" si="851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58"/>
        <v>47458373.787610628</v>
      </c>
      <c r="AJ2852" s="19">
        <f t="shared" si="859"/>
        <v>7436880.1411522133</v>
      </c>
      <c r="AK2852" s="20">
        <f t="shared" si="852"/>
        <v>0.15670322321692506</v>
      </c>
      <c r="AL2852" s="17"/>
      <c r="AM2852" s="17"/>
      <c r="AN2852" s="17"/>
      <c r="AO2852" s="17"/>
      <c r="AP2852" s="28" t="str">
        <f t="shared" si="853"/>
        <v>20218</v>
      </c>
      <c r="AQ2852" s="28" t="str">
        <f t="shared" si="854"/>
        <v>20218JPY</v>
      </c>
      <c r="AR2852" s="206" t="str">
        <f t="shared" si="855"/>
        <v>YAMAHA_Mounter</v>
      </c>
      <c r="AS2852" s="22">
        <f t="shared" si="856"/>
        <v>5</v>
      </c>
      <c r="AT2852" s="24" t="str">
        <f t="shared" si="857"/>
        <v>4-6 months</v>
      </c>
    </row>
    <row r="2853" spans="1:46" s="12" customFormat="1">
      <c r="A2853" s="33" t="str">
        <f t="shared" si="845"/>
        <v>FY 20/21</v>
      </c>
      <c r="B2853" s="152">
        <v>2021</v>
      </c>
      <c r="C2853" s="152">
        <v>3</v>
      </c>
      <c r="D2853" s="33" t="str">
        <f t="shared" si="846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7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48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62"/>
        <v>1</v>
      </c>
      <c r="Z2853" s="18">
        <f t="shared" si="861"/>
        <v>13200000</v>
      </c>
      <c r="AA2853" s="13">
        <v>7.2400000000000006E-2</v>
      </c>
      <c r="AB2853" s="21">
        <f t="shared" si="849"/>
        <v>955680.00000000012</v>
      </c>
      <c r="AC2853" s="130">
        <f t="shared" si="850"/>
        <v>84386.544000000009</v>
      </c>
      <c r="AD2853" s="169">
        <v>8.8300000000000003E-2</v>
      </c>
      <c r="AE2853" s="154">
        <f t="shared" si="851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58"/>
        <v>47458373.787610628</v>
      </c>
      <c r="AJ2853" s="19">
        <f t="shared" si="859"/>
        <v>7436880.1411522133</v>
      </c>
      <c r="AK2853" s="20">
        <f t="shared" si="852"/>
        <v>0.15670322321692506</v>
      </c>
      <c r="AL2853" s="17"/>
      <c r="AM2853" s="17"/>
      <c r="AN2853" s="17"/>
      <c r="AO2853" s="17"/>
      <c r="AP2853" s="28" t="str">
        <f t="shared" si="853"/>
        <v>20218</v>
      </c>
      <c r="AQ2853" s="28" t="str">
        <f t="shared" si="854"/>
        <v>20218JPY</v>
      </c>
      <c r="AR2853" s="206" t="str">
        <f t="shared" si="855"/>
        <v>YAMAHA_Mounter</v>
      </c>
      <c r="AS2853" s="22">
        <f t="shared" si="856"/>
        <v>5</v>
      </c>
      <c r="AT2853" s="24" t="str">
        <f t="shared" si="857"/>
        <v>4-6 months</v>
      </c>
    </row>
    <row r="2854" spans="1:46" s="12" customFormat="1">
      <c r="A2854" s="33" t="str">
        <f t="shared" si="845"/>
        <v>FY 20/21</v>
      </c>
      <c r="B2854" s="152">
        <v>2021</v>
      </c>
      <c r="C2854" s="152">
        <v>3</v>
      </c>
      <c r="D2854" s="33" t="str">
        <f t="shared" si="846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7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48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62"/>
        <v>1</v>
      </c>
      <c r="Z2854" s="18">
        <f t="shared" si="861"/>
        <v>13200000</v>
      </c>
      <c r="AA2854" s="13">
        <v>6.54E-2</v>
      </c>
      <c r="AB2854" s="21">
        <f t="shared" si="849"/>
        <v>863280</v>
      </c>
      <c r="AC2854" s="130">
        <f t="shared" si="850"/>
        <v>76227.623999999996</v>
      </c>
      <c r="AD2854" s="169">
        <v>8.8300000000000003E-2</v>
      </c>
      <c r="AE2854" s="154">
        <f t="shared" si="851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58"/>
        <v>46600814.041769907</v>
      </c>
      <c r="AJ2854" s="19">
        <f t="shared" si="859"/>
        <v>5956366.3435927071</v>
      </c>
      <c r="AK2854" s="20">
        <f t="shared" si="852"/>
        <v>0.1278167874546958</v>
      </c>
      <c r="AL2854" s="17"/>
      <c r="AM2854" s="17"/>
      <c r="AN2854" s="17"/>
      <c r="AO2854" s="17"/>
      <c r="AP2854" s="28" t="str">
        <f t="shared" si="853"/>
        <v>20224</v>
      </c>
      <c r="AQ2854" s="28" t="str">
        <f t="shared" si="854"/>
        <v>20224JPY</v>
      </c>
      <c r="AR2854" s="206" t="str">
        <f t="shared" si="855"/>
        <v>YAMAHA_Mounter</v>
      </c>
      <c r="AS2854" s="22">
        <f t="shared" si="856"/>
        <v>13</v>
      </c>
      <c r="AT2854" s="24" t="str">
        <f t="shared" si="857"/>
        <v>&gt; 6 months</v>
      </c>
    </row>
    <row r="2855" spans="1:46" s="12" customFormat="1">
      <c r="A2855" s="33" t="str">
        <f t="shared" si="845"/>
        <v>FY 20/21</v>
      </c>
      <c r="B2855" s="152">
        <v>2021</v>
      </c>
      <c r="C2855" s="152">
        <v>3</v>
      </c>
      <c r="D2855" s="33" t="str">
        <f t="shared" si="846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7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48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62"/>
        <v>1</v>
      </c>
      <c r="Z2855" s="18">
        <f t="shared" si="861"/>
        <v>13200000</v>
      </c>
      <c r="AA2855" s="13">
        <v>6.54E-2</v>
      </c>
      <c r="AB2855" s="21">
        <f t="shared" si="849"/>
        <v>863280</v>
      </c>
      <c r="AC2855" s="130">
        <f t="shared" si="850"/>
        <v>76227.623999999996</v>
      </c>
      <c r="AD2855" s="169">
        <v>8.8300000000000003E-2</v>
      </c>
      <c r="AE2855" s="154">
        <f t="shared" si="851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58"/>
        <v>46600814.041769907</v>
      </c>
      <c r="AJ2855" s="19">
        <f t="shared" si="859"/>
        <v>5956366.3435927071</v>
      </c>
      <c r="AK2855" s="20">
        <f t="shared" si="852"/>
        <v>0.1278167874546958</v>
      </c>
      <c r="AL2855" s="17"/>
      <c r="AM2855" s="17"/>
      <c r="AN2855" s="17"/>
      <c r="AO2855" s="17"/>
      <c r="AP2855" s="28" t="str">
        <f t="shared" si="853"/>
        <v>20224</v>
      </c>
      <c r="AQ2855" s="28" t="str">
        <f t="shared" si="854"/>
        <v>20224JPY</v>
      </c>
      <c r="AR2855" s="206" t="str">
        <f t="shared" si="855"/>
        <v>YAMAHA_Mounter</v>
      </c>
      <c r="AS2855" s="22">
        <f t="shared" si="856"/>
        <v>13</v>
      </c>
      <c r="AT2855" s="24" t="str">
        <f t="shared" si="857"/>
        <v>&gt; 6 months</v>
      </c>
    </row>
    <row r="2856" spans="1:46" s="12" customFormat="1">
      <c r="A2856" s="33" t="str">
        <f t="shared" si="845"/>
        <v>FY 20/21</v>
      </c>
      <c r="B2856" s="152">
        <v>2021</v>
      </c>
      <c r="C2856" s="152">
        <v>3</v>
      </c>
      <c r="D2856" s="33" t="str">
        <f t="shared" si="846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7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48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62"/>
        <v>1</v>
      </c>
      <c r="Z2856" s="18">
        <f t="shared" si="861"/>
        <v>13200000</v>
      </c>
      <c r="AA2856" s="13">
        <v>6.54E-2</v>
      </c>
      <c r="AB2856" s="21">
        <f t="shared" si="849"/>
        <v>863280</v>
      </c>
      <c r="AC2856" s="130">
        <f t="shared" si="850"/>
        <v>76227.623999999996</v>
      </c>
      <c r="AD2856" s="169">
        <v>8.8300000000000003E-2</v>
      </c>
      <c r="AE2856" s="154">
        <f t="shared" si="851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58"/>
        <v>46600814.041769907</v>
      </c>
      <c r="AJ2856" s="19">
        <f t="shared" si="859"/>
        <v>5956366.3435927071</v>
      </c>
      <c r="AK2856" s="20">
        <f t="shared" si="852"/>
        <v>0.1278167874546958</v>
      </c>
      <c r="AL2856" s="17"/>
      <c r="AM2856" s="17"/>
      <c r="AN2856" s="17"/>
      <c r="AO2856" s="17"/>
      <c r="AP2856" s="28" t="str">
        <f t="shared" si="853"/>
        <v>20224</v>
      </c>
      <c r="AQ2856" s="28" t="str">
        <f t="shared" si="854"/>
        <v>20224JPY</v>
      </c>
      <c r="AR2856" s="206" t="str">
        <f t="shared" si="855"/>
        <v>YAMAHA_Mounter</v>
      </c>
      <c r="AS2856" s="22">
        <f t="shared" si="856"/>
        <v>13</v>
      </c>
      <c r="AT2856" s="24" t="str">
        <f t="shared" si="857"/>
        <v>&gt; 6 months</v>
      </c>
    </row>
    <row r="2857" spans="1:46" s="12" customFormat="1">
      <c r="A2857" s="33" t="str">
        <f t="shared" si="845"/>
        <v>FY 22/23</v>
      </c>
      <c r="B2857" s="152">
        <v>2022</v>
      </c>
      <c r="C2857" s="152">
        <v>6</v>
      </c>
      <c r="D2857" s="33" t="str">
        <f t="shared" si="846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7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48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62"/>
        <v>1</v>
      </c>
      <c r="Z2857" s="18">
        <f t="shared" si="861"/>
        <v>18100000</v>
      </c>
      <c r="AA2857" s="13">
        <v>5.8700000000000002E-2</v>
      </c>
      <c r="AB2857" s="21">
        <f t="shared" si="849"/>
        <v>1062470</v>
      </c>
      <c r="AC2857" s="130">
        <f t="shared" si="850"/>
        <v>127496.4</v>
      </c>
      <c r="AD2857" s="169">
        <v>0.12</v>
      </c>
      <c r="AE2857" s="154">
        <f t="shared" si="851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58"/>
        <v>477651199.57437885</v>
      </c>
      <c r="AJ2857" s="19">
        <f t="shared" si="859"/>
        <v>56918800.518691957</v>
      </c>
      <c r="AK2857" s="20">
        <f t="shared" si="852"/>
        <v>0.11916394341605475</v>
      </c>
      <c r="AL2857" s="17"/>
      <c r="AM2857" s="17"/>
      <c r="AN2857" s="17"/>
      <c r="AO2857" s="17"/>
      <c r="AP2857" s="28" t="str">
        <f t="shared" si="853"/>
        <v>CancelCancel</v>
      </c>
      <c r="AQ2857" s="28" t="str">
        <f t="shared" si="854"/>
        <v>CancelCancelJPY</v>
      </c>
      <c r="AR2857" s="206" t="str">
        <f t="shared" si="855"/>
        <v>YAMAHA_Mounter</v>
      </c>
      <c r="AS2857" s="22" t="str">
        <f t="shared" si="856"/>
        <v/>
      </c>
      <c r="AT2857" s="24" t="str">
        <f t="shared" si="857"/>
        <v/>
      </c>
    </row>
    <row r="2858" spans="1:46" s="12" customFormat="1">
      <c r="A2858" s="33" t="str">
        <f t="shared" si="845"/>
        <v>FY 22/23</v>
      </c>
      <c r="B2858" s="152">
        <v>2022</v>
      </c>
      <c r="C2858" s="152">
        <v>6</v>
      </c>
      <c r="D2858" s="33" t="str">
        <f t="shared" si="846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7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48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62"/>
        <v>1</v>
      </c>
      <c r="Z2858" s="18">
        <f t="shared" si="861"/>
        <v>18100000</v>
      </c>
      <c r="AA2858" s="13">
        <v>5.8700000000000002E-2</v>
      </c>
      <c r="AB2858" s="21">
        <f t="shared" si="849"/>
        <v>1062470</v>
      </c>
      <c r="AC2858" s="130">
        <f t="shared" si="850"/>
        <v>127496.4</v>
      </c>
      <c r="AD2858" s="169">
        <v>0.12</v>
      </c>
      <c r="AE2858" s="154">
        <f t="shared" si="851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58"/>
        <v>477651199.57437885</v>
      </c>
      <c r="AJ2858" s="19">
        <f t="shared" si="859"/>
        <v>56918800.518691957</v>
      </c>
      <c r="AK2858" s="20">
        <f t="shared" si="852"/>
        <v>0.11916394341605475</v>
      </c>
      <c r="AL2858" s="17"/>
      <c r="AM2858" s="17"/>
      <c r="AN2858" s="17"/>
      <c r="AO2858" s="17"/>
      <c r="AP2858" s="28" t="str">
        <f t="shared" si="853"/>
        <v>CancelCancel</v>
      </c>
      <c r="AQ2858" s="28" t="str">
        <f t="shared" si="854"/>
        <v>CancelCancelJPY</v>
      </c>
      <c r="AR2858" s="206" t="str">
        <f t="shared" si="855"/>
        <v>YAMAHA_Mounter</v>
      </c>
      <c r="AS2858" s="22" t="str">
        <f t="shared" si="856"/>
        <v/>
      </c>
      <c r="AT2858" s="24" t="str">
        <f t="shared" si="857"/>
        <v/>
      </c>
    </row>
    <row r="2859" spans="1:46" s="12" customFormat="1">
      <c r="A2859" s="33" t="str">
        <f t="shared" si="845"/>
        <v>FY 20/21</v>
      </c>
      <c r="B2859" s="152">
        <v>2020</v>
      </c>
      <c r="C2859" s="152">
        <v>8</v>
      </c>
      <c r="D2859" s="33" t="str">
        <f t="shared" si="846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7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48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61"/>
        <v>915000</v>
      </c>
      <c r="AA2859" s="13">
        <v>1.135</v>
      </c>
      <c r="AB2859" s="21">
        <f t="shared" si="849"/>
        <v>919048.67256637174</v>
      </c>
      <c r="AC2859" s="130">
        <f t="shared" si="850"/>
        <v>120579.18584070799</v>
      </c>
      <c r="AD2859" s="169">
        <v>0.13120000000000001</v>
      </c>
      <c r="AE2859" s="154">
        <f t="shared" si="851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58"/>
        <v>28011162.254106201</v>
      </c>
      <c r="AJ2859" s="19">
        <f t="shared" si="859"/>
        <v>3401347.1124888416</v>
      </c>
      <c r="AK2859" s="20">
        <f t="shared" si="852"/>
        <v>0.12142827497242578</v>
      </c>
      <c r="AL2859" s="17"/>
      <c r="AM2859" s="17"/>
      <c r="AN2859" s="17"/>
      <c r="AO2859" s="17"/>
      <c r="AP2859" s="28" t="str">
        <f t="shared" si="853"/>
        <v>202010</v>
      </c>
      <c r="AQ2859" s="28" t="str">
        <f t="shared" si="854"/>
        <v>202010RMB</v>
      </c>
      <c r="AR2859" s="206" t="str">
        <f t="shared" si="855"/>
        <v>YAMAHA_Mounter</v>
      </c>
      <c r="AS2859" s="22">
        <f t="shared" si="856"/>
        <v>2</v>
      </c>
      <c r="AT2859" s="24" t="str">
        <f t="shared" si="857"/>
        <v>0-3 months</v>
      </c>
    </row>
    <row r="2860" spans="1:46" s="12" customFormat="1">
      <c r="A2860" s="33" t="str">
        <f t="shared" ref="A2860:A2923" si="863">IF(C2860="cancel","cancel",IFERROR(IF(D2860="Q4","FY "&amp;RIGHT(B2860,2)-1&amp;"/"&amp;RIGHT(B2860,2),"FY "&amp;RIGHT(B2860,2)&amp;"/"&amp;RIGHT(B2860,2)+1),""))</f>
        <v>FY 22/23</v>
      </c>
      <c r="B2860" s="152">
        <v>2023</v>
      </c>
      <c r="C2860" s="152">
        <v>2</v>
      </c>
      <c r="D2860" s="33" t="str">
        <f t="shared" ref="D2860:D2923" si="864">IF(B2860="","",IF(AND(C2860&gt;=10,C2860&lt;=12),"Q3",IF(AND(C2860&gt;=1,C2860&lt;=3),"Q4",IF(AND(C2860&gt;=7,C2860&lt;=9),"Q2",IF(AND(C2860&gt;=4,C2860&lt;=6),"Q1")))))</f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ref="I2860:I2923" si="865">IFERROR(IF(F2860="","",IF(F2860="TBA","TBA",IF(F2860="Cancel","Cancel",IF(AND(G2860&gt;=10,G2860&lt;=12),"Q3",IF(AND(G2860&gt;=1,G2860&lt;=3),"Q4",IF(AND(G2860&gt;=7,G2860&lt;=9),"Q2",IF(AND(G2860&gt;=4,G2860&lt;=6),"Q1"))))))),"")</f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ref="P2860:P2923" si="866">IF(M2860="","",IF(AND(N2860&gt;0,L2860&lt;&gt;""),"MAIN UNIT",IF(AND(O2860&gt;0,L2860&lt;&gt;""),"SERVICE/ PARTS","C66 SERVICE/OTHERS")))</f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67">IF(W2860="RMB","1.13", "1")</f>
        <v>1.13</v>
      </c>
      <c r="Z2860" s="18">
        <f t="shared" si="861"/>
        <v>400000</v>
      </c>
      <c r="AA2860" s="13">
        <v>1.1299999999999999</v>
      </c>
      <c r="AB2860" s="21">
        <f t="shared" ref="AB2860:AB2923" si="868">IF(AND(R2860&lt;&gt;"C66",R2860&lt;&gt;""),Z2860/Y2860*AA2860,"")</f>
        <v>400000</v>
      </c>
      <c r="AC2860" s="130">
        <f t="shared" ref="AC2860:AC2923" si="869">IF(R2860&lt;&gt;"",AB2860*AD2860,"")</f>
        <v>41360</v>
      </c>
      <c r="AD2860" s="169">
        <v>0.10340000000000001</v>
      </c>
      <c r="AE2860" s="154">
        <f t="shared" ref="AE2860:AE2923" si="870">IF(Q2860="","",IF(Q2860="Yes",1,0))</f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58"/>
        <v>33543315.897345133</v>
      </c>
      <c r="AJ2860" s="19">
        <f t="shared" si="859"/>
        <v>4706169.3252984071</v>
      </c>
      <c r="AK2860" s="20">
        <f t="shared" ref="AK2860:AK2923" si="871">IF(AJ2860&gt;0,AJ2860/AI2860,"")</f>
        <v>0.14030125523967318</v>
      </c>
      <c r="AL2860" s="17"/>
      <c r="AM2860" s="17"/>
      <c r="AN2860" s="17"/>
      <c r="AO2860" s="17"/>
      <c r="AP2860" s="28" t="str">
        <f t="shared" ref="AP2860:AP2923" si="872">IF(F2860="","",F2860&amp;G2860)</f>
        <v>20233</v>
      </c>
      <c r="AQ2860" s="28" t="str">
        <f t="shared" ref="AQ2860:AQ2923" si="873">IF(W2860="","",F2860&amp;G2860&amp;W2860)</f>
        <v>20233RMB</v>
      </c>
      <c r="AR2860" s="206" t="str">
        <f t="shared" ref="AR2860:AR2923" si="874">IFERROR(IF(AND(M2860="YAMAHA", R2860="C28"), "YAMAHA_Non_Mounter", IF(AND(M2860="YAMAHA", R2860="C49"), "YAMAHA_Mounter", M2860)),"")</f>
        <v>YAMAHA_Mounter</v>
      </c>
      <c r="AS2860" s="22">
        <f t="shared" ref="AS2860:AS2923" si="875">IFERROR(IF(OR(G2860="TBA", G2860=""), "", DATEDIF(DATE(B2860, C2860, 1), DATE(F2860, G2860, 1), "M")),"")</f>
        <v>1</v>
      </c>
      <c r="AT2860" s="24" t="str">
        <f t="shared" ref="AT2860:AT2923" si="876">IF(ISNUMBER(AS2860), IF(AS2860&gt;=0, IF(AS2860&lt;=3, "0-3 months", IF(AS2860&lt;=6, "4-6 months", "&gt; 6 months"))), "")</f>
        <v>0-3 months</v>
      </c>
    </row>
    <row r="2861" spans="1:46" s="12" customFormat="1">
      <c r="A2861" s="33" t="str">
        <f t="shared" si="863"/>
        <v>FY 22/23</v>
      </c>
      <c r="B2861" s="152">
        <v>2023</v>
      </c>
      <c r="C2861" s="152">
        <v>2</v>
      </c>
      <c r="D2861" s="33" t="str">
        <f t="shared" si="864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65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66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67"/>
        <v>1.13</v>
      </c>
      <c r="Z2861" s="18">
        <f t="shared" si="861"/>
        <v>700000</v>
      </c>
      <c r="AA2861" s="13">
        <v>1.1299999999999999</v>
      </c>
      <c r="AB2861" s="21">
        <f t="shared" si="868"/>
        <v>700000</v>
      </c>
      <c r="AC2861" s="130">
        <f t="shared" si="869"/>
        <v>72380</v>
      </c>
      <c r="AD2861" s="169">
        <v>0.10340000000000001</v>
      </c>
      <c r="AE2861" s="154">
        <f t="shared" si="870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58"/>
        <v>33543315.897345133</v>
      </c>
      <c r="AJ2861" s="19">
        <f t="shared" si="859"/>
        <v>4706169.3252984071</v>
      </c>
      <c r="AK2861" s="20">
        <f t="shared" si="871"/>
        <v>0.14030125523967318</v>
      </c>
      <c r="AL2861" s="17"/>
      <c r="AM2861" s="17"/>
      <c r="AN2861" s="17"/>
      <c r="AO2861" s="17"/>
      <c r="AP2861" s="28" t="str">
        <f t="shared" si="872"/>
        <v>20233</v>
      </c>
      <c r="AQ2861" s="28" t="str">
        <f t="shared" si="873"/>
        <v>20233RMB</v>
      </c>
      <c r="AR2861" s="206" t="str">
        <f t="shared" si="874"/>
        <v>YAMAHA_Mounter</v>
      </c>
      <c r="AS2861" s="22">
        <f t="shared" si="875"/>
        <v>1</v>
      </c>
      <c r="AT2861" s="24" t="str">
        <f t="shared" si="876"/>
        <v>0-3 months</v>
      </c>
    </row>
    <row r="2862" spans="1:46" s="12" customFormat="1">
      <c r="A2862" s="33" t="str">
        <f t="shared" si="863"/>
        <v>FY 21/22</v>
      </c>
      <c r="B2862" s="152">
        <v>2022</v>
      </c>
      <c r="C2862" s="152">
        <v>1</v>
      </c>
      <c r="D2862" s="33" t="str">
        <f t="shared" si="864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65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66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67"/>
        <v>1</v>
      </c>
      <c r="Z2862" s="18">
        <f t="shared" si="861"/>
        <v>18000000</v>
      </c>
      <c r="AA2862" s="13">
        <v>6.2799999999999995E-2</v>
      </c>
      <c r="AB2862" s="21">
        <f t="shared" si="868"/>
        <v>1130400</v>
      </c>
      <c r="AC2862" s="130">
        <f t="shared" si="869"/>
        <v>171142.56</v>
      </c>
      <c r="AD2862" s="169">
        <v>0.15140000000000001</v>
      </c>
      <c r="AE2862" s="154">
        <f t="shared" si="870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58"/>
        <v>44014086.982070789</v>
      </c>
      <c r="AJ2862" s="19">
        <f t="shared" si="859"/>
        <v>6419974.0221889298</v>
      </c>
      <c r="AK2862" s="20">
        <f t="shared" si="871"/>
        <v>0.14586180158193709</v>
      </c>
      <c r="AL2862" s="17"/>
      <c r="AM2862" s="17"/>
      <c r="AN2862" s="17"/>
      <c r="AO2862" s="17"/>
      <c r="AP2862" s="28" t="str">
        <f t="shared" si="872"/>
        <v>20225</v>
      </c>
      <c r="AQ2862" s="28" t="str">
        <f t="shared" si="873"/>
        <v>20225JPY</v>
      </c>
      <c r="AR2862" s="206" t="str">
        <f t="shared" si="874"/>
        <v>YAMAHA_Mounter</v>
      </c>
      <c r="AS2862" s="22">
        <f t="shared" si="875"/>
        <v>4</v>
      </c>
      <c r="AT2862" s="24" t="str">
        <f t="shared" si="876"/>
        <v>4-6 months</v>
      </c>
    </row>
    <row r="2863" spans="1:46" s="12" customFormat="1">
      <c r="A2863" s="33" t="str">
        <f t="shared" si="863"/>
        <v>FY 21/22</v>
      </c>
      <c r="B2863" s="152">
        <v>2022</v>
      </c>
      <c r="C2863" s="152">
        <v>1</v>
      </c>
      <c r="D2863" s="33" t="str">
        <f t="shared" si="864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65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66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67"/>
        <v>1</v>
      </c>
      <c r="Z2863" s="18">
        <f t="shared" si="861"/>
        <v>18000000</v>
      </c>
      <c r="AA2863" s="13">
        <v>6.2799999999999995E-2</v>
      </c>
      <c r="AB2863" s="21">
        <f t="shared" si="868"/>
        <v>1130400</v>
      </c>
      <c r="AC2863" s="130">
        <f t="shared" si="869"/>
        <v>171142.56</v>
      </c>
      <c r="AD2863" s="169">
        <v>0.15140000000000001</v>
      </c>
      <c r="AE2863" s="154">
        <f t="shared" si="870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58"/>
        <v>44014086.982070789</v>
      </c>
      <c r="AJ2863" s="19">
        <f t="shared" si="859"/>
        <v>6419974.0221889298</v>
      </c>
      <c r="AK2863" s="20">
        <f t="shared" si="871"/>
        <v>0.14586180158193709</v>
      </c>
      <c r="AL2863" s="17"/>
      <c r="AM2863" s="17"/>
      <c r="AN2863" s="17"/>
      <c r="AO2863" s="17"/>
      <c r="AP2863" s="28" t="str">
        <f t="shared" si="872"/>
        <v>20225</v>
      </c>
      <c r="AQ2863" s="28" t="str">
        <f t="shared" si="873"/>
        <v>20225JPY</v>
      </c>
      <c r="AR2863" s="206" t="str">
        <f t="shared" si="874"/>
        <v>YAMAHA_Mounter</v>
      </c>
      <c r="AS2863" s="22">
        <f t="shared" si="875"/>
        <v>4</v>
      </c>
      <c r="AT2863" s="24" t="str">
        <f t="shared" si="876"/>
        <v>4-6 months</v>
      </c>
    </row>
    <row r="2864" spans="1:46" s="12" customFormat="1">
      <c r="A2864" s="33" t="str">
        <f t="shared" si="863"/>
        <v>FY 21/22</v>
      </c>
      <c r="B2864" s="152">
        <v>2022</v>
      </c>
      <c r="C2864" s="152">
        <v>1</v>
      </c>
      <c r="D2864" s="33" t="str">
        <f t="shared" si="864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65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66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67"/>
        <v>1</v>
      </c>
      <c r="Z2864" s="18">
        <f t="shared" si="861"/>
        <v>13453405</v>
      </c>
      <c r="AA2864" s="13">
        <v>6.2799999999999995E-2</v>
      </c>
      <c r="AB2864" s="21">
        <f t="shared" si="868"/>
        <v>844873.83399999992</v>
      </c>
      <c r="AC2864" s="130">
        <f t="shared" si="869"/>
        <v>127913.8984676</v>
      </c>
      <c r="AD2864" s="169">
        <v>0.15140000000000001</v>
      </c>
      <c r="AE2864" s="154">
        <f t="shared" si="870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58"/>
        <v>44014086.982070789</v>
      </c>
      <c r="AJ2864" s="19">
        <f t="shared" si="859"/>
        <v>6419974.0221889298</v>
      </c>
      <c r="AK2864" s="20">
        <f t="shared" si="871"/>
        <v>0.14586180158193709</v>
      </c>
      <c r="AL2864" s="17"/>
      <c r="AM2864" s="17"/>
      <c r="AN2864" s="17"/>
      <c r="AO2864" s="17"/>
      <c r="AP2864" s="28" t="str">
        <f t="shared" si="872"/>
        <v>20225</v>
      </c>
      <c r="AQ2864" s="28" t="str">
        <f t="shared" si="873"/>
        <v>20225JPY</v>
      </c>
      <c r="AR2864" s="206" t="str">
        <f t="shared" si="874"/>
        <v>YAMAHA_Mounter</v>
      </c>
      <c r="AS2864" s="22">
        <f t="shared" si="875"/>
        <v>4</v>
      </c>
      <c r="AT2864" s="24" t="str">
        <f t="shared" si="876"/>
        <v>4-6 months</v>
      </c>
    </row>
    <row r="2865" spans="1:46" s="12" customFormat="1">
      <c r="A2865" s="33" t="str">
        <f t="shared" si="863"/>
        <v>FY 21/22</v>
      </c>
      <c r="B2865" s="152">
        <v>2022</v>
      </c>
      <c r="C2865" s="152">
        <v>1</v>
      </c>
      <c r="D2865" s="33" t="str">
        <f t="shared" si="864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65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66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67"/>
        <v>1</v>
      </c>
      <c r="Z2865" s="18">
        <f t="shared" si="861"/>
        <v>13453405</v>
      </c>
      <c r="AA2865" s="13">
        <v>6.2799999999999995E-2</v>
      </c>
      <c r="AB2865" s="21">
        <f t="shared" si="868"/>
        <v>844873.83399999992</v>
      </c>
      <c r="AC2865" s="130">
        <f t="shared" si="869"/>
        <v>127913.8984676</v>
      </c>
      <c r="AD2865" s="169">
        <v>0.15140000000000001</v>
      </c>
      <c r="AE2865" s="154">
        <f t="shared" si="870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58"/>
        <v>44014086.982070789</v>
      </c>
      <c r="AJ2865" s="19">
        <f t="shared" si="859"/>
        <v>6419974.0221889298</v>
      </c>
      <c r="AK2865" s="20">
        <f t="shared" si="871"/>
        <v>0.14586180158193709</v>
      </c>
      <c r="AL2865" s="17"/>
      <c r="AM2865" s="17"/>
      <c r="AN2865" s="17"/>
      <c r="AO2865" s="17"/>
      <c r="AP2865" s="28" t="str">
        <f t="shared" si="872"/>
        <v>20225</v>
      </c>
      <c r="AQ2865" s="28" t="str">
        <f t="shared" si="873"/>
        <v>20225JPY</v>
      </c>
      <c r="AR2865" s="206" t="str">
        <f t="shared" si="874"/>
        <v>YAMAHA_Mounter</v>
      </c>
      <c r="AS2865" s="22">
        <f t="shared" si="875"/>
        <v>4</v>
      </c>
      <c r="AT2865" s="24" t="str">
        <f t="shared" si="876"/>
        <v>4-6 months</v>
      </c>
    </row>
    <row r="2866" spans="1:46" s="12" customFormat="1">
      <c r="A2866" s="33" t="str">
        <f t="shared" si="863"/>
        <v>FY 20/21</v>
      </c>
      <c r="B2866" s="152">
        <v>2021</v>
      </c>
      <c r="C2866" s="152">
        <v>3</v>
      </c>
      <c r="D2866" s="33" t="str">
        <f t="shared" si="864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65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66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67"/>
        <v>1</v>
      </c>
      <c r="Z2866" s="18">
        <f t="shared" si="861"/>
        <v>7000000</v>
      </c>
      <c r="AA2866" s="13">
        <v>7.4499999999999997E-2</v>
      </c>
      <c r="AB2866" s="21">
        <f t="shared" si="868"/>
        <v>521500</v>
      </c>
      <c r="AC2866" s="130">
        <f t="shared" si="869"/>
        <v>68942.3</v>
      </c>
      <c r="AD2866" s="169">
        <v>0.13220000000000001</v>
      </c>
      <c r="AE2866" s="154">
        <f t="shared" si="870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58"/>
        <v>57778307.282035396</v>
      </c>
      <c r="AJ2866" s="19">
        <f t="shared" si="859"/>
        <v>7259860.7225420559</v>
      </c>
      <c r="AK2866" s="20">
        <f t="shared" si="871"/>
        <v>0.12565028406083667</v>
      </c>
      <c r="AL2866" s="17"/>
      <c r="AM2866" s="17"/>
      <c r="AN2866" s="17"/>
      <c r="AO2866" s="17"/>
      <c r="AP2866" s="28" t="str">
        <f t="shared" si="872"/>
        <v>20213</v>
      </c>
      <c r="AQ2866" s="28" t="str">
        <f t="shared" si="873"/>
        <v>20213JPY</v>
      </c>
      <c r="AR2866" s="206" t="str">
        <f t="shared" si="874"/>
        <v>YAMAHA_Mounter</v>
      </c>
      <c r="AS2866" s="22">
        <f t="shared" si="875"/>
        <v>0</v>
      </c>
      <c r="AT2866" s="24" t="str">
        <f t="shared" si="876"/>
        <v>0-3 months</v>
      </c>
    </row>
    <row r="2867" spans="1:46" s="12" customFormat="1">
      <c r="A2867" s="33" t="str">
        <f t="shared" si="863"/>
        <v>FY 20/21</v>
      </c>
      <c r="B2867" s="152">
        <v>2020</v>
      </c>
      <c r="C2867" s="152">
        <v>12</v>
      </c>
      <c r="D2867" s="33" t="str">
        <f t="shared" si="864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65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66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67"/>
        <v>1</v>
      </c>
      <c r="Z2867" s="18">
        <f t="shared" si="861"/>
        <v>8225000</v>
      </c>
      <c r="AA2867" s="13">
        <v>7.5700000000000003E-2</v>
      </c>
      <c r="AB2867" s="21">
        <f t="shared" si="868"/>
        <v>622632.5</v>
      </c>
      <c r="AC2867" s="130">
        <f t="shared" si="869"/>
        <v>106407.89425</v>
      </c>
      <c r="AD2867" s="169">
        <v>0.1709</v>
      </c>
      <c r="AE2867" s="154">
        <f t="shared" si="870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58"/>
        <v>31097187.02948761</v>
      </c>
      <c r="AJ2867" s="19">
        <f t="shared" si="859"/>
        <v>3892353.6644401965</v>
      </c>
      <c r="AK2867" s="20">
        <f t="shared" si="871"/>
        <v>0.12516738767237401</v>
      </c>
      <c r="AL2867" s="17"/>
      <c r="AM2867" s="17"/>
      <c r="AN2867" s="17"/>
      <c r="AO2867" s="17"/>
      <c r="AP2867" s="28" t="str">
        <f t="shared" si="872"/>
        <v>20212</v>
      </c>
      <c r="AQ2867" s="28" t="str">
        <f t="shared" si="873"/>
        <v>20212JPY</v>
      </c>
      <c r="AR2867" s="206" t="str">
        <f t="shared" si="874"/>
        <v>YAMAHA_Mounter</v>
      </c>
      <c r="AS2867" s="22">
        <f t="shared" si="875"/>
        <v>2</v>
      </c>
      <c r="AT2867" s="24" t="str">
        <f t="shared" si="876"/>
        <v>0-3 months</v>
      </c>
    </row>
    <row r="2868" spans="1:46" s="12" customFormat="1">
      <c r="A2868" s="33" t="str">
        <f t="shared" si="863"/>
        <v>FY 18/19</v>
      </c>
      <c r="B2868" s="152">
        <v>2018</v>
      </c>
      <c r="C2868" s="152">
        <v>9</v>
      </c>
      <c r="D2868" s="33" t="str">
        <f t="shared" si="864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65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66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61"/>
        <v>420000</v>
      </c>
      <c r="AA2868" s="13">
        <v>1</v>
      </c>
      <c r="AB2868" s="21">
        <f t="shared" si="868"/>
        <v>420000</v>
      </c>
      <c r="AC2868" s="130">
        <f t="shared" si="869"/>
        <v>73080</v>
      </c>
      <c r="AD2868" s="169">
        <v>0.17399999999999999</v>
      </c>
      <c r="AE2868" s="154">
        <f t="shared" si="870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58"/>
        <v>10785027.603448275</v>
      </c>
      <c r="AJ2868" s="19">
        <f t="shared" si="859"/>
        <v>1540894.1297982759</v>
      </c>
      <c r="AK2868" s="20">
        <f t="shared" si="871"/>
        <v>0.1428734525728621</v>
      </c>
      <c r="AL2868" s="17"/>
      <c r="AM2868" s="17"/>
      <c r="AN2868" s="17"/>
      <c r="AO2868" s="17"/>
      <c r="AP2868" s="28" t="str">
        <f t="shared" si="872"/>
        <v>201811</v>
      </c>
      <c r="AQ2868" s="28" t="str">
        <f t="shared" si="873"/>
        <v>201811HKD</v>
      </c>
      <c r="AR2868" s="206" t="str">
        <f t="shared" si="874"/>
        <v>HELLER</v>
      </c>
      <c r="AS2868" s="22">
        <f t="shared" si="875"/>
        <v>2</v>
      </c>
      <c r="AT2868" s="24" t="str">
        <f t="shared" si="876"/>
        <v>0-3 months</v>
      </c>
    </row>
    <row r="2869" spans="1:46" s="12" customFormat="1">
      <c r="A2869" s="33" t="str">
        <f t="shared" si="863"/>
        <v>FY 21/22</v>
      </c>
      <c r="B2869" s="152">
        <v>2021</v>
      </c>
      <c r="C2869" s="152">
        <v>11</v>
      </c>
      <c r="D2869" s="33" t="str">
        <f t="shared" si="864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65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66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61"/>
        <v>282000</v>
      </c>
      <c r="AA2869" s="13">
        <v>1</v>
      </c>
      <c r="AB2869" s="21">
        <f t="shared" si="868"/>
        <v>282000</v>
      </c>
      <c r="AC2869" s="130">
        <f t="shared" si="869"/>
        <v>126928.2</v>
      </c>
      <c r="AD2869" s="169">
        <v>0.4501</v>
      </c>
      <c r="AE2869" s="154">
        <f t="shared" si="870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58"/>
        <v>25380121.402654871</v>
      </c>
      <c r="AJ2869" s="19">
        <f t="shared" si="859"/>
        <v>3850343.1237796471</v>
      </c>
      <c r="AK2869" s="20">
        <f t="shared" si="871"/>
        <v>0.1517070412191521</v>
      </c>
      <c r="AL2869" s="17"/>
      <c r="AM2869" s="17"/>
      <c r="AN2869" s="17"/>
      <c r="AO2869" s="17"/>
      <c r="AP2869" s="28" t="str">
        <f t="shared" si="872"/>
        <v>202112</v>
      </c>
      <c r="AQ2869" s="28" t="str">
        <f t="shared" si="873"/>
        <v>202112HKD</v>
      </c>
      <c r="AR2869" s="206" t="str">
        <f t="shared" si="874"/>
        <v>LOCAL SUPPLIER</v>
      </c>
      <c r="AS2869" s="22">
        <f t="shared" si="875"/>
        <v>1</v>
      </c>
      <c r="AT2869" s="24" t="str">
        <f t="shared" si="876"/>
        <v>0-3 months</v>
      </c>
    </row>
    <row r="2870" spans="1:46" s="12" customFormat="1">
      <c r="A2870" s="33" t="str">
        <f t="shared" si="863"/>
        <v>FY 21/22</v>
      </c>
      <c r="B2870" s="152">
        <v>2022</v>
      </c>
      <c r="C2870" s="152">
        <v>2</v>
      </c>
      <c r="D2870" s="33" t="str">
        <f t="shared" si="864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65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66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61"/>
        <v>26000</v>
      </c>
      <c r="AA2870" s="13">
        <v>1</v>
      </c>
      <c r="AB2870" s="21">
        <f t="shared" si="868"/>
        <v>26000</v>
      </c>
      <c r="AC2870" s="130">
        <f t="shared" si="869"/>
        <v>4815.2</v>
      </c>
      <c r="AD2870" s="169">
        <v>0.1852</v>
      </c>
      <c r="AE2870" s="154">
        <f t="shared" si="870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58"/>
        <v>31750699.113741599</v>
      </c>
      <c r="AJ2870" s="19">
        <f t="shared" si="859"/>
        <v>4396077.3195289988</v>
      </c>
      <c r="AK2870" s="20">
        <f t="shared" si="871"/>
        <v>0.13845607946397598</v>
      </c>
      <c r="AL2870" s="17"/>
      <c r="AM2870" s="17"/>
      <c r="AN2870" s="17"/>
      <c r="AO2870" s="17"/>
      <c r="AP2870" s="28" t="str">
        <f t="shared" si="872"/>
        <v>20222</v>
      </c>
      <c r="AQ2870" s="28" t="str">
        <f t="shared" si="873"/>
        <v>20222HKD</v>
      </c>
      <c r="AR2870" s="206" t="str">
        <f t="shared" si="874"/>
        <v>SOLDERSTAR</v>
      </c>
      <c r="AS2870" s="22">
        <f t="shared" si="875"/>
        <v>0</v>
      </c>
      <c r="AT2870" s="24" t="str">
        <f t="shared" si="876"/>
        <v>0-3 months</v>
      </c>
    </row>
    <row r="2871" spans="1:46" s="12" customFormat="1">
      <c r="A2871" s="33" t="str">
        <f t="shared" si="863"/>
        <v>FY 24/25</v>
      </c>
      <c r="B2871" s="23">
        <v>2024</v>
      </c>
      <c r="C2871" s="152">
        <v>4</v>
      </c>
      <c r="D2871" s="33" t="str">
        <f t="shared" si="864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6</v>
      </c>
      <c r="H2871" s="29"/>
      <c r="I2871" s="33" t="str">
        <f t="shared" si="865"/>
        <v>Q1</v>
      </c>
      <c r="J2871" s="188" t="s">
        <v>3379</v>
      </c>
      <c r="K2871" s="29" t="s">
        <v>647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66"/>
        <v>MAIN UNIT</v>
      </c>
      <c r="Q2871" s="13" t="s">
        <v>62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312</v>
      </c>
      <c r="W2871" s="22" t="s">
        <v>110</v>
      </c>
      <c r="X2871" s="30">
        <v>11500000</v>
      </c>
      <c r="Y2871" s="31" t="str">
        <f>IF(W2871="","",IF(W2871="RMB","1.13", "1"))</f>
        <v>1</v>
      </c>
      <c r="Z2871" s="18">
        <f t="shared" si="861"/>
        <v>11500000</v>
      </c>
      <c r="AA2871" s="22">
        <v>5.0999999999999997E-2</v>
      </c>
      <c r="AB2871" s="21">
        <f t="shared" si="868"/>
        <v>586500</v>
      </c>
      <c r="AC2871" s="25">
        <f t="shared" si="869"/>
        <v>66157.2</v>
      </c>
      <c r="AD2871" s="170">
        <v>0.1128</v>
      </c>
      <c r="AE2871" s="26">
        <f t="shared" si="870"/>
        <v>0</v>
      </c>
      <c r="AF2871" s="26" t="str">
        <f>IF(AND(COUNTIFS($J$18:J2871,J2871)=1,AE2871=1),1,"")</f>
        <v/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58"/>
        <v>27308925.887079656</v>
      </c>
      <c r="AJ2871" s="27">
        <f t="shared" si="859"/>
        <v>3319273.860338124</v>
      </c>
      <c r="AK2871" s="28">
        <f t="shared" si="871"/>
        <v>0.12154538314919709</v>
      </c>
      <c r="AL2871" s="24"/>
      <c r="AM2871" s="24"/>
      <c r="AN2871" s="24"/>
      <c r="AO2871" s="24"/>
      <c r="AP2871" s="28" t="str">
        <f t="shared" si="872"/>
        <v>20246</v>
      </c>
      <c r="AQ2871" s="28" t="str">
        <f t="shared" si="873"/>
        <v>20246JPY</v>
      </c>
      <c r="AR2871" s="206" t="str">
        <f t="shared" si="874"/>
        <v>YAMAHA_Mounter</v>
      </c>
      <c r="AS2871" s="22">
        <f t="shared" si="875"/>
        <v>2</v>
      </c>
      <c r="AT2871" s="24" t="str">
        <f t="shared" si="876"/>
        <v>0-3 months</v>
      </c>
    </row>
    <row r="2872" spans="1:46" s="12" customFormat="1">
      <c r="A2872" s="33" t="str">
        <f t="shared" si="863"/>
        <v>FY 24/25</v>
      </c>
      <c r="B2872" s="23">
        <v>2024</v>
      </c>
      <c r="C2872" s="152">
        <v>4</v>
      </c>
      <c r="D2872" s="33" t="str">
        <f t="shared" si="864"/>
        <v>Q1</v>
      </c>
      <c r="E2872" s="33" t="str">
        <f>IF(G2872="Cancel","Cancel",IF(G2872="TBA","TBA",IFERROR(IF(I2872="Q4","FY "&amp;RIGHT(F2872,2)-1&amp;"/"&amp;RIGHT(F2872,2),"FY "&amp;RIGHT(F2872,2)&amp;"/"&amp;RIGHT(F2872,2)+1),"")))</f>
        <v>FY 24/25</v>
      </c>
      <c r="F2872" s="23">
        <v>2024</v>
      </c>
      <c r="G2872" s="23">
        <v>6</v>
      </c>
      <c r="H2872" s="29"/>
      <c r="I2872" s="33" t="str">
        <f t="shared" si="865"/>
        <v>Q1</v>
      </c>
      <c r="J2872" s="188" t="s">
        <v>3379</v>
      </c>
      <c r="K2872" s="29" t="s">
        <v>647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66"/>
        <v>MAIN UNIT</v>
      </c>
      <c r="Q2872" s="13" t="s">
        <v>62</v>
      </c>
      <c r="R2872" s="22" t="s">
        <v>63</v>
      </c>
      <c r="S2872" s="22" t="s">
        <v>50</v>
      </c>
      <c r="T2872" s="22" t="s">
        <v>79</v>
      </c>
      <c r="U2872" s="22" t="s">
        <v>79</v>
      </c>
      <c r="V2872" s="22" t="s">
        <v>312</v>
      </c>
      <c r="W2872" s="22" t="s">
        <v>110</v>
      </c>
      <c r="X2872" s="30">
        <v>7000000</v>
      </c>
      <c r="Y2872" s="31" t="str">
        <f>IF(W2872="","",IF(W2872="RMB","1.13", "1"))</f>
        <v>1</v>
      </c>
      <c r="Z2872" s="18">
        <f t="shared" si="861"/>
        <v>7000000</v>
      </c>
      <c r="AA2872" s="22">
        <v>5.0999999999999997E-2</v>
      </c>
      <c r="AB2872" s="21">
        <f t="shared" si="868"/>
        <v>357000</v>
      </c>
      <c r="AC2872" s="25">
        <f t="shared" si="869"/>
        <v>40269.599999999999</v>
      </c>
      <c r="AD2872" s="170">
        <v>0.1128</v>
      </c>
      <c r="AE2872" s="26">
        <f t="shared" si="870"/>
        <v>0</v>
      </c>
      <c r="AF2872" s="26" t="str">
        <f>IF(AND(COUNTIFS($J$18:J2872,J2872)=1,AE2872=1),1,"")</f>
        <v/>
      </c>
      <c r="AG2872" s="26" t="str">
        <f>IF(C2872="","",IF(AND(COUNTIFS($J$18:J2872,J2872)=1,C2872&lt;&gt;""),1,""))</f>
        <v/>
      </c>
      <c r="AH2872" s="26" t="str">
        <f>IF(G2872="","",IF(AND(COUNTIFS($J$18:J2872,J2872)=1,G2872&lt;&gt;""),1,""))</f>
        <v/>
      </c>
      <c r="AI2872" s="27">
        <f t="shared" si="858"/>
        <v>27308925.887079656</v>
      </c>
      <c r="AJ2872" s="27">
        <f t="shared" si="859"/>
        <v>3319273.860338124</v>
      </c>
      <c r="AK2872" s="28">
        <f t="shared" si="871"/>
        <v>0.12154538314919709</v>
      </c>
      <c r="AL2872" s="24"/>
      <c r="AM2872" s="24"/>
      <c r="AN2872" s="24"/>
      <c r="AO2872" s="24"/>
      <c r="AP2872" s="28" t="str">
        <f t="shared" si="872"/>
        <v>20246</v>
      </c>
      <c r="AQ2872" s="28" t="str">
        <f t="shared" si="873"/>
        <v>20246JPY</v>
      </c>
      <c r="AR2872" s="206" t="str">
        <f t="shared" si="874"/>
        <v>YAMAHA_Mounter</v>
      </c>
      <c r="AS2872" s="22">
        <f t="shared" si="875"/>
        <v>2</v>
      </c>
      <c r="AT2872" s="24" t="str">
        <f t="shared" si="876"/>
        <v>0-3 months</v>
      </c>
    </row>
    <row r="2873" spans="1:46" s="12" customFormat="1">
      <c r="A2873" s="33" t="str">
        <f t="shared" si="863"/>
        <v>FY 18/19</v>
      </c>
      <c r="B2873" s="152">
        <v>2019</v>
      </c>
      <c r="C2873" s="152">
        <v>2</v>
      </c>
      <c r="D2873" s="33" t="str">
        <f t="shared" si="864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65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66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61"/>
        <v>16000000</v>
      </c>
      <c r="AA2873" s="13">
        <v>7.22E-2</v>
      </c>
      <c r="AB2873" s="21">
        <f t="shared" si="868"/>
        <v>1155200</v>
      </c>
      <c r="AC2873" s="130">
        <f t="shared" si="869"/>
        <v>186449.28</v>
      </c>
      <c r="AD2873" s="169">
        <v>0.16139999999999999</v>
      </c>
      <c r="AE2873" s="154">
        <f t="shared" si="870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58"/>
        <v>47416008.333399981</v>
      </c>
      <c r="AJ2873" s="19">
        <f t="shared" si="859"/>
        <v>6981738.4465290187</v>
      </c>
      <c r="AK2873" s="20">
        <f t="shared" si="871"/>
        <v>0.14724433143839863</v>
      </c>
      <c r="AL2873" s="17"/>
      <c r="AM2873" s="17"/>
      <c r="AN2873" s="17"/>
      <c r="AO2873" s="17"/>
      <c r="AP2873" s="28" t="str">
        <f t="shared" si="872"/>
        <v>20193</v>
      </c>
      <c r="AQ2873" s="28" t="str">
        <f t="shared" si="873"/>
        <v>20193JPY</v>
      </c>
      <c r="AR2873" s="206" t="str">
        <f t="shared" si="874"/>
        <v>YAMAHA_Mounter</v>
      </c>
      <c r="AS2873" s="22">
        <f t="shared" si="875"/>
        <v>1</v>
      </c>
      <c r="AT2873" s="24" t="str">
        <f t="shared" si="876"/>
        <v>0-3 months</v>
      </c>
    </row>
    <row r="2874" spans="1:46" s="12" customFormat="1">
      <c r="A2874" s="33" t="str">
        <f t="shared" si="863"/>
        <v>FY 20/21</v>
      </c>
      <c r="B2874" s="152">
        <v>2020</v>
      </c>
      <c r="C2874" s="152">
        <v>4</v>
      </c>
      <c r="D2874" s="33" t="str">
        <f t="shared" si="864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65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66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61"/>
        <v>830000</v>
      </c>
      <c r="AA2874" s="13">
        <v>1.095</v>
      </c>
      <c r="AB2874" s="21">
        <f t="shared" si="868"/>
        <v>804292.03539823007</v>
      </c>
      <c r="AC2874" s="130">
        <f t="shared" si="869"/>
        <v>88954.699115044248</v>
      </c>
      <c r="AD2874" s="169">
        <v>0.1106</v>
      </c>
      <c r="AE2874" s="154">
        <f t="shared" si="870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58"/>
        <v>28065694.408805311</v>
      </c>
      <c r="AJ2874" s="19">
        <f t="shared" si="859"/>
        <v>4157433.2906989697</v>
      </c>
      <c r="AK2874" s="20">
        <f t="shared" si="871"/>
        <v>0.14813220831602228</v>
      </c>
      <c r="AL2874" s="17"/>
      <c r="AM2874" s="17"/>
      <c r="AN2874" s="17"/>
      <c r="AO2874" s="17"/>
      <c r="AP2874" s="28" t="str">
        <f t="shared" si="872"/>
        <v>20205</v>
      </c>
      <c r="AQ2874" s="28" t="str">
        <f t="shared" si="873"/>
        <v>20205RMB</v>
      </c>
      <c r="AR2874" s="206" t="str">
        <f t="shared" si="874"/>
        <v>YAMAHA_Mounter</v>
      </c>
      <c r="AS2874" s="22">
        <f t="shared" si="875"/>
        <v>1</v>
      </c>
      <c r="AT2874" s="24" t="str">
        <f t="shared" si="876"/>
        <v>0-3 months</v>
      </c>
    </row>
    <row r="2875" spans="1:46" s="12" customFormat="1">
      <c r="A2875" s="33" t="str">
        <f t="shared" si="863"/>
        <v>FY 20/21</v>
      </c>
      <c r="B2875" s="152">
        <v>2020</v>
      </c>
      <c r="C2875" s="152">
        <v>4</v>
      </c>
      <c r="D2875" s="33" t="str">
        <f t="shared" si="864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65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66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61"/>
        <v>830000</v>
      </c>
      <c r="AA2875" s="13">
        <v>1.095</v>
      </c>
      <c r="AB2875" s="21">
        <f t="shared" si="868"/>
        <v>804292.03539823007</v>
      </c>
      <c r="AC2875" s="130">
        <f t="shared" si="869"/>
        <v>88954.699115044248</v>
      </c>
      <c r="AD2875" s="169">
        <v>0.1106</v>
      </c>
      <c r="AE2875" s="154">
        <f t="shared" si="870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58"/>
        <v>28065694.408805311</v>
      </c>
      <c r="AJ2875" s="19">
        <f t="shared" si="859"/>
        <v>4157433.2906989697</v>
      </c>
      <c r="AK2875" s="20">
        <f t="shared" si="871"/>
        <v>0.14813220831602228</v>
      </c>
      <c r="AL2875" s="17"/>
      <c r="AM2875" s="17"/>
      <c r="AN2875" s="17"/>
      <c r="AO2875" s="17"/>
      <c r="AP2875" s="28" t="str">
        <f t="shared" si="872"/>
        <v>20205</v>
      </c>
      <c r="AQ2875" s="28" t="str">
        <f t="shared" si="873"/>
        <v>20205RMB</v>
      </c>
      <c r="AR2875" s="206" t="str">
        <f t="shared" si="874"/>
        <v>YAMAHA_Mounter</v>
      </c>
      <c r="AS2875" s="22">
        <f t="shared" si="875"/>
        <v>1</v>
      </c>
      <c r="AT2875" s="24" t="str">
        <f t="shared" si="876"/>
        <v>0-3 months</v>
      </c>
    </row>
    <row r="2876" spans="1:46" s="12" customFormat="1">
      <c r="A2876" s="33" t="str">
        <f t="shared" si="863"/>
        <v>FY 20/21</v>
      </c>
      <c r="B2876" s="152">
        <v>2020</v>
      </c>
      <c r="C2876" s="152">
        <v>4</v>
      </c>
      <c r="D2876" s="33" t="str">
        <f t="shared" si="864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65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66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61"/>
        <v>830000</v>
      </c>
      <c r="AA2876" s="13">
        <v>1.095</v>
      </c>
      <c r="AB2876" s="21">
        <f t="shared" si="868"/>
        <v>804292.03539823007</v>
      </c>
      <c r="AC2876" s="130">
        <f t="shared" si="869"/>
        <v>88954.699115044248</v>
      </c>
      <c r="AD2876" s="169">
        <v>0.1106</v>
      </c>
      <c r="AE2876" s="154">
        <f t="shared" si="870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58"/>
        <v>28065694.408805311</v>
      </c>
      <c r="AJ2876" s="19">
        <f t="shared" si="859"/>
        <v>4157433.2906989697</v>
      </c>
      <c r="AK2876" s="20">
        <f t="shared" si="871"/>
        <v>0.14813220831602228</v>
      </c>
      <c r="AL2876" s="17"/>
      <c r="AM2876" s="17"/>
      <c r="AN2876" s="17"/>
      <c r="AO2876" s="17"/>
      <c r="AP2876" s="28" t="str">
        <f t="shared" si="872"/>
        <v>20205</v>
      </c>
      <c r="AQ2876" s="28" t="str">
        <f t="shared" si="873"/>
        <v>20205RMB</v>
      </c>
      <c r="AR2876" s="206" t="str">
        <f t="shared" si="874"/>
        <v>YAMAHA_Mounter</v>
      </c>
      <c r="AS2876" s="22">
        <f t="shared" si="875"/>
        <v>1</v>
      </c>
      <c r="AT2876" s="24" t="str">
        <f t="shared" si="876"/>
        <v>0-3 months</v>
      </c>
    </row>
    <row r="2877" spans="1:46" s="12" customFormat="1">
      <c r="A2877" s="33" t="str">
        <f t="shared" si="863"/>
        <v>FY 20/21</v>
      </c>
      <c r="B2877" s="152">
        <v>2020</v>
      </c>
      <c r="C2877" s="152">
        <v>4</v>
      </c>
      <c r="D2877" s="33" t="str">
        <f t="shared" si="864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65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66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61"/>
        <v>830000</v>
      </c>
      <c r="AA2877" s="13">
        <v>1.095</v>
      </c>
      <c r="AB2877" s="21">
        <f t="shared" si="868"/>
        <v>804292.03539823007</v>
      </c>
      <c r="AC2877" s="130">
        <f t="shared" si="869"/>
        <v>88954.699115044248</v>
      </c>
      <c r="AD2877" s="169">
        <v>0.1106</v>
      </c>
      <c r="AE2877" s="154">
        <f t="shared" si="870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58"/>
        <v>28065694.408805311</v>
      </c>
      <c r="AJ2877" s="19">
        <f t="shared" si="859"/>
        <v>4157433.2906989697</v>
      </c>
      <c r="AK2877" s="20">
        <f t="shared" si="871"/>
        <v>0.14813220831602228</v>
      </c>
      <c r="AL2877" s="17"/>
      <c r="AM2877" s="17"/>
      <c r="AN2877" s="17"/>
      <c r="AO2877" s="17"/>
      <c r="AP2877" s="28" t="str">
        <f t="shared" si="872"/>
        <v>20205</v>
      </c>
      <c r="AQ2877" s="28" t="str">
        <f t="shared" si="873"/>
        <v>20205RMB</v>
      </c>
      <c r="AR2877" s="206" t="str">
        <f t="shared" si="874"/>
        <v>YAMAHA_Mounter</v>
      </c>
      <c r="AS2877" s="22">
        <f t="shared" si="875"/>
        <v>1</v>
      </c>
      <c r="AT2877" s="24" t="str">
        <f t="shared" si="876"/>
        <v>0-3 months</v>
      </c>
    </row>
    <row r="2878" spans="1:46" s="12" customFormat="1">
      <c r="A2878" s="33" t="str">
        <f t="shared" si="863"/>
        <v>FY 20/21</v>
      </c>
      <c r="B2878" s="152">
        <v>2020</v>
      </c>
      <c r="C2878" s="152">
        <v>9</v>
      </c>
      <c r="D2878" s="33" t="str">
        <f t="shared" si="864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65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66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77">IF(W2878="RMB","1.13", "1")</f>
        <v>1.13</v>
      </c>
      <c r="Z2878" s="18">
        <f t="shared" si="861"/>
        <v>1420000</v>
      </c>
      <c r="AA2878" s="13">
        <v>1.17</v>
      </c>
      <c r="AB2878" s="21">
        <f t="shared" si="868"/>
        <v>1470265.4867256638</v>
      </c>
      <c r="AC2878" s="130">
        <f t="shared" si="869"/>
        <v>176431.85840707965</v>
      </c>
      <c r="AD2878" s="169">
        <v>0.12</v>
      </c>
      <c r="AE2878" s="154">
        <f t="shared" si="870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58"/>
        <v>477651199.57437885</v>
      </c>
      <c r="AJ2878" s="19">
        <f t="shared" si="859"/>
        <v>56918800.518691957</v>
      </c>
      <c r="AK2878" s="20">
        <f t="shared" si="871"/>
        <v>0.11916394341605475</v>
      </c>
      <c r="AL2878" s="17"/>
      <c r="AM2878" s="17"/>
      <c r="AN2878" s="17"/>
      <c r="AO2878" s="17"/>
      <c r="AP2878" s="28" t="str">
        <f t="shared" si="872"/>
        <v>CancelCancel</v>
      </c>
      <c r="AQ2878" s="28" t="str">
        <f t="shared" si="873"/>
        <v>CancelCancelRMB</v>
      </c>
      <c r="AR2878" s="206" t="str">
        <f t="shared" si="874"/>
        <v>YAMAHA_Mounter</v>
      </c>
      <c r="AS2878" s="22" t="str">
        <f t="shared" si="875"/>
        <v/>
      </c>
      <c r="AT2878" s="24" t="str">
        <f t="shared" si="876"/>
        <v/>
      </c>
    </row>
    <row r="2879" spans="1:46" s="12" customFormat="1">
      <c r="A2879" s="33" t="str">
        <f t="shared" si="863"/>
        <v>FY 20/21</v>
      </c>
      <c r="B2879" s="152">
        <v>2021</v>
      </c>
      <c r="C2879" s="152">
        <v>3</v>
      </c>
      <c r="D2879" s="33" t="str">
        <f t="shared" si="864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65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66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77"/>
        <v>1</v>
      </c>
      <c r="Z2879" s="18">
        <f t="shared" si="861"/>
        <v>10900000</v>
      </c>
      <c r="AA2879" s="13">
        <v>7.17E-2</v>
      </c>
      <c r="AB2879" s="21">
        <f t="shared" si="868"/>
        <v>781530</v>
      </c>
      <c r="AC2879" s="130">
        <f t="shared" si="869"/>
        <v>82060.649999999994</v>
      </c>
      <c r="AD2879" s="169">
        <v>0.105</v>
      </c>
      <c r="AE2879" s="154">
        <f t="shared" si="870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58"/>
        <v>43684091.636631854</v>
      </c>
      <c r="AJ2879" s="19">
        <f t="shared" si="859"/>
        <v>6483951.8242071122</v>
      </c>
      <c r="AK2879" s="20">
        <f t="shared" si="871"/>
        <v>0.14842821680123736</v>
      </c>
      <c r="AL2879" s="17"/>
      <c r="AM2879" s="17"/>
      <c r="AN2879" s="17"/>
      <c r="AO2879" s="17"/>
      <c r="AP2879" s="28" t="str">
        <f t="shared" si="872"/>
        <v>20214</v>
      </c>
      <c r="AQ2879" s="28" t="str">
        <f t="shared" si="873"/>
        <v>20214JPY</v>
      </c>
      <c r="AR2879" s="206" t="str">
        <f t="shared" si="874"/>
        <v>YAMAHA_Mounter</v>
      </c>
      <c r="AS2879" s="22">
        <f t="shared" si="875"/>
        <v>1</v>
      </c>
      <c r="AT2879" s="24" t="str">
        <f t="shared" si="876"/>
        <v>0-3 months</v>
      </c>
    </row>
    <row r="2880" spans="1:46" s="12" customFormat="1">
      <c r="A2880" s="33" t="str">
        <f t="shared" si="863"/>
        <v>FY 20/21</v>
      </c>
      <c r="B2880" s="152">
        <v>2021</v>
      </c>
      <c r="C2880" s="152">
        <v>3</v>
      </c>
      <c r="D2880" s="33" t="str">
        <f t="shared" si="864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65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66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77"/>
        <v>1</v>
      </c>
      <c r="Z2880" s="18">
        <f t="shared" si="861"/>
        <v>10900000</v>
      </c>
      <c r="AA2880" s="13">
        <v>7.17E-2</v>
      </c>
      <c r="AB2880" s="21">
        <f t="shared" si="868"/>
        <v>781530</v>
      </c>
      <c r="AC2880" s="130">
        <f t="shared" si="869"/>
        <v>82060.649999999994</v>
      </c>
      <c r="AD2880" s="169">
        <v>0.105</v>
      </c>
      <c r="AE2880" s="154">
        <f t="shared" si="870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58"/>
        <v>43684091.636631854</v>
      </c>
      <c r="AJ2880" s="19">
        <f t="shared" si="859"/>
        <v>6483951.8242071122</v>
      </c>
      <c r="AK2880" s="20">
        <f t="shared" si="871"/>
        <v>0.14842821680123736</v>
      </c>
      <c r="AL2880" s="17"/>
      <c r="AM2880" s="17"/>
      <c r="AN2880" s="17"/>
      <c r="AO2880" s="17"/>
      <c r="AP2880" s="28" t="str">
        <f t="shared" si="872"/>
        <v>20214</v>
      </c>
      <c r="AQ2880" s="28" t="str">
        <f t="shared" si="873"/>
        <v>20214JPY</v>
      </c>
      <c r="AR2880" s="206" t="str">
        <f t="shared" si="874"/>
        <v>YAMAHA_Mounter</v>
      </c>
      <c r="AS2880" s="22">
        <f t="shared" si="875"/>
        <v>1</v>
      </c>
      <c r="AT2880" s="24" t="str">
        <f t="shared" si="876"/>
        <v>0-3 months</v>
      </c>
    </row>
    <row r="2881" spans="1:46" s="12" customFormat="1">
      <c r="A2881" s="33" t="str">
        <f t="shared" si="863"/>
        <v>FY 20/21</v>
      </c>
      <c r="B2881" s="152">
        <v>2021</v>
      </c>
      <c r="C2881" s="152">
        <v>3</v>
      </c>
      <c r="D2881" s="33" t="str">
        <f t="shared" si="864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65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66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77"/>
        <v>1</v>
      </c>
      <c r="Z2881" s="18">
        <f t="shared" si="861"/>
        <v>10900000</v>
      </c>
      <c r="AA2881" s="13">
        <v>7.17E-2</v>
      </c>
      <c r="AB2881" s="21">
        <f t="shared" si="868"/>
        <v>781530</v>
      </c>
      <c r="AC2881" s="130">
        <f t="shared" si="869"/>
        <v>82060.649999999994</v>
      </c>
      <c r="AD2881" s="169">
        <v>0.105</v>
      </c>
      <c r="AE2881" s="154">
        <f t="shared" si="870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58"/>
        <v>43684091.636631854</v>
      </c>
      <c r="AJ2881" s="19">
        <f t="shared" si="859"/>
        <v>6483951.8242071122</v>
      </c>
      <c r="AK2881" s="20">
        <f t="shared" si="871"/>
        <v>0.14842821680123736</v>
      </c>
      <c r="AL2881" s="17"/>
      <c r="AM2881" s="17"/>
      <c r="AN2881" s="17"/>
      <c r="AO2881" s="17"/>
      <c r="AP2881" s="28" t="str">
        <f t="shared" si="872"/>
        <v>20214</v>
      </c>
      <c r="AQ2881" s="28" t="str">
        <f t="shared" si="873"/>
        <v>20214JPY</v>
      </c>
      <c r="AR2881" s="206" t="str">
        <f t="shared" si="874"/>
        <v>YAMAHA_Mounter</v>
      </c>
      <c r="AS2881" s="22">
        <f t="shared" si="875"/>
        <v>1</v>
      </c>
      <c r="AT2881" s="24" t="str">
        <f t="shared" si="876"/>
        <v>0-3 months</v>
      </c>
    </row>
    <row r="2882" spans="1:46" s="12" customFormat="1">
      <c r="A2882" s="33" t="str">
        <f t="shared" si="863"/>
        <v>FY 20/21</v>
      </c>
      <c r="B2882" s="152">
        <v>2021</v>
      </c>
      <c r="C2882" s="152">
        <v>3</v>
      </c>
      <c r="D2882" s="33" t="str">
        <f t="shared" si="864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65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66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77"/>
        <v>1</v>
      </c>
      <c r="Z2882" s="18">
        <f t="shared" si="861"/>
        <v>10900000</v>
      </c>
      <c r="AA2882" s="13">
        <v>7.2099999999999997E-2</v>
      </c>
      <c r="AB2882" s="21">
        <f t="shared" si="868"/>
        <v>785890</v>
      </c>
      <c r="AC2882" s="130">
        <f t="shared" si="869"/>
        <v>82518.45</v>
      </c>
      <c r="AD2882" s="169">
        <v>0.105</v>
      </c>
      <c r="AE2882" s="154">
        <f t="shared" si="870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78">IF(P2882="C66 SERVICE","",SUMIFS(AB:AB,F:F,F2882,G:G,G2882,E:E,E2882))</f>
        <v>54700260.692079648</v>
      </c>
      <c r="AJ2882" s="19">
        <f t="shared" ref="AJ2882:AJ2945" si="879">IF(P2882="C66 SERVICE","",SUMIFS(AC:AC,F:F,F2882,G:G,G2882,E:E,E2882))</f>
        <v>7482899.5749188727</v>
      </c>
      <c r="AK2882" s="20">
        <f t="shared" si="871"/>
        <v>0.13679824337660537</v>
      </c>
      <c r="AL2882" s="17"/>
      <c r="AM2882" s="17"/>
      <c r="AN2882" s="17"/>
      <c r="AO2882" s="17"/>
      <c r="AP2882" s="28" t="str">
        <f t="shared" si="872"/>
        <v>20216</v>
      </c>
      <c r="AQ2882" s="28" t="str">
        <f t="shared" si="873"/>
        <v>20216JPY</v>
      </c>
      <c r="AR2882" s="206" t="str">
        <f t="shared" si="874"/>
        <v>YAMAHA_Mounter</v>
      </c>
      <c r="AS2882" s="22">
        <f t="shared" si="875"/>
        <v>3</v>
      </c>
      <c r="AT2882" s="24" t="str">
        <f t="shared" si="876"/>
        <v>0-3 months</v>
      </c>
    </row>
    <row r="2883" spans="1:46" s="12" customFormat="1">
      <c r="A2883" s="33" t="str">
        <f t="shared" si="863"/>
        <v>FY 20/21</v>
      </c>
      <c r="B2883" s="152">
        <v>2021</v>
      </c>
      <c r="C2883" s="152">
        <v>3</v>
      </c>
      <c r="D2883" s="33" t="str">
        <f t="shared" si="864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65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66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77"/>
        <v>1</v>
      </c>
      <c r="Z2883" s="18">
        <f t="shared" si="861"/>
        <v>10900000</v>
      </c>
      <c r="AA2883" s="13">
        <v>7.2099999999999997E-2</v>
      </c>
      <c r="AB2883" s="21">
        <f t="shared" si="868"/>
        <v>785890</v>
      </c>
      <c r="AC2883" s="130">
        <f t="shared" si="869"/>
        <v>82518.45</v>
      </c>
      <c r="AD2883" s="169">
        <v>0.105</v>
      </c>
      <c r="AE2883" s="154">
        <f t="shared" si="870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78"/>
        <v>54700260.692079648</v>
      </c>
      <c r="AJ2883" s="19">
        <f t="shared" si="879"/>
        <v>7482899.5749188727</v>
      </c>
      <c r="AK2883" s="20">
        <f t="shared" si="871"/>
        <v>0.13679824337660537</v>
      </c>
      <c r="AL2883" s="17"/>
      <c r="AM2883" s="17"/>
      <c r="AN2883" s="17"/>
      <c r="AO2883" s="17"/>
      <c r="AP2883" s="28" t="str">
        <f t="shared" si="872"/>
        <v>20216</v>
      </c>
      <c r="AQ2883" s="28" t="str">
        <f t="shared" si="873"/>
        <v>20216JPY</v>
      </c>
      <c r="AR2883" s="206" t="str">
        <f t="shared" si="874"/>
        <v>YAMAHA_Mounter</v>
      </c>
      <c r="AS2883" s="22">
        <f t="shared" si="875"/>
        <v>3</v>
      </c>
      <c r="AT2883" s="24" t="str">
        <f t="shared" si="876"/>
        <v>0-3 months</v>
      </c>
    </row>
    <row r="2884" spans="1:46" s="12" customFormat="1">
      <c r="A2884" s="33" t="str">
        <f t="shared" si="863"/>
        <v>FY 20/21</v>
      </c>
      <c r="B2884" s="152">
        <v>2021</v>
      </c>
      <c r="C2884" s="152">
        <v>3</v>
      </c>
      <c r="D2884" s="33" t="str">
        <f t="shared" si="864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65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66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77"/>
        <v>1</v>
      </c>
      <c r="Z2884" s="18">
        <f t="shared" si="861"/>
        <v>10900000</v>
      </c>
      <c r="AA2884" s="13">
        <v>7.2099999999999997E-2</v>
      </c>
      <c r="AB2884" s="21">
        <f t="shared" si="868"/>
        <v>785890</v>
      </c>
      <c r="AC2884" s="130">
        <f t="shared" si="869"/>
        <v>82518.45</v>
      </c>
      <c r="AD2884" s="169">
        <v>0.105</v>
      </c>
      <c r="AE2884" s="154">
        <f t="shared" si="870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78"/>
        <v>54700260.692079648</v>
      </c>
      <c r="AJ2884" s="19">
        <f t="shared" si="879"/>
        <v>7482899.5749188727</v>
      </c>
      <c r="AK2884" s="20">
        <f t="shared" si="871"/>
        <v>0.13679824337660537</v>
      </c>
      <c r="AL2884" s="17"/>
      <c r="AM2884" s="17"/>
      <c r="AN2884" s="17"/>
      <c r="AO2884" s="17"/>
      <c r="AP2884" s="28" t="str">
        <f t="shared" si="872"/>
        <v>20216</v>
      </c>
      <c r="AQ2884" s="28" t="str">
        <f t="shared" si="873"/>
        <v>20216JPY</v>
      </c>
      <c r="AR2884" s="206" t="str">
        <f t="shared" si="874"/>
        <v>YAMAHA_Mounter</v>
      </c>
      <c r="AS2884" s="22">
        <f t="shared" si="875"/>
        <v>3</v>
      </c>
      <c r="AT2884" s="24" t="str">
        <f t="shared" si="876"/>
        <v>0-3 months</v>
      </c>
    </row>
    <row r="2885" spans="1:46" s="12" customFormat="1">
      <c r="A2885" s="33" t="str">
        <f t="shared" si="863"/>
        <v>FY 20/21</v>
      </c>
      <c r="B2885" s="152">
        <v>2021</v>
      </c>
      <c r="C2885" s="152">
        <v>3</v>
      </c>
      <c r="D2885" s="33" t="str">
        <f t="shared" si="864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65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66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77"/>
        <v>1</v>
      </c>
      <c r="Z2885" s="18">
        <f t="shared" si="861"/>
        <v>10900000</v>
      </c>
      <c r="AA2885" s="13">
        <v>5.96E-2</v>
      </c>
      <c r="AB2885" s="21">
        <f t="shared" si="868"/>
        <v>649640</v>
      </c>
      <c r="AC2885" s="130">
        <f t="shared" si="869"/>
        <v>68212.2</v>
      </c>
      <c r="AD2885" s="169">
        <v>0.105</v>
      </c>
      <c r="AE2885" s="154">
        <f t="shared" si="870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78"/>
        <v>35073581.838938057</v>
      </c>
      <c r="AJ2885" s="19">
        <f t="shared" si="879"/>
        <v>5034113.9728989396</v>
      </c>
      <c r="AK2885" s="20">
        <f t="shared" si="871"/>
        <v>0.14353007902118958</v>
      </c>
      <c r="AL2885" s="17"/>
      <c r="AM2885" s="17"/>
      <c r="AN2885" s="17"/>
      <c r="AO2885" s="17"/>
      <c r="AP2885" s="28" t="str">
        <f t="shared" si="872"/>
        <v>20228</v>
      </c>
      <c r="AQ2885" s="28" t="str">
        <f t="shared" si="873"/>
        <v>20228JPY</v>
      </c>
      <c r="AR2885" s="206" t="str">
        <f t="shared" si="874"/>
        <v>YAMAHA_Mounter</v>
      </c>
      <c r="AS2885" s="22">
        <f t="shared" si="875"/>
        <v>17</v>
      </c>
      <c r="AT2885" s="24" t="str">
        <f t="shared" si="876"/>
        <v>&gt; 6 months</v>
      </c>
    </row>
    <row r="2886" spans="1:46" s="12" customFormat="1">
      <c r="A2886" s="33" t="str">
        <f t="shared" si="863"/>
        <v>FY 20/21</v>
      </c>
      <c r="B2886" s="152">
        <v>2021</v>
      </c>
      <c r="C2886" s="152">
        <v>3</v>
      </c>
      <c r="D2886" s="33" t="str">
        <f t="shared" si="864"/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si="865"/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66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77"/>
        <v>1</v>
      </c>
      <c r="Z2886" s="18">
        <f t="shared" si="861"/>
        <v>10900000</v>
      </c>
      <c r="AA2886" s="13">
        <v>5.8700000000000002E-2</v>
      </c>
      <c r="AB2886" s="21">
        <f t="shared" si="868"/>
        <v>639830</v>
      </c>
      <c r="AC2886" s="130">
        <f t="shared" si="869"/>
        <v>58672.411</v>
      </c>
      <c r="AD2886" s="169">
        <v>9.1700000000000004E-2</v>
      </c>
      <c r="AE2886" s="154">
        <f t="shared" si="870"/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78"/>
        <v>477651199.57437885</v>
      </c>
      <c r="AJ2886" s="19">
        <f t="shared" si="879"/>
        <v>56918800.518691957</v>
      </c>
      <c r="AK2886" s="20">
        <f t="shared" si="871"/>
        <v>0.11916394341605475</v>
      </c>
      <c r="AL2886" s="17"/>
      <c r="AM2886" s="17"/>
      <c r="AN2886" s="17"/>
      <c r="AO2886" s="17"/>
      <c r="AP2886" s="28" t="str">
        <f t="shared" si="872"/>
        <v>CancelCancel</v>
      </c>
      <c r="AQ2886" s="28" t="str">
        <f t="shared" si="873"/>
        <v>CancelCancelJPY</v>
      </c>
      <c r="AR2886" s="206" t="str">
        <f t="shared" si="874"/>
        <v>YAMAHA_Mounter</v>
      </c>
      <c r="AS2886" s="22" t="str">
        <f t="shared" si="875"/>
        <v/>
      </c>
      <c r="AT2886" s="24" t="str">
        <f t="shared" si="876"/>
        <v/>
      </c>
    </row>
    <row r="2887" spans="1:46" s="12" customFormat="1">
      <c r="A2887" s="33" t="str">
        <f t="shared" si="863"/>
        <v>FY 20/21</v>
      </c>
      <c r="B2887" s="152">
        <v>2021</v>
      </c>
      <c r="C2887" s="152">
        <v>3</v>
      </c>
      <c r="D2887" s="33" t="str">
        <f t="shared" si="864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5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66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77"/>
        <v>1</v>
      </c>
      <c r="Z2887" s="18">
        <f t="shared" si="861"/>
        <v>10900000</v>
      </c>
      <c r="AA2887" s="13">
        <v>5.8700000000000002E-2</v>
      </c>
      <c r="AB2887" s="21">
        <f t="shared" si="868"/>
        <v>639830</v>
      </c>
      <c r="AC2887" s="130">
        <f t="shared" si="869"/>
        <v>58672.411</v>
      </c>
      <c r="AD2887" s="169">
        <v>9.1700000000000004E-2</v>
      </c>
      <c r="AE2887" s="154">
        <f t="shared" si="870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78"/>
        <v>477651199.57437885</v>
      </c>
      <c r="AJ2887" s="19">
        <f t="shared" si="879"/>
        <v>56918800.518691957</v>
      </c>
      <c r="AK2887" s="20">
        <f t="shared" si="871"/>
        <v>0.11916394341605475</v>
      </c>
      <c r="AL2887" s="17"/>
      <c r="AM2887" s="17"/>
      <c r="AN2887" s="17"/>
      <c r="AO2887" s="17"/>
      <c r="AP2887" s="28" t="str">
        <f t="shared" si="872"/>
        <v>CancelCancel</v>
      </c>
      <c r="AQ2887" s="28" t="str">
        <f t="shared" si="873"/>
        <v>CancelCancelJPY</v>
      </c>
      <c r="AR2887" s="206" t="str">
        <f t="shared" si="874"/>
        <v>YAMAHA_Mounter</v>
      </c>
      <c r="AS2887" s="22" t="str">
        <f t="shared" si="875"/>
        <v/>
      </c>
      <c r="AT2887" s="24" t="str">
        <f t="shared" si="876"/>
        <v/>
      </c>
    </row>
    <row r="2888" spans="1:46" s="12" customFormat="1">
      <c r="A2888" s="33" t="str">
        <f t="shared" si="863"/>
        <v>FY 20/21</v>
      </c>
      <c r="B2888" s="152">
        <v>2021</v>
      </c>
      <c r="C2888" s="152">
        <v>3</v>
      </c>
      <c r="D2888" s="33" t="str">
        <f t="shared" si="864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5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66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77"/>
        <v>1</v>
      </c>
      <c r="Z2888" s="18">
        <f t="shared" si="861"/>
        <v>10900000</v>
      </c>
      <c r="AA2888" s="13">
        <v>5.8700000000000002E-2</v>
      </c>
      <c r="AB2888" s="21">
        <f t="shared" si="868"/>
        <v>639830</v>
      </c>
      <c r="AC2888" s="130">
        <f t="shared" si="869"/>
        <v>58672.411</v>
      </c>
      <c r="AD2888" s="169">
        <v>9.1700000000000004E-2</v>
      </c>
      <c r="AE2888" s="154">
        <f t="shared" si="870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78"/>
        <v>477651199.57437885</v>
      </c>
      <c r="AJ2888" s="19">
        <f t="shared" si="879"/>
        <v>56918800.518691957</v>
      </c>
      <c r="AK2888" s="20">
        <f t="shared" si="871"/>
        <v>0.11916394341605475</v>
      </c>
      <c r="AL2888" s="17"/>
      <c r="AM2888" s="17"/>
      <c r="AN2888" s="17"/>
      <c r="AO2888" s="17"/>
      <c r="AP2888" s="28" t="str">
        <f t="shared" si="872"/>
        <v>CancelCancel</v>
      </c>
      <c r="AQ2888" s="28" t="str">
        <f t="shared" si="873"/>
        <v>CancelCancelJPY</v>
      </c>
      <c r="AR2888" s="206" t="str">
        <f t="shared" si="874"/>
        <v>YAMAHA_Mounter</v>
      </c>
      <c r="AS2888" s="22" t="str">
        <f t="shared" si="875"/>
        <v/>
      </c>
      <c r="AT2888" s="24" t="str">
        <f t="shared" si="876"/>
        <v/>
      </c>
    </row>
    <row r="2889" spans="1:46" s="12" customFormat="1">
      <c r="A2889" s="33" t="str">
        <f t="shared" si="863"/>
        <v>FY 20/21</v>
      </c>
      <c r="B2889" s="152">
        <v>2021</v>
      </c>
      <c r="C2889" s="152">
        <v>3</v>
      </c>
      <c r="D2889" s="33" t="str">
        <f t="shared" si="864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5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66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77"/>
        <v>1</v>
      </c>
      <c r="Z2889" s="18">
        <f t="shared" si="861"/>
        <v>10900000</v>
      </c>
      <c r="AA2889" s="13">
        <v>5.8700000000000002E-2</v>
      </c>
      <c r="AB2889" s="21">
        <f t="shared" si="868"/>
        <v>639830</v>
      </c>
      <c r="AC2889" s="130">
        <f t="shared" si="869"/>
        <v>58672.411</v>
      </c>
      <c r="AD2889" s="169">
        <v>9.1700000000000004E-2</v>
      </c>
      <c r="AE2889" s="154">
        <f t="shared" si="870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78"/>
        <v>477651199.57437885</v>
      </c>
      <c r="AJ2889" s="19">
        <f t="shared" si="879"/>
        <v>56918800.518691957</v>
      </c>
      <c r="AK2889" s="20">
        <f t="shared" si="871"/>
        <v>0.11916394341605475</v>
      </c>
      <c r="AL2889" s="17"/>
      <c r="AM2889" s="17"/>
      <c r="AN2889" s="17"/>
      <c r="AO2889" s="17"/>
      <c r="AP2889" s="28" t="str">
        <f t="shared" si="872"/>
        <v>CancelCancel</v>
      </c>
      <c r="AQ2889" s="28" t="str">
        <f t="shared" si="873"/>
        <v>CancelCancelJPY</v>
      </c>
      <c r="AR2889" s="206" t="str">
        <f t="shared" si="874"/>
        <v>YAMAHA_Mounter</v>
      </c>
      <c r="AS2889" s="22" t="str">
        <f t="shared" si="875"/>
        <v/>
      </c>
      <c r="AT2889" s="24" t="str">
        <f t="shared" si="876"/>
        <v/>
      </c>
    </row>
    <row r="2890" spans="1:46" s="12" customFormat="1">
      <c r="A2890" s="33" t="str">
        <f t="shared" si="863"/>
        <v>FY 21/22</v>
      </c>
      <c r="B2890" s="152">
        <v>2022</v>
      </c>
      <c r="C2890" s="152">
        <v>2</v>
      </c>
      <c r="D2890" s="33" t="str">
        <f t="shared" si="864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5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66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77"/>
        <v>1.13</v>
      </c>
      <c r="Z2890" s="18">
        <f t="shared" si="861"/>
        <v>1300000</v>
      </c>
      <c r="AA2890" s="13">
        <v>1.175</v>
      </c>
      <c r="AB2890" s="21">
        <f t="shared" si="868"/>
        <v>1351769.9115044249</v>
      </c>
      <c r="AC2890" s="130">
        <f t="shared" si="869"/>
        <v>162212.38938053098</v>
      </c>
      <c r="AD2890" s="169">
        <v>0.12</v>
      </c>
      <c r="AE2890" s="154">
        <f t="shared" si="870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78"/>
        <v>477651199.57437885</v>
      </c>
      <c r="AJ2890" s="19">
        <f t="shared" si="879"/>
        <v>56918800.518691957</v>
      </c>
      <c r="AK2890" s="20">
        <f t="shared" si="871"/>
        <v>0.11916394341605475</v>
      </c>
      <c r="AL2890" s="17"/>
      <c r="AM2890" s="17"/>
      <c r="AN2890" s="17"/>
      <c r="AO2890" s="17" t="s">
        <v>2352</v>
      </c>
      <c r="AP2890" s="28" t="str">
        <f t="shared" si="872"/>
        <v>CancelCancel</v>
      </c>
      <c r="AQ2890" s="28" t="str">
        <f t="shared" si="873"/>
        <v>CancelCancelRMB</v>
      </c>
      <c r="AR2890" s="206" t="str">
        <f t="shared" si="874"/>
        <v>YAMAHA_Mounter</v>
      </c>
      <c r="AS2890" s="22" t="str">
        <f t="shared" si="875"/>
        <v/>
      </c>
      <c r="AT2890" s="24" t="str">
        <f t="shared" si="876"/>
        <v/>
      </c>
    </row>
    <row r="2891" spans="1:46" s="12" customFormat="1">
      <c r="A2891" s="33" t="str">
        <f t="shared" si="863"/>
        <v>FY 21/22</v>
      </c>
      <c r="B2891" s="152">
        <v>2022</v>
      </c>
      <c r="C2891" s="152">
        <v>1</v>
      </c>
      <c r="D2891" s="33" t="str">
        <f t="shared" si="864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5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66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77"/>
        <v>1</v>
      </c>
      <c r="Z2891" s="18">
        <f t="shared" si="861"/>
        <v>12800000</v>
      </c>
      <c r="AA2891" s="13">
        <v>6.9199999999999998E-2</v>
      </c>
      <c r="AB2891" s="21">
        <f t="shared" si="868"/>
        <v>885760</v>
      </c>
      <c r="AC2891" s="130">
        <f t="shared" si="869"/>
        <v>162802.68799999999</v>
      </c>
      <c r="AD2891" s="169">
        <v>0.18379999999999999</v>
      </c>
      <c r="AE2891" s="154">
        <f t="shared" si="870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78"/>
        <v>31750699.113741599</v>
      </c>
      <c r="AJ2891" s="19">
        <f t="shared" si="879"/>
        <v>4396077.3195289988</v>
      </c>
      <c r="AK2891" s="20">
        <f t="shared" si="871"/>
        <v>0.13845607946397598</v>
      </c>
      <c r="AL2891" s="17"/>
      <c r="AM2891" s="17"/>
      <c r="AN2891" s="17"/>
      <c r="AO2891" s="17"/>
      <c r="AP2891" s="28" t="str">
        <f t="shared" si="872"/>
        <v>20222</v>
      </c>
      <c r="AQ2891" s="28" t="str">
        <f t="shared" si="873"/>
        <v>20222JPY</v>
      </c>
      <c r="AR2891" s="206" t="str">
        <f t="shared" si="874"/>
        <v>YAMAHA_Mounter</v>
      </c>
      <c r="AS2891" s="22">
        <f t="shared" si="875"/>
        <v>1</v>
      </c>
      <c r="AT2891" s="24" t="str">
        <f t="shared" si="876"/>
        <v>0-3 months</v>
      </c>
    </row>
    <row r="2892" spans="1:46" s="12" customFormat="1">
      <c r="A2892" s="33" t="str">
        <f t="shared" si="863"/>
        <v>FY 21/22</v>
      </c>
      <c r="B2892" s="152">
        <v>2022</v>
      </c>
      <c r="C2892" s="152">
        <v>1</v>
      </c>
      <c r="D2892" s="33" t="str">
        <f t="shared" si="864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5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66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77"/>
        <v>1</v>
      </c>
      <c r="Z2892" s="18">
        <f t="shared" si="861"/>
        <v>7800000</v>
      </c>
      <c r="AA2892" s="13">
        <v>6.54E-2</v>
      </c>
      <c r="AB2892" s="21">
        <f t="shared" si="868"/>
        <v>510120</v>
      </c>
      <c r="AC2892" s="130">
        <f t="shared" si="869"/>
        <v>93760.055999999997</v>
      </c>
      <c r="AD2892" s="169">
        <v>0.18379999999999999</v>
      </c>
      <c r="AE2892" s="154">
        <f t="shared" si="870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78"/>
        <v>46600814.041769907</v>
      </c>
      <c r="AJ2892" s="19">
        <f t="shared" si="879"/>
        <v>5956366.3435927071</v>
      </c>
      <c r="AK2892" s="20">
        <f t="shared" si="871"/>
        <v>0.1278167874546958</v>
      </c>
      <c r="AL2892" s="17"/>
      <c r="AM2892" s="17"/>
      <c r="AN2892" s="17"/>
      <c r="AO2892" s="17"/>
      <c r="AP2892" s="28" t="str">
        <f t="shared" si="872"/>
        <v>20224</v>
      </c>
      <c r="AQ2892" s="28" t="str">
        <f t="shared" si="873"/>
        <v>20224JPY</v>
      </c>
      <c r="AR2892" s="206" t="str">
        <f t="shared" si="874"/>
        <v>YAMAHA_Mounter</v>
      </c>
      <c r="AS2892" s="22">
        <f t="shared" si="875"/>
        <v>3</v>
      </c>
      <c r="AT2892" s="24" t="str">
        <f t="shared" si="876"/>
        <v>0-3 months</v>
      </c>
    </row>
    <row r="2893" spans="1:46" s="12" customFormat="1">
      <c r="A2893" s="33" t="str">
        <f t="shared" si="863"/>
        <v>FY 20/21</v>
      </c>
      <c r="B2893" s="152">
        <v>2021</v>
      </c>
      <c r="C2893" s="152">
        <v>2</v>
      </c>
      <c r="D2893" s="33" t="str">
        <f t="shared" si="864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5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66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77"/>
        <v>1.13</v>
      </c>
      <c r="Z2893" s="18">
        <f t="shared" si="861"/>
        <v>620000</v>
      </c>
      <c r="AA2893" s="13">
        <v>1.1950000000000001</v>
      </c>
      <c r="AB2893" s="21">
        <f t="shared" si="868"/>
        <v>655663.71681415942</v>
      </c>
      <c r="AC2893" s="130">
        <f t="shared" si="869"/>
        <v>118216.16814159293</v>
      </c>
      <c r="AD2893" s="169">
        <v>0.18029999999999999</v>
      </c>
      <c r="AE2893" s="154">
        <f t="shared" si="870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78"/>
        <v>63006605.696460173</v>
      </c>
      <c r="AJ2893" s="19">
        <f t="shared" si="879"/>
        <v>8897485.660753984</v>
      </c>
      <c r="AK2893" s="20">
        <f t="shared" si="871"/>
        <v>0.141215124388995</v>
      </c>
      <c r="AL2893" s="17"/>
      <c r="AM2893" s="17"/>
      <c r="AN2893" s="17"/>
      <c r="AO2893" s="17"/>
      <c r="AP2893" s="28" t="str">
        <f t="shared" si="872"/>
        <v>20215</v>
      </c>
      <c r="AQ2893" s="28" t="str">
        <f t="shared" si="873"/>
        <v>20215RMB</v>
      </c>
      <c r="AR2893" s="206" t="str">
        <f t="shared" si="874"/>
        <v>YAMAHA_Mounter</v>
      </c>
      <c r="AS2893" s="22">
        <f t="shared" si="875"/>
        <v>3</v>
      </c>
      <c r="AT2893" s="24" t="str">
        <f t="shared" si="876"/>
        <v>0-3 months</v>
      </c>
    </row>
    <row r="2894" spans="1:46" s="12" customFormat="1">
      <c r="A2894" s="33" t="str">
        <f t="shared" si="863"/>
        <v>FY 19/20</v>
      </c>
      <c r="B2894" s="152">
        <v>2019</v>
      </c>
      <c r="C2894" s="152">
        <v>4</v>
      </c>
      <c r="D2894" s="33" t="str">
        <f t="shared" si="864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5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66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61"/>
        <v>665000</v>
      </c>
      <c r="AA2894" s="13">
        <v>1.135</v>
      </c>
      <c r="AB2894" s="21">
        <f t="shared" si="868"/>
        <v>667942.47787610628</v>
      </c>
      <c r="AC2894" s="130">
        <f t="shared" si="869"/>
        <v>73273.289823008861</v>
      </c>
      <c r="AD2894" s="169">
        <v>0.10970000000000001</v>
      </c>
      <c r="AE2894" s="154">
        <f t="shared" si="870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78"/>
        <v>31296887.037898075</v>
      </c>
      <c r="AJ2894" s="19">
        <f t="shared" si="879"/>
        <v>3588873.9502021763</v>
      </c>
      <c r="AK2894" s="20">
        <f t="shared" si="871"/>
        <v>0.11467191436184473</v>
      </c>
      <c r="AL2894" s="17"/>
      <c r="AM2894" s="17"/>
      <c r="AN2894" s="17"/>
      <c r="AO2894" s="17"/>
      <c r="AP2894" s="28" t="str">
        <f t="shared" si="872"/>
        <v>20196</v>
      </c>
      <c r="AQ2894" s="28" t="str">
        <f t="shared" si="873"/>
        <v>20196RMB</v>
      </c>
      <c r="AR2894" s="206" t="str">
        <f t="shared" si="874"/>
        <v>YAMAHA_Mounter</v>
      </c>
      <c r="AS2894" s="22">
        <f t="shared" si="875"/>
        <v>2</v>
      </c>
      <c r="AT2894" s="24" t="str">
        <f t="shared" si="876"/>
        <v>0-3 months</v>
      </c>
    </row>
    <row r="2895" spans="1:46" s="12" customFormat="1">
      <c r="A2895" s="33" t="str">
        <f t="shared" si="863"/>
        <v>FY 21/22</v>
      </c>
      <c r="B2895" s="152">
        <v>2022</v>
      </c>
      <c r="C2895" s="152">
        <v>3</v>
      </c>
      <c r="D2895" s="33" t="str">
        <f t="shared" si="864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5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66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61"/>
        <v>610000</v>
      </c>
      <c r="AA2895" s="13">
        <v>1.175</v>
      </c>
      <c r="AB2895" s="21">
        <f t="shared" si="868"/>
        <v>634292.03539823019</v>
      </c>
      <c r="AC2895" s="130">
        <f t="shared" si="869"/>
        <v>122672.07964601771</v>
      </c>
      <c r="AD2895" s="169">
        <v>0.19339999999999999</v>
      </c>
      <c r="AE2895" s="154">
        <f t="shared" si="870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78"/>
        <v>35682787.057522126</v>
      </c>
      <c r="AJ2895" s="19">
        <f t="shared" si="879"/>
        <v>5833368.3789623892</v>
      </c>
      <c r="AK2895" s="20">
        <f t="shared" si="871"/>
        <v>0.16347849649632912</v>
      </c>
      <c r="AL2895" s="17"/>
      <c r="AM2895" s="17"/>
      <c r="AN2895" s="17"/>
      <c r="AO2895" s="17"/>
      <c r="AP2895" s="28" t="str">
        <f t="shared" si="872"/>
        <v>20226</v>
      </c>
      <c r="AQ2895" s="28" t="str">
        <f t="shared" si="873"/>
        <v>20226RMB</v>
      </c>
      <c r="AR2895" s="206" t="str">
        <f t="shared" si="874"/>
        <v>YAMAHA_Mounter</v>
      </c>
      <c r="AS2895" s="22">
        <f t="shared" si="875"/>
        <v>3</v>
      </c>
      <c r="AT2895" s="24" t="str">
        <f t="shared" si="876"/>
        <v>0-3 months</v>
      </c>
    </row>
    <row r="2896" spans="1:46" s="12" customFormat="1">
      <c r="A2896" s="33" t="str">
        <f t="shared" si="863"/>
        <v>FY 22/23</v>
      </c>
      <c r="B2896" s="152">
        <v>2022</v>
      </c>
      <c r="C2896" s="152">
        <v>6</v>
      </c>
      <c r="D2896" s="33" t="str">
        <f t="shared" si="864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5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66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61"/>
        <v>590000</v>
      </c>
      <c r="AA2896" s="13">
        <v>1.17</v>
      </c>
      <c r="AB2896" s="21">
        <f t="shared" si="868"/>
        <v>610884.95575221244</v>
      </c>
      <c r="AC2896" s="130">
        <f t="shared" si="869"/>
        <v>111303.23893805311</v>
      </c>
      <c r="AD2896" s="169">
        <v>0.1822</v>
      </c>
      <c r="AE2896" s="154">
        <f t="shared" si="870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78"/>
        <v>36480247.665929198</v>
      </c>
      <c r="AJ2896" s="19">
        <f t="shared" si="879"/>
        <v>5330996.6372757526</v>
      </c>
      <c r="AK2896" s="20">
        <f t="shared" si="871"/>
        <v>0.14613378412599562</v>
      </c>
      <c r="AL2896" s="17"/>
      <c r="AM2896" s="17"/>
      <c r="AN2896" s="17"/>
      <c r="AO2896" s="17"/>
      <c r="AP2896" s="28" t="str">
        <f t="shared" si="872"/>
        <v>20227</v>
      </c>
      <c r="AQ2896" s="28" t="str">
        <f t="shared" si="873"/>
        <v>20227RMB</v>
      </c>
      <c r="AR2896" s="206" t="str">
        <f t="shared" si="874"/>
        <v>YAMAHA_Mounter</v>
      </c>
      <c r="AS2896" s="22">
        <f t="shared" si="875"/>
        <v>1</v>
      </c>
      <c r="AT2896" s="24" t="str">
        <f t="shared" si="876"/>
        <v>0-3 months</v>
      </c>
    </row>
    <row r="2897" spans="1:46" s="12" customFormat="1">
      <c r="A2897" s="33" t="str">
        <f t="shared" si="863"/>
        <v>FY 22/23</v>
      </c>
      <c r="B2897" s="152">
        <v>2022</v>
      </c>
      <c r="C2897" s="152">
        <v>6</v>
      </c>
      <c r="D2897" s="33" t="str">
        <f t="shared" si="864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5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66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61"/>
        <v>590000</v>
      </c>
      <c r="AA2897" s="13">
        <v>1.17</v>
      </c>
      <c r="AB2897" s="21">
        <f t="shared" si="868"/>
        <v>610884.95575221244</v>
      </c>
      <c r="AC2897" s="130">
        <f t="shared" si="869"/>
        <v>111303.23893805311</v>
      </c>
      <c r="AD2897" s="169">
        <v>0.1822</v>
      </c>
      <c r="AE2897" s="154">
        <f t="shared" si="870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78"/>
        <v>36480247.665929198</v>
      </c>
      <c r="AJ2897" s="19">
        <f t="shared" si="879"/>
        <v>5330996.6372757526</v>
      </c>
      <c r="AK2897" s="20">
        <f t="shared" si="871"/>
        <v>0.14613378412599562</v>
      </c>
      <c r="AL2897" s="17"/>
      <c r="AM2897" s="17"/>
      <c r="AN2897" s="17"/>
      <c r="AO2897" s="17"/>
      <c r="AP2897" s="28" t="str">
        <f t="shared" si="872"/>
        <v>20227</v>
      </c>
      <c r="AQ2897" s="28" t="str">
        <f t="shared" si="873"/>
        <v>20227RMB</v>
      </c>
      <c r="AR2897" s="206" t="str">
        <f t="shared" si="874"/>
        <v>YAMAHA_Mounter</v>
      </c>
      <c r="AS2897" s="22">
        <f t="shared" si="875"/>
        <v>1</v>
      </c>
      <c r="AT2897" s="24" t="str">
        <f t="shared" si="876"/>
        <v>0-3 months</v>
      </c>
    </row>
    <row r="2898" spans="1:46" s="12" customFormat="1">
      <c r="A2898" s="33" t="str">
        <f t="shared" si="863"/>
        <v>FY 24/25</v>
      </c>
      <c r="B2898" s="23">
        <v>2024</v>
      </c>
      <c r="C2898" s="152">
        <v>5</v>
      </c>
      <c r="D2898" s="202" t="str">
        <f t="shared" si="864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5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66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61"/>
        <v>8500000</v>
      </c>
      <c r="AA2898" s="22">
        <v>5.5599999999999997E-2</v>
      </c>
      <c r="AB2898" s="197">
        <f t="shared" si="868"/>
        <v>472600</v>
      </c>
      <c r="AC2898" s="198">
        <f t="shared" si="869"/>
        <v>56712</v>
      </c>
      <c r="AD2898" s="169">
        <v>0.12</v>
      </c>
      <c r="AE2898" s="199">
        <f t="shared" si="870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78"/>
        <v>25860689.500884958</v>
      </c>
      <c r="AJ2898" s="200">
        <f t="shared" si="879"/>
        <v>3153620.4547964605</v>
      </c>
      <c r="AK2898" s="201">
        <f t="shared" si="871"/>
        <v>0.1219464954593938</v>
      </c>
      <c r="AL2898" s="24"/>
      <c r="AM2898" s="24"/>
      <c r="AN2898" s="24"/>
      <c r="AO2898" s="24"/>
      <c r="AP2898" s="105" t="str">
        <f t="shared" si="872"/>
        <v>202410</v>
      </c>
      <c r="AQ2898" s="28" t="str">
        <f t="shared" si="873"/>
        <v>202410JPY</v>
      </c>
      <c r="AR2898" s="206" t="str">
        <f t="shared" si="874"/>
        <v>YAMAHA_Mounter</v>
      </c>
      <c r="AS2898" s="22">
        <f t="shared" si="875"/>
        <v>5</v>
      </c>
      <c r="AT2898" s="24" t="str">
        <f t="shared" si="876"/>
        <v>4-6 months</v>
      </c>
    </row>
    <row r="2899" spans="1:46" s="12" customFormat="1">
      <c r="A2899" s="33" t="str">
        <f t="shared" si="863"/>
        <v>FY 18/19</v>
      </c>
      <c r="B2899" s="152">
        <v>2018</v>
      </c>
      <c r="C2899" s="152">
        <v>12</v>
      </c>
      <c r="D2899" s="33" t="str">
        <f t="shared" si="864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5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66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61"/>
        <v>615000</v>
      </c>
      <c r="AA2899" s="13">
        <v>1.23</v>
      </c>
      <c r="AB2899" s="21">
        <f t="shared" si="868"/>
        <v>646538.4615384615</v>
      </c>
      <c r="AC2899" s="130">
        <f t="shared" si="869"/>
        <v>70214.076923076922</v>
      </c>
      <c r="AD2899" s="169">
        <v>0.1086</v>
      </c>
      <c r="AE2899" s="154">
        <f t="shared" si="870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78"/>
        <v>29288201.603076916</v>
      </c>
      <c r="AJ2899" s="19">
        <f t="shared" si="879"/>
        <v>3870159.1769246152</v>
      </c>
      <c r="AK2899" s="20">
        <f t="shared" si="871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72"/>
        <v>20184</v>
      </c>
      <c r="AQ2899" s="28" t="str">
        <f t="shared" si="873"/>
        <v>20184RMB</v>
      </c>
      <c r="AR2899" s="206" t="str">
        <f t="shared" si="874"/>
        <v>YAMAHA_Mounter</v>
      </c>
      <c r="AS2899" s="22" t="str">
        <f t="shared" si="875"/>
        <v/>
      </c>
      <c r="AT2899" s="24" t="str">
        <f t="shared" si="876"/>
        <v/>
      </c>
    </row>
    <row r="2900" spans="1:46" s="12" customFormat="1">
      <c r="A2900" s="33" t="str">
        <f t="shared" si="863"/>
        <v>cancel</v>
      </c>
      <c r="B2900" s="152"/>
      <c r="C2900" s="152" t="s">
        <v>186</v>
      </c>
      <c r="D2900" s="33" t="str">
        <f t="shared" si="864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5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66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61"/>
        <v>970000</v>
      </c>
      <c r="AA2900" s="13">
        <v>1.155</v>
      </c>
      <c r="AB2900" s="21">
        <f t="shared" si="868"/>
        <v>991460.17699115048</v>
      </c>
      <c r="AC2900" s="130">
        <f t="shared" si="869"/>
        <v>118975.22123893806</v>
      </c>
      <c r="AD2900" s="169">
        <v>0.12</v>
      </c>
      <c r="AE2900" s="154">
        <f t="shared" si="870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78"/>
        <v>477651199.57437885</v>
      </c>
      <c r="AJ2900" s="19">
        <f t="shared" si="879"/>
        <v>56918800.518691957</v>
      </c>
      <c r="AK2900" s="20">
        <f t="shared" si="871"/>
        <v>0.11916394341605475</v>
      </c>
      <c r="AL2900" s="17"/>
      <c r="AM2900" s="17"/>
      <c r="AN2900" s="17"/>
      <c r="AO2900" s="17"/>
      <c r="AP2900" s="28" t="str">
        <f t="shared" si="872"/>
        <v>CancelCancel</v>
      </c>
      <c r="AQ2900" s="28" t="str">
        <f t="shared" si="873"/>
        <v>CancelCancelRMB</v>
      </c>
      <c r="AR2900" s="206" t="str">
        <f t="shared" si="874"/>
        <v>YAMAHA_Mounter</v>
      </c>
      <c r="AS2900" s="22" t="str">
        <f t="shared" si="875"/>
        <v/>
      </c>
      <c r="AT2900" s="24" t="str">
        <f t="shared" si="876"/>
        <v/>
      </c>
    </row>
    <row r="2901" spans="1:46" s="12" customFormat="1">
      <c r="A2901" s="33" t="str">
        <f t="shared" si="863"/>
        <v>FY 20/21</v>
      </c>
      <c r="B2901" s="152">
        <v>2021</v>
      </c>
      <c r="C2901" s="152">
        <v>3</v>
      </c>
      <c r="D2901" s="33" t="str">
        <f t="shared" si="864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5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66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80">IF(W2901="RMB","1.13", "1")</f>
        <v>1.13</v>
      </c>
      <c r="Z2901" s="18">
        <f t="shared" si="861"/>
        <v>619350</v>
      </c>
      <c r="AA2901" s="13">
        <v>1.1950000000000001</v>
      </c>
      <c r="AB2901" s="21">
        <f t="shared" si="868"/>
        <v>654976.32743362838</v>
      </c>
      <c r="AC2901" s="130">
        <f t="shared" si="869"/>
        <v>112328.44015486728</v>
      </c>
      <c r="AD2901" s="169">
        <v>0.17150000000000001</v>
      </c>
      <c r="AE2901" s="154">
        <f t="shared" si="870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78"/>
        <v>63006605.696460173</v>
      </c>
      <c r="AJ2901" s="19">
        <f t="shared" si="879"/>
        <v>8897485.660753984</v>
      </c>
      <c r="AK2901" s="20">
        <f t="shared" si="871"/>
        <v>0.141215124388995</v>
      </c>
      <c r="AL2901" s="17"/>
      <c r="AM2901" s="17"/>
      <c r="AN2901" s="17"/>
      <c r="AO2901" s="17"/>
      <c r="AP2901" s="28" t="str">
        <f t="shared" si="872"/>
        <v>20215</v>
      </c>
      <c r="AQ2901" s="28" t="str">
        <f t="shared" si="873"/>
        <v>20215RMB</v>
      </c>
      <c r="AR2901" s="206" t="str">
        <f t="shared" si="874"/>
        <v>YAMAHA_Mounter</v>
      </c>
      <c r="AS2901" s="22">
        <f t="shared" si="875"/>
        <v>2</v>
      </c>
      <c r="AT2901" s="24" t="str">
        <f t="shared" si="876"/>
        <v>0-3 months</v>
      </c>
    </row>
    <row r="2902" spans="1:46" s="12" customFormat="1">
      <c r="A2902" s="33" t="str">
        <f t="shared" si="863"/>
        <v>FY 20/21</v>
      </c>
      <c r="B2902" s="152">
        <v>2021</v>
      </c>
      <c r="C2902" s="152">
        <v>3</v>
      </c>
      <c r="D2902" s="33" t="str">
        <f t="shared" si="864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5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si="866"/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80"/>
        <v>1.13</v>
      </c>
      <c r="Z2902" s="18">
        <f t="shared" ref="Z2902:Z2965" si="881">IF(X2902="","",X2902*MAX(O2902,N2902))</f>
        <v>619350</v>
      </c>
      <c r="AA2902" s="13">
        <v>1.1950000000000001</v>
      </c>
      <c r="AB2902" s="21">
        <f t="shared" si="868"/>
        <v>654976.32743362838</v>
      </c>
      <c r="AC2902" s="130">
        <f t="shared" si="869"/>
        <v>112328.44015486728</v>
      </c>
      <c r="AD2902" s="169">
        <v>0.17150000000000001</v>
      </c>
      <c r="AE2902" s="154">
        <f t="shared" si="870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78"/>
        <v>63006605.696460173</v>
      </c>
      <c r="AJ2902" s="19">
        <f t="shared" si="879"/>
        <v>8897485.660753984</v>
      </c>
      <c r="AK2902" s="20">
        <f t="shared" si="871"/>
        <v>0.141215124388995</v>
      </c>
      <c r="AL2902" s="17"/>
      <c r="AM2902" s="17"/>
      <c r="AN2902" s="17"/>
      <c r="AO2902" s="17"/>
      <c r="AP2902" s="28" t="str">
        <f t="shared" si="872"/>
        <v>20215</v>
      </c>
      <c r="AQ2902" s="28" t="str">
        <f t="shared" si="873"/>
        <v>20215RMB</v>
      </c>
      <c r="AR2902" s="206" t="str">
        <f t="shared" si="874"/>
        <v>YAMAHA_Mounter</v>
      </c>
      <c r="AS2902" s="22">
        <f t="shared" si="875"/>
        <v>2</v>
      </c>
      <c r="AT2902" s="24" t="str">
        <f t="shared" si="876"/>
        <v>0-3 months</v>
      </c>
    </row>
    <row r="2903" spans="1:46" s="12" customFormat="1">
      <c r="A2903" s="33" t="str">
        <f t="shared" si="863"/>
        <v>FY 20/21</v>
      </c>
      <c r="B2903" s="152">
        <v>2021</v>
      </c>
      <c r="C2903" s="152">
        <v>3</v>
      </c>
      <c r="D2903" s="33" t="str">
        <f t="shared" si="864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5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66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80"/>
        <v>1.13</v>
      </c>
      <c r="Z2903" s="18">
        <f t="shared" si="881"/>
        <v>619350</v>
      </c>
      <c r="AA2903" s="13">
        <v>1.1950000000000001</v>
      </c>
      <c r="AB2903" s="21">
        <f t="shared" si="868"/>
        <v>654976.32743362838</v>
      </c>
      <c r="AC2903" s="130">
        <f t="shared" si="869"/>
        <v>112328.44015486728</v>
      </c>
      <c r="AD2903" s="169">
        <v>0.17150000000000001</v>
      </c>
      <c r="AE2903" s="154">
        <f t="shared" si="870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78"/>
        <v>63006605.696460173</v>
      </c>
      <c r="AJ2903" s="19">
        <f t="shared" si="879"/>
        <v>8897485.660753984</v>
      </c>
      <c r="AK2903" s="20">
        <f t="shared" si="871"/>
        <v>0.141215124388995</v>
      </c>
      <c r="AL2903" s="17"/>
      <c r="AM2903" s="17"/>
      <c r="AN2903" s="17"/>
      <c r="AO2903" s="17"/>
      <c r="AP2903" s="28" t="str">
        <f t="shared" si="872"/>
        <v>20215</v>
      </c>
      <c r="AQ2903" s="28" t="str">
        <f t="shared" si="873"/>
        <v>20215RMB</v>
      </c>
      <c r="AR2903" s="206" t="str">
        <f t="shared" si="874"/>
        <v>YAMAHA_Mounter</v>
      </c>
      <c r="AS2903" s="22">
        <f t="shared" si="875"/>
        <v>2</v>
      </c>
      <c r="AT2903" s="24" t="str">
        <f t="shared" si="876"/>
        <v>0-3 months</v>
      </c>
    </row>
    <row r="2904" spans="1:46" s="12" customFormat="1">
      <c r="A2904" s="33" t="str">
        <f t="shared" si="863"/>
        <v>FY 20/21</v>
      </c>
      <c r="B2904" s="152">
        <v>2021</v>
      </c>
      <c r="C2904" s="152">
        <v>3</v>
      </c>
      <c r="D2904" s="33" t="str">
        <f t="shared" si="864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5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66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80"/>
        <v>1.13</v>
      </c>
      <c r="Z2904" s="18">
        <f t="shared" si="881"/>
        <v>619350</v>
      </c>
      <c r="AA2904" s="13">
        <v>1.1950000000000001</v>
      </c>
      <c r="AB2904" s="21">
        <f t="shared" si="868"/>
        <v>654976.32743362838</v>
      </c>
      <c r="AC2904" s="130">
        <f t="shared" si="869"/>
        <v>112328.44015486728</v>
      </c>
      <c r="AD2904" s="169">
        <v>0.17150000000000001</v>
      </c>
      <c r="AE2904" s="154">
        <f t="shared" si="870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78"/>
        <v>63006605.696460173</v>
      </c>
      <c r="AJ2904" s="19">
        <f t="shared" si="879"/>
        <v>8897485.660753984</v>
      </c>
      <c r="AK2904" s="20">
        <f t="shared" si="871"/>
        <v>0.141215124388995</v>
      </c>
      <c r="AL2904" s="17"/>
      <c r="AM2904" s="17"/>
      <c r="AN2904" s="17"/>
      <c r="AO2904" s="17"/>
      <c r="AP2904" s="28" t="str">
        <f t="shared" si="872"/>
        <v>20215</v>
      </c>
      <c r="AQ2904" s="28" t="str">
        <f t="shared" si="873"/>
        <v>20215RMB</v>
      </c>
      <c r="AR2904" s="206" t="str">
        <f t="shared" si="874"/>
        <v>YAMAHA_Mounter</v>
      </c>
      <c r="AS2904" s="22">
        <f t="shared" si="875"/>
        <v>2</v>
      </c>
      <c r="AT2904" s="24" t="str">
        <f t="shared" si="876"/>
        <v>0-3 months</v>
      </c>
    </row>
    <row r="2905" spans="1:46" s="12" customFormat="1">
      <c r="A2905" s="33" t="str">
        <f t="shared" si="863"/>
        <v>FY 21/22</v>
      </c>
      <c r="B2905" s="152">
        <v>2021</v>
      </c>
      <c r="C2905" s="152">
        <v>4</v>
      </c>
      <c r="D2905" s="33" t="str">
        <f t="shared" si="864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5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66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80"/>
        <v>1.13</v>
      </c>
      <c r="Z2905" s="18">
        <f t="shared" si="881"/>
        <v>621300</v>
      </c>
      <c r="AA2905" s="13">
        <v>1.2</v>
      </c>
      <c r="AB2905" s="21">
        <f t="shared" si="868"/>
        <v>659787.61061946908</v>
      </c>
      <c r="AC2905" s="130">
        <f t="shared" si="869"/>
        <v>79174.513274336292</v>
      </c>
      <c r="AD2905" s="169">
        <v>0.12</v>
      </c>
      <c r="AE2905" s="154">
        <f t="shared" si="870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78"/>
        <v>477651199.57437885</v>
      </c>
      <c r="AJ2905" s="19">
        <f t="shared" si="879"/>
        <v>56918800.518691957</v>
      </c>
      <c r="AK2905" s="20">
        <f t="shared" si="871"/>
        <v>0.11916394341605475</v>
      </c>
      <c r="AL2905" s="17"/>
      <c r="AM2905" s="17"/>
      <c r="AN2905" s="17"/>
      <c r="AO2905" s="17"/>
      <c r="AP2905" s="28" t="str">
        <f t="shared" si="872"/>
        <v>CancelCANCEL</v>
      </c>
      <c r="AQ2905" s="28" t="str">
        <f t="shared" si="873"/>
        <v>CancelCANCELRMB</v>
      </c>
      <c r="AR2905" s="206" t="str">
        <f t="shared" si="874"/>
        <v>YAMAHA_Mounter</v>
      </c>
      <c r="AS2905" s="22" t="str">
        <f t="shared" si="875"/>
        <v/>
      </c>
      <c r="AT2905" s="24" t="str">
        <f t="shared" si="876"/>
        <v/>
      </c>
    </row>
    <row r="2906" spans="1:46" s="12" customFormat="1">
      <c r="A2906" s="33" t="str">
        <f t="shared" si="863"/>
        <v>FY 22/23</v>
      </c>
      <c r="B2906" s="152">
        <v>2022</v>
      </c>
      <c r="C2906" s="152">
        <v>10</v>
      </c>
      <c r="D2906" s="33" t="str">
        <f t="shared" si="864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5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66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80"/>
        <v>1.13</v>
      </c>
      <c r="Z2906" s="18">
        <f t="shared" si="881"/>
        <v>650000</v>
      </c>
      <c r="AA2906" s="13">
        <v>1.08</v>
      </c>
      <c r="AB2906" s="21">
        <f t="shared" si="868"/>
        <v>621238.93805309746</v>
      </c>
      <c r="AC2906" s="130">
        <f t="shared" si="869"/>
        <v>93931.327433628336</v>
      </c>
      <c r="AD2906" s="169">
        <v>0.1512</v>
      </c>
      <c r="AE2906" s="154">
        <f t="shared" si="870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78"/>
        <v>31017966.201968137</v>
      </c>
      <c r="AJ2906" s="19">
        <f t="shared" si="879"/>
        <v>4704250.3347305888</v>
      </c>
      <c r="AK2906" s="20">
        <f t="shared" si="871"/>
        <v>0.15166211427595458</v>
      </c>
      <c r="AL2906" s="17"/>
      <c r="AM2906" s="17"/>
      <c r="AN2906" s="17"/>
      <c r="AO2906" s="17"/>
      <c r="AP2906" s="28" t="str">
        <f t="shared" si="872"/>
        <v>202211</v>
      </c>
      <c r="AQ2906" s="28" t="str">
        <f t="shared" si="873"/>
        <v>202211RMB</v>
      </c>
      <c r="AR2906" s="206" t="str">
        <f t="shared" si="874"/>
        <v>YAMAHA_Mounter</v>
      </c>
      <c r="AS2906" s="22">
        <f t="shared" si="875"/>
        <v>1</v>
      </c>
      <c r="AT2906" s="24" t="str">
        <f t="shared" si="876"/>
        <v>0-3 months</v>
      </c>
    </row>
    <row r="2907" spans="1:46" s="12" customFormat="1">
      <c r="A2907" s="33" t="str">
        <f t="shared" si="863"/>
        <v>FY 22/23</v>
      </c>
      <c r="B2907" s="152">
        <v>2022</v>
      </c>
      <c r="C2907" s="152">
        <v>10</v>
      </c>
      <c r="D2907" s="33" t="str">
        <f t="shared" si="864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5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66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80"/>
        <v>1.13</v>
      </c>
      <c r="Z2907" s="18">
        <f t="shared" si="881"/>
        <v>820000</v>
      </c>
      <c r="AA2907" s="13">
        <v>1.08</v>
      </c>
      <c r="AB2907" s="21">
        <f t="shared" si="868"/>
        <v>783716.81415929226</v>
      </c>
      <c r="AC2907" s="130">
        <f t="shared" si="869"/>
        <v>118497.98230088499</v>
      </c>
      <c r="AD2907" s="169">
        <v>0.1512</v>
      </c>
      <c r="AE2907" s="154">
        <f t="shared" si="870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78"/>
        <v>31017966.201968137</v>
      </c>
      <c r="AJ2907" s="19">
        <f t="shared" si="879"/>
        <v>4704250.3347305888</v>
      </c>
      <c r="AK2907" s="20">
        <f t="shared" si="871"/>
        <v>0.15166211427595458</v>
      </c>
      <c r="AL2907" s="17"/>
      <c r="AM2907" s="17"/>
      <c r="AN2907" s="17"/>
      <c r="AO2907" s="17"/>
      <c r="AP2907" s="28" t="str">
        <f t="shared" si="872"/>
        <v>202211</v>
      </c>
      <c r="AQ2907" s="28" t="str">
        <f t="shared" si="873"/>
        <v>202211RMB</v>
      </c>
      <c r="AR2907" s="206" t="str">
        <f t="shared" si="874"/>
        <v>YAMAHA_Mounter</v>
      </c>
      <c r="AS2907" s="22">
        <f t="shared" si="875"/>
        <v>1</v>
      </c>
      <c r="AT2907" s="24" t="str">
        <f t="shared" si="876"/>
        <v>0-3 months</v>
      </c>
    </row>
    <row r="2908" spans="1:46" s="12" customFormat="1">
      <c r="A2908" s="33" t="str">
        <f t="shared" si="863"/>
        <v>FY 21/22</v>
      </c>
      <c r="B2908" s="152">
        <v>2021</v>
      </c>
      <c r="C2908" s="152">
        <v>11</v>
      </c>
      <c r="D2908" s="33" t="str">
        <f t="shared" si="864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5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66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80"/>
        <v>1.13</v>
      </c>
      <c r="Z2908" s="18">
        <f t="shared" si="881"/>
        <v>868670</v>
      </c>
      <c r="AA2908" s="13">
        <v>1.2150000000000001</v>
      </c>
      <c r="AB2908" s="21">
        <f t="shared" si="868"/>
        <v>934012.43362831871</v>
      </c>
      <c r="AC2908" s="130">
        <f t="shared" si="869"/>
        <v>160743.53982743365</v>
      </c>
      <c r="AD2908" s="169">
        <v>0.1721</v>
      </c>
      <c r="AE2908" s="154">
        <f t="shared" si="870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78"/>
        <v>25380121.402654871</v>
      </c>
      <c r="AJ2908" s="19">
        <f t="shared" si="879"/>
        <v>3850343.1237796471</v>
      </c>
      <c r="AK2908" s="20">
        <f t="shared" si="871"/>
        <v>0.1517070412191521</v>
      </c>
      <c r="AL2908" s="17"/>
      <c r="AM2908" s="17"/>
      <c r="AN2908" s="17"/>
      <c r="AO2908" s="17"/>
      <c r="AP2908" s="28" t="str">
        <f t="shared" si="872"/>
        <v>202112</v>
      </c>
      <c r="AQ2908" s="28" t="str">
        <f t="shared" si="873"/>
        <v>202112RMB</v>
      </c>
      <c r="AR2908" s="206" t="str">
        <f t="shared" si="874"/>
        <v>YAMAHA_Mounter</v>
      </c>
      <c r="AS2908" s="22">
        <f t="shared" si="875"/>
        <v>1</v>
      </c>
      <c r="AT2908" s="24" t="str">
        <f t="shared" si="876"/>
        <v>0-3 months</v>
      </c>
    </row>
    <row r="2909" spans="1:46" s="12" customFormat="1">
      <c r="A2909" s="33" t="str">
        <f t="shared" si="863"/>
        <v>FY 21/22</v>
      </c>
      <c r="B2909" s="152">
        <v>2021</v>
      </c>
      <c r="C2909" s="152">
        <v>11</v>
      </c>
      <c r="D2909" s="33" t="str">
        <f t="shared" si="864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5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66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80"/>
        <v>1.13</v>
      </c>
      <c r="Z2909" s="18">
        <f t="shared" si="881"/>
        <v>868670</v>
      </c>
      <c r="AA2909" s="13">
        <v>1.2150000000000001</v>
      </c>
      <c r="AB2909" s="21">
        <f t="shared" si="868"/>
        <v>934012.43362831871</v>
      </c>
      <c r="AC2909" s="130">
        <f t="shared" si="869"/>
        <v>160743.53982743365</v>
      </c>
      <c r="AD2909" s="169">
        <v>0.1721</v>
      </c>
      <c r="AE2909" s="154">
        <f t="shared" si="870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78"/>
        <v>25380121.402654871</v>
      </c>
      <c r="AJ2909" s="19">
        <f t="shared" si="879"/>
        <v>3850343.1237796471</v>
      </c>
      <c r="AK2909" s="20">
        <f t="shared" si="871"/>
        <v>0.1517070412191521</v>
      </c>
      <c r="AL2909" s="17"/>
      <c r="AM2909" s="17"/>
      <c r="AN2909" s="17"/>
      <c r="AO2909" s="17"/>
      <c r="AP2909" s="28" t="str">
        <f t="shared" si="872"/>
        <v>202112</v>
      </c>
      <c r="AQ2909" s="28" t="str">
        <f t="shared" si="873"/>
        <v>202112RMB</v>
      </c>
      <c r="AR2909" s="206" t="str">
        <f t="shared" si="874"/>
        <v>YAMAHA_Mounter</v>
      </c>
      <c r="AS2909" s="22">
        <f t="shared" si="875"/>
        <v>1</v>
      </c>
      <c r="AT2909" s="24" t="str">
        <f t="shared" si="876"/>
        <v>0-3 months</v>
      </c>
    </row>
    <row r="2910" spans="1:46" s="12" customFormat="1">
      <c r="A2910" s="33" t="str">
        <f t="shared" si="863"/>
        <v>FY 21/22</v>
      </c>
      <c r="B2910" s="152">
        <v>2021</v>
      </c>
      <c r="C2910" s="152">
        <v>6</v>
      </c>
      <c r="D2910" s="33" t="str">
        <f t="shared" si="864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5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66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80"/>
        <v>1</v>
      </c>
      <c r="Z2910" s="18">
        <f t="shared" si="881"/>
        <v>8452000</v>
      </c>
      <c r="AA2910" s="13">
        <v>6.9199999999999998E-2</v>
      </c>
      <c r="AB2910" s="21">
        <f t="shared" si="868"/>
        <v>584878.4</v>
      </c>
      <c r="AC2910" s="130">
        <f t="shared" si="869"/>
        <v>74045.605439999999</v>
      </c>
      <c r="AD2910" s="169">
        <v>0.12659999999999999</v>
      </c>
      <c r="AE2910" s="154">
        <f t="shared" si="870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78"/>
        <v>26407088.359292038</v>
      </c>
      <c r="AJ2910" s="19">
        <f t="shared" si="879"/>
        <v>3424510.6998470789</v>
      </c>
      <c r="AK2910" s="20">
        <f t="shared" si="871"/>
        <v>0.12968149510667554</v>
      </c>
      <c r="AL2910" s="17"/>
      <c r="AM2910" s="17"/>
      <c r="AN2910" s="17"/>
      <c r="AO2910" s="17"/>
      <c r="AP2910" s="28" t="str">
        <f t="shared" si="872"/>
        <v>20221</v>
      </c>
      <c r="AQ2910" s="28" t="str">
        <f t="shared" si="873"/>
        <v>20221JPY</v>
      </c>
      <c r="AR2910" s="206" t="str">
        <f t="shared" si="874"/>
        <v>YAMAHA_Mounter</v>
      </c>
      <c r="AS2910" s="22">
        <f t="shared" si="875"/>
        <v>7</v>
      </c>
      <c r="AT2910" s="24" t="str">
        <f t="shared" si="876"/>
        <v>&gt; 6 months</v>
      </c>
    </row>
    <row r="2911" spans="1:46" s="12" customFormat="1">
      <c r="A2911" s="33" t="str">
        <f t="shared" si="863"/>
        <v>FY 21/22</v>
      </c>
      <c r="B2911" s="152">
        <v>2021</v>
      </c>
      <c r="C2911" s="152">
        <v>12</v>
      </c>
      <c r="D2911" s="33" t="str">
        <f t="shared" si="864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5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66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80"/>
        <v>1.13</v>
      </c>
      <c r="Z2911" s="18">
        <f t="shared" si="881"/>
        <v>1300000</v>
      </c>
      <c r="AA2911" s="13">
        <v>1.22</v>
      </c>
      <c r="AB2911" s="21">
        <f t="shared" si="868"/>
        <v>1403539.8230088495</v>
      </c>
      <c r="AC2911" s="130">
        <f t="shared" si="869"/>
        <v>187933.98230088493</v>
      </c>
      <c r="AD2911" s="169">
        <v>0.13389999999999999</v>
      </c>
      <c r="AE2911" s="154">
        <f t="shared" si="870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78"/>
        <v>28726768.133805312</v>
      </c>
      <c r="AJ2911" s="19">
        <f t="shared" si="879"/>
        <v>3853638.1988864429</v>
      </c>
      <c r="AK2911" s="20">
        <f t="shared" si="871"/>
        <v>0.1341479898099476</v>
      </c>
      <c r="AL2911" s="17"/>
      <c r="AM2911" s="17"/>
      <c r="AN2911" s="17"/>
      <c r="AO2911" s="17"/>
      <c r="AP2911" s="28" t="str">
        <f t="shared" si="872"/>
        <v>20223</v>
      </c>
      <c r="AQ2911" s="28" t="str">
        <f t="shared" si="873"/>
        <v>20223RMB</v>
      </c>
      <c r="AR2911" s="206" t="str">
        <f t="shared" si="874"/>
        <v>YAMAHA_Mounter</v>
      </c>
      <c r="AS2911" s="22">
        <f t="shared" si="875"/>
        <v>3</v>
      </c>
      <c r="AT2911" s="24" t="str">
        <f t="shared" si="876"/>
        <v>0-3 months</v>
      </c>
    </row>
    <row r="2912" spans="1:46" s="12" customFormat="1">
      <c r="A2912" s="33" t="str">
        <f t="shared" si="863"/>
        <v>FY 21/22</v>
      </c>
      <c r="B2912" s="152">
        <v>2021</v>
      </c>
      <c r="C2912" s="152">
        <v>12</v>
      </c>
      <c r="D2912" s="33" t="str">
        <f t="shared" si="864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5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66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80"/>
        <v>1.13</v>
      </c>
      <c r="Z2912" s="18">
        <f t="shared" si="881"/>
        <v>1300000</v>
      </c>
      <c r="AA2912" s="13">
        <v>1.22</v>
      </c>
      <c r="AB2912" s="21">
        <f t="shared" si="868"/>
        <v>1403539.8230088495</v>
      </c>
      <c r="AC2912" s="130">
        <f t="shared" si="869"/>
        <v>187933.98230088493</v>
      </c>
      <c r="AD2912" s="169">
        <v>0.13389999999999999</v>
      </c>
      <c r="AE2912" s="154">
        <f t="shared" si="870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78"/>
        <v>28726768.133805312</v>
      </c>
      <c r="AJ2912" s="19">
        <f t="shared" si="879"/>
        <v>3853638.1988864429</v>
      </c>
      <c r="AK2912" s="20">
        <f t="shared" si="871"/>
        <v>0.1341479898099476</v>
      </c>
      <c r="AL2912" s="17"/>
      <c r="AM2912" s="17"/>
      <c r="AN2912" s="17"/>
      <c r="AO2912" s="17"/>
      <c r="AP2912" s="28" t="str">
        <f t="shared" si="872"/>
        <v>20223</v>
      </c>
      <c r="AQ2912" s="28" t="str">
        <f t="shared" si="873"/>
        <v>20223RMB</v>
      </c>
      <c r="AR2912" s="206" t="str">
        <f t="shared" si="874"/>
        <v>YAMAHA_Mounter</v>
      </c>
      <c r="AS2912" s="22">
        <f t="shared" si="875"/>
        <v>3</v>
      </c>
      <c r="AT2912" s="24" t="str">
        <f t="shared" si="876"/>
        <v>0-3 months</v>
      </c>
    </row>
    <row r="2913" spans="1:46" s="12" customFormat="1">
      <c r="A2913" s="33" t="str">
        <f t="shared" si="863"/>
        <v>FY 22/23</v>
      </c>
      <c r="B2913" s="152">
        <v>2022</v>
      </c>
      <c r="C2913" s="152">
        <v>6</v>
      </c>
      <c r="D2913" s="33" t="str">
        <f t="shared" si="864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5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66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80"/>
        <v>1.13</v>
      </c>
      <c r="Z2913" s="18">
        <f t="shared" si="881"/>
        <v>623546</v>
      </c>
      <c r="AA2913" s="13">
        <v>1.17</v>
      </c>
      <c r="AB2913" s="21">
        <f t="shared" si="868"/>
        <v>645618.42477876099</v>
      </c>
      <c r="AC2913" s="130">
        <f t="shared" si="869"/>
        <v>150622.77850088495</v>
      </c>
      <c r="AD2913" s="169">
        <v>0.23330000000000001</v>
      </c>
      <c r="AE2913" s="154">
        <f t="shared" si="870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78"/>
        <v>36480247.665929198</v>
      </c>
      <c r="AJ2913" s="19">
        <f t="shared" si="879"/>
        <v>5330996.6372757526</v>
      </c>
      <c r="AK2913" s="20">
        <f t="shared" si="871"/>
        <v>0.14613378412599562</v>
      </c>
      <c r="AL2913" s="17"/>
      <c r="AM2913" s="17"/>
      <c r="AN2913" s="17"/>
      <c r="AO2913" s="17"/>
      <c r="AP2913" s="28" t="str">
        <f t="shared" si="872"/>
        <v>20227</v>
      </c>
      <c r="AQ2913" s="28" t="str">
        <f t="shared" si="873"/>
        <v>20227RMB</v>
      </c>
      <c r="AR2913" s="206" t="str">
        <f t="shared" si="874"/>
        <v>YAMAHA_Mounter</v>
      </c>
      <c r="AS2913" s="22">
        <f t="shared" si="875"/>
        <v>1</v>
      </c>
      <c r="AT2913" s="24" t="str">
        <f t="shared" si="876"/>
        <v>0-3 months</v>
      </c>
    </row>
    <row r="2914" spans="1:46" s="12" customFormat="1">
      <c r="A2914" s="33" t="str">
        <f t="shared" si="863"/>
        <v>FY 23/24</v>
      </c>
      <c r="B2914" s="152">
        <v>2023</v>
      </c>
      <c r="C2914" s="152">
        <v>5</v>
      </c>
      <c r="D2914" s="33" t="str">
        <f t="shared" si="864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5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66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80"/>
        <v>1.13</v>
      </c>
      <c r="Z2914" s="18">
        <f t="shared" si="881"/>
        <v>515000</v>
      </c>
      <c r="AA2914" s="13">
        <v>1.135</v>
      </c>
      <c r="AB2914" s="21">
        <f t="shared" si="868"/>
        <v>517278.76106194692</v>
      </c>
      <c r="AC2914" s="130">
        <f t="shared" si="869"/>
        <v>90989.334070796467</v>
      </c>
      <c r="AD2914" s="169">
        <v>0.1759</v>
      </c>
      <c r="AE2914" s="154">
        <f t="shared" si="870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78"/>
        <v>28177779.013274338</v>
      </c>
      <c r="AJ2914" s="19">
        <f t="shared" si="879"/>
        <v>4727216.6376190251</v>
      </c>
      <c r="AK2914" s="20">
        <f t="shared" si="871"/>
        <v>0.1677639900359808</v>
      </c>
      <c r="AL2914" s="17"/>
      <c r="AM2914" s="17"/>
      <c r="AN2914" s="17"/>
      <c r="AO2914" s="17"/>
      <c r="AP2914" s="28" t="str">
        <f t="shared" si="872"/>
        <v>20235</v>
      </c>
      <c r="AQ2914" s="28" t="str">
        <f t="shared" si="873"/>
        <v>20235RMB</v>
      </c>
      <c r="AR2914" s="206" t="str">
        <f t="shared" si="874"/>
        <v>YAMAHA_Mounter</v>
      </c>
      <c r="AS2914" s="22">
        <f t="shared" si="875"/>
        <v>0</v>
      </c>
      <c r="AT2914" s="24" t="str">
        <f t="shared" si="876"/>
        <v>0-3 months</v>
      </c>
    </row>
    <row r="2915" spans="1:46" s="12" customFormat="1">
      <c r="A2915" s="33" t="str">
        <f t="shared" si="863"/>
        <v>FY 23/24</v>
      </c>
      <c r="B2915" s="152">
        <v>2023</v>
      </c>
      <c r="C2915" s="152">
        <v>11</v>
      </c>
      <c r="D2915" s="33" t="str">
        <f t="shared" si="864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5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66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81"/>
        <v>506000</v>
      </c>
      <c r="AA2915" s="13">
        <v>1.095</v>
      </c>
      <c r="AB2915" s="21">
        <f t="shared" si="868"/>
        <v>490327.43362831866</v>
      </c>
      <c r="AC2915" s="130">
        <f t="shared" si="869"/>
        <v>76442.046902654882</v>
      </c>
      <c r="AD2915" s="173">
        <v>0.15590000000000001</v>
      </c>
      <c r="AE2915" s="154">
        <f t="shared" si="870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78"/>
        <v>10271727.486725664</v>
      </c>
      <c r="AJ2915" s="19">
        <f t="shared" si="879"/>
        <v>1227228.7260761063</v>
      </c>
      <c r="AK2915" s="20">
        <f t="shared" si="871"/>
        <v>0.11947637120066472</v>
      </c>
      <c r="AL2915" s="17"/>
      <c r="AM2915" s="17"/>
      <c r="AN2915" s="17"/>
      <c r="AO2915" s="17"/>
      <c r="AP2915" s="28" t="str">
        <f t="shared" si="872"/>
        <v>202312</v>
      </c>
      <c r="AQ2915" s="28" t="str">
        <f t="shared" si="873"/>
        <v>202312RMB</v>
      </c>
      <c r="AR2915" s="206" t="str">
        <f t="shared" si="874"/>
        <v>YAMAHA_Mounter</v>
      </c>
      <c r="AS2915" s="22">
        <f t="shared" si="875"/>
        <v>1</v>
      </c>
      <c r="AT2915" s="24" t="str">
        <f t="shared" si="876"/>
        <v>0-3 months</v>
      </c>
    </row>
    <row r="2916" spans="1:46" s="12" customFormat="1">
      <c r="A2916" s="33" t="str">
        <f t="shared" si="863"/>
        <v>FY 23/24</v>
      </c>
      <c r="B2916" s="23">
        <v>2024</v>
      </c>
      <c r="C2916" s="152">
        <v>2</v>
      </c>
      <c r="D2916" s="33" t="str">
        <f t="shared" si="864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5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66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82">IF(W2916="RMB","1.13", "1")</f>
        <v>1.13</v>
      </c>
      <c r="Z2916" s="18">
        <f t="shared" si="881"/>
        <v>500000</v>
      </c>
      <c r="AA2916" s="22">
        <v>1.0900000000000001</v>
      </c>
      <c r="AB2916" s="21">
        <f t="shared" si="868"/>
        <v>482300.88495575229</v>
      </c>
      <c r="AC2916" s="130">
        <f t="shared" si="869"/>
        <v>50738.053097345139</v>
      </c>
      <c r="AD2916" s="209">
        <v>0.1052</v>
      </c>
      <c r="AE2916" s="26">
        <f t="shared" si="870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78"/>
        <v>21194662.454867262</v>
      </c>
      <c r="AJ2916" s="27">
        <f t="shared" si="879"/>
        <v>2981431.5970757701</v>
      </c>
      <c r="AK2916" s="28">
        <f t="shared" si="871"/>
        <v>0.14066898226968919</v>
      </c>
      <c r="AL2916" s="24"/>
      <c r="AM2916" s="24"/>
      <c r="AN2916" s="24"/>
      <c r="AO2916" s="24"/>
      <c r="AP2916" s="105" t="str">
        <f t="shared" si="872"/>
        <v>20243</v>
      </c>
      <c r="AQ2916" s="28" t="str">
        <f t="shared" si="873"/>
        <v>20243RMB</v>
      </c>
      <c r="AR2916" s="206" t="str">
        <f t="shared" si="874"/>
        <v>YAMAHA_Mounter</v>
      </c>
      <c r="AS2916" s="22">
        <f t="shared" si="875"/>
        <v>1</v>
      </c>
      <c r="AT2916" s="24" t="str">
        <f t="shared" si="876"/>
        <v>0-3 months</v>
      </c>
    </row>
    <row r="2917" spans="1:46" s="12" customFormat="1">
      <c r="A2917" s="33" t="str">
        <f t="shared" si="863"/>
        <v>FY 20/21</v>
      </c>
      <c r="B2917" s="152">
        <v>2020</v>
      </c>
      <c r="C2917" s="152">
        <v>11</v>
      </c>
      <c r="D2917" s="33" t="str">
        <f t="shared" si="864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5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66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82"/>
        <v>1</v>
      </c>
      <c r="Z2917" s="18">
        <f t="shared" si="881"/>
        <v>8000000</v>
      </c>
      <c r="AA2917" s="13">
        <v>7.5700000000000003E-2</v>
      </c>
      <c r="AB2917" s="21">
        <f t="shared" si="868"/>
        <v>605600</v>
      </c>
      <c r="AC2917" s="130">
        <f t="shared" si="869"/>
        <v>66676.56</v>
      </c>
      <c r="AD2917" s="169">
        <v>0.1101</v>
      </c>
      <c r="AE2917" s="154">
        <f t="shared" si="870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78"/>
        <v>31097187.02948761</v>
      </c>
      <c r="AJ2917" s="19">
        <f t="shared" si="879"/>
        <v>3892353.6644401965</v>
      </c>
      <c r="AK2917" s="20">
        <f t="shared" si="871"/>
        <v>0.12516738767237401</v>
      </c>
      <c r="AL2917" s="17"/>
      <c r="AM2917" s="17"/>
      <c r="AN2917" s="17"/>
      <c r="AO2917" s="17"/>
      <c r="AP2917" s="28" t="str">
        <f t="shared" si="872"/>
        <v>20212</v>
      </c>
      <c r="AQ2917" s="28" t="str">
        <f t="shared" si="873"/>
        <v>20212JPY</v>
      </c>
      <c r="AR2917" s="206" t="str">
        <f t="shared" si="874"/>
        <v>YAMAHA_Mounter</v>
      </c>
      <c r="AS2917" s="22">
        <f t="shared" si="875"/>
        <v>3</v>
      </c>
      <c r="AT2917" s="24" t="str">
        <f t="shared" si="876"/>
        <v>0-3 months</v>
      </c>
    </row>
    <row r="2918" spans="1:46" s="12" customFormat="1">
      <c r="A2918" s="33" t="str">
        <f t="shared" si="863"/>
        <v>FY 22/23</v>
      </c>
      <c r="B2918" s="152">
        <v>2022</v>
      </c>
      <c r="C2918" s="152">
        <v>10</v>
      </c>
      <c r="D2918" s="33" t="str">
        <f t="shared" si="864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5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66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82"/>
        <v>1.13</v>
      </c>
      <c r="Z2918" s="18">
        <f t="shared" si="881"/>
        <v>425000</v>
      </c>
      <c r="AA2918" s="13">
        <v>1.095</v>
      </c>
      <c r="AB2918" s="21">
        <f t="shared" si="868"/>
        <v>411836.28318584076</v>
      </c>
      <c r="AC2918" s="130">
        <f t="shared" si="869"/>
        <v>49420.35398230089</v>
      </c>
      <c r="AD2918" s="169">
        <v>0.12</v>
      </c>
      <c r="AE2918" s="154">
        <f t="shared" si="870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78"/>
        <v>477651199.57437885</v>
      </c>
      <c r="AJ2918" s="19">
        <f t="shared" si="879"/>
        <v>56918800.518691957</v>
      </c>
      <c r="AK2918" s="20">
        <f t="shared" si="871"/>
        <v>0.11916394341605475</v>
      </c>
      <c r="AL2918" s="17"/>
      <c r="AM2918" s="17"/>
      <c r="AN2918" s="17"/>
      <c r="AO2918" s="17"/>
      <c r="AP2918" s="28" t="str">
        <f t="shared" si="872"/>
        <v>CancelCancel</v>
      </c>
      <c r="AQ2918" s="28" t="str">
        <f t="shared" si="873"/>
        <v>CancelCancelRMB</v>
      </c>
      <c r="AR2918" s="206" t="str">
        <f t="shared" si="874"/>
        <v>YAMAHA_Mounter</v>
      </c>
      <c r="AS2918" s="22" t="str">
        <f t="shared" si="875"/>
        <v/>
      </c>
      <c r="AT2918" s="24" t="str">
        <f t="shared" si="876"/>
        <v/>
      </c>
    </row>
    <row r="2919" spans="1:46" s="12" customFormat="1">
      <c r="A2919" s="33" t="str">
        <f t="shared" si="863"/>
        <v>FY 22/23</v>
      </c>
      <c r="B2919" s="152">
        <v>2022</v>
      </c>
      <c r="C2919" s="152">
        <v>10</v>
      </c>
      <c r="D2919" s="33" t="str">
        <f t="shared" si="864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5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66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82"/>
        <v>1.13</v>
      </c>
      <c r="Z2919" s="18">
        <f t="shared" si="881"/>
        <v>425000</v>
      </c>
      <c r="AA2919" s="13">
        <v>1.095</v>
      </c>
      <c r="AB2919" s="21">
        <f t="shared" si="868"/>
        <v>411836.28318584076</v>
      </c>
      <c r="AC2919" s="130">
        <f t="shared" si="869"/>
        <v>49420.35398230089</v>
      </c>
      <c r="AD2919" s="169">
        <v>0.12</v>
      </c>
      <c r="AE2919" s="154">
        <f t="shared" si="870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78"/>
        <v>477651199.57437885</v>
      </c>
      <c r="AJ2919" s="19">
        <f t="shared" si="879"/>
        <v>56918800.518691957</v>
      </c>
      <c r="AK2919" s="20">
        <f t="shared" si="871"/>
        <v>0.11916394341605475</v>
      </c>
      <c r="AL2919" s="17"/>
      <c r="AM2919" s="17"/>
      <c r="AN2919" s="17"/>
      <c r="AO2919" s="17"/>
      <c r="AP2919" s="28" t="str">
        <f t="shared" si="872"/>
        <v>CancelCancel</v>
      </c>
      <c r="AQ2919" s="28" t="str">
        <f t="shared" si="873"/>
        <v>CancelCancelRMB</v>
      </c>
      <c r="AR2919" s="206" t="str">
        <f t="shared" si="874"/>
        <v>YAMAHA_Mounter</v>
      </c>
      <c r="AS2919" s="22" t="str">
        <f t="shared" si="875"/>
        <v/>
      </c>
      <c r="AT2919" s="24" t="str">
        <f t="shared" si="876"/>
        <v/>
      </c>
    </row>
    <row r="2920" spans="1:46" s="12" customFormat="1">
      <c r="A2920" s="33" t="str">
        <f t="shared" si="863"/>
        <v>FY 22/23</v>
      </c>
      <c r="B2920" s="152">
        <v>2022</v>
      </c>
      <c r="C2920" s="152">
        <v>10</v>
      </c>
      <c r="D2920" s="33" t="str">
        <f t="shared" si="864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5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66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82"/>
        <v>1.13</v>
      </c>
      <c r="Z2920" s="18">
        <f t="shared" si="881"/>
        <v>710000</v>
      </c>
      <c r="AA2920" s="13">
        <v>1.095</v>
      </c>
      <c r="AB2920" s="21">
        <f t="shared" si="868"/>
        <v>688008.8495575221</v>
      </c>
      <c r="AC2920" s="130">
        <f t="shared" si="869"/>
        <v>82561.061946902642</v>
      </c>
      <c r="AD2920" s="169">
        <v>0.12</v>
      </c>
      <c r="AE2920" s="154">
        <f t="shared" si="870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78"/>
        <v>477651199.57437885</v>
      </c>
      <c r="AJ2920" s="19">
        <f t="shared" si="879"/>
        <v>56918800.518691957</v>
      </c>
      <c r="AK2920" s="20">
        <f t="shared" si="871"/>
        <v>0.11916394341605475</v>
      </c>
      <c r="AL2920" s="17"/>
      <c r="AM2920" s="17"/>
      <c r="AN2920" s="17"/>
      <c r="AO2920" s="17"/>
      <c r="AP2920" s="28" t="str">
        <f t="shared" si="872"/>
        <v>CancelCancel</v>
      </c>
      <c r="AQ2920" s="28" t="str">
        <f t="shared" si="873"/>
        <v>CancelCancelRMB</v>
      </c>
      <c r="AR2920" s="206" t="str">
        <f t="shared" si="874"/>
        <v>YAMAHA_Mounter</v>
      </c>
      <c r="AS2920" s="22" t="str">
        <f t="shared" si="875"/>
        <v/>
      </c>
      <c r="AT2920" s="24" t="str">
        <f t="shared" si="876"/>
        <v/>
      </c>
    </row>
    <row r="2921" spans="1:46" s="12" customFormat="1">
      <c r="A2921" s="33" t="str">
        <f t="shared" si="863"/>
        <v>FY 22/23</v>
      </c>
      <c r="B2921" s="152">
        <v>2022</v>
      </c>
      <c r="C2921" s="152">
        <v>10</v>
      </c>
      <c r="D2921" s="33" t="str">
        <f t="shared" si="864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5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66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82"/>
        <v>1.13</v>
      </c>
      <c r="Z2921" s="18">
        <f t="shared" si="881"/>
        <v>710000</v>
      </c>
      <c r="AA2921" s="13">
        <v>1.095</v>
      </c>
      <c r="AB2921" s="21">
        <f t="shared" si="868"/>
        <v>688008.8495575221</v>
      </c>
      <c r="AC2921" s="130">
        <f t="shared" si="869"/>
        <v>82561.061946902642</v>
      </c>
      <c r="AD2921" s="169">
        <v>0.12</v>
      </c>
      <c r="AE2921" s="154">
        <f t="shared" si="870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78"/>
        <v>477651199.57437885</v>
      </c>
      <c r="AJ2921" s="19">
        <f t="shared" si="879"/>
        <v>56918800.518691957</v>
      </c>
      <c r="AK2921" s="20">
        <f t="shared" si="871"/>
        <v>0.11916394341605475</v>
      </c>
      <c r="AL2921" s="17"/>
      <c r="AM2921" s="17"/>
      <c r="AN2921" s="17"/>
      <c r="AO2921" s="17"/>
      <c r="AP2921" s="28" t="str">
        <f t="shared" si="872"/>
        <v>CancelCancel</v>
      </c>
      <c r="AQ2921" s="28" t="str">
        <f t="shared" si="873"/>
        <v>CancelCancelRMB</v>
      </c>
      <c r="AR2921" s="206" t="str">
        <f t="shared" si="874"/>
        <v>YAMAHA_Mounter</v>
      </c>
      <c r="AS2921" s="22" t="str">
        <f t="shared" si="875"/>
        <v/>
      </c>
      <c r="AT2921" s="24" t="str">
        <f t="shared" si="876"/>
        <v/>
      </c>
    </row>
    <row r="2922" spans="1:46" s="12" customFormat="1">
      <c r="A2922" s="33" t="str">
        <f t="shared" si="863"/>
        <v>cancel</v>
      </c>
      <c r="B2922" s="152"/>
      <c r="C2922" s="152" t="s">
        <v>186</v>
      </c>
      <c r="D2922" s="33" t="str">
        <f t="shared" si="864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5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66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81"/>
        <v>10705500</v>
      </c>
      <c r="AA2922" s="13">
        <v>7.3400000000000007E-2</v>
      </c>
      <c r="AB2922" s="21">
        <f t="shared" si="868"/>
        <v>785783.70000000007</v>
      </c>
      <c r="AC2922" s="130">
        <f t="shared" si="869"/>
        <v>94294.044000000009</v>
      </c>
      <c r="AD2922" s="169">
        <v>0.12</v>
      </c>
      <c r="AE2922" s="154">
        <f t="shared" si="870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78"/>
        <v>477651199.57437885</v>
      </c>
      <c r="AJ2922" s="19">
        <f t="shared" si="879"/>
        <v>56918800.518691957</v>
      </c>
      <c r="AK2922" s="20">
        <f t="shared" si="871"/>
        <v>0.11916394341605475</v>
      </c>
      <c r="AL2922" s="17"/>
      <c r="AM2922" s="17"/>
      <c r="AN2922" s="17"/>
      <c r="AO2922" s="17"/>
      <c r="AP2922" s="28" t="str">
        <f t="shared" si="872"/>
        <v>CancelCancel</v>
      </c>
      <c r="AQ2922" s="28" t="str">
        <f t="shared" si="873"/>
        <v>CancelCancelJPY</v>
      </c>
      <c r="AR2922" s="206" t="str">
        <f t="shared" si="874"/>
        <v>YAMAHA_Mounter</v>
      </c>
      <c r="AS2922" s="22" t="str">
        <f t="shared" si="875"/>
        <v/>
      </c>
      <c r="AT2922" s="24" t="str">
        <f t="shared" si="876"/>
        <v/>
      </c>
    </row>
    <row r="2923" spans="1:46" s="12" customFormat="1">
      <c r="A2923" s="33" t="str">
        <f t="shared" si="863"/>
        <v>cancel</v>
      </c>
      <c r="B2923" s="152"/>
      <c r="C2923" s="152" t="s">
        <v>186</v>
      </c>
      <c r="D2923" s="33" t="str">
        <f t="shared" si="864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5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66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81"/>
        <v>13794500</v>
      </c>
      <c r="AA2923" s="13">
        <v>7.3400000000000007E-2</v>
      </c>
      <c r="AB2923" s="21">
        <f t="shared" si="868"/>
        <v>1012516.3</v>
      </c>
      <c r="AC2923" s="130">
        <f t="shared" si="869"/>
        <v>121501.95600000001</v>
      </c>
      <c r="AD2923" s="169">
        <v>0.12</v>
      </c>
      <c r="AE2923" s="154">
        <f t="shared" si="870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78"/>
        <v>477651199.57437885</v>
      </c>
      <c r="AJ2923" s="19">
        <f t="shared" si="879"/>
        <v>56918800.518691957</v>
      </c>
      <c r="AK2923" s="20">
        <f t="shared" si="871"/>
        <v>0.11916394341605475</v>
      </c>
      <c r="AL2923" s="17"/>
      <c r="AM2923" s="17"/>
      <c r="AN2923" s="17"/>
      <c r="AO2923" s="17"/>
      <c r="AP2923" s="28" t="str">
        <f t="shared" si="872"/>
        <v>CancelCancel</v>
      </c>
      <c r="AQ2923" s="28" t="str">
        <f t="shared" si="873"/>
        <v>CancelCancelJPY</v>
      </c>
      <c r="AR2923" s="206" t="str">
        <f t="shared" si="874"/>
        <v>YAMAHA_Mounter</v>
      </c>
      <c r="AS2923" s="22" t="str">
        <f t="shared" si="875"/>
        <v/>
      </c>
      <c r="AT2923" s="24" t="str">
        <f t="shared" si="876"/>
        <v/>
      </c>
    </row>
    <row r="2924" spans="1:46" s="12" customFormat="1">
      <c r="A2924" s="33" t="str">
        <f t="shared" ref="A2924:A2987" si="883">IF(C2924="cancel","cancel",IFERROR(IF(D2924="Q4","FY "&amp;RIGHT(B2924,2)-1&amp;"/"&amp;RIGHT(B2924,2),"FY "&amp;RIGHT(B2924,2)&amp;"/"&amp;RIGHT(B2924,2)+1),""))</f>
        <v>cancel</v>
      </c>
      <c r="B2924" s="152"/>
      <c r="C2924" s="152" t="s">
        <v>186</v>
      </c>
      <c r="D2924" s="33" t="str">
        <f t="shared" ref="D2924:D2987" si="884">IF(B2924="","",IF(AND(C2924&gt;=10,C2924&lt;=12),"Q3",IF(AND(C2924&gt;=1,C2924&lt;=3),"Q4",IF(AND(C2924&gt;=7,C2924&lt;=9),"Q2",IF(AND(C2924&gt;=4,C2924&lt;=6),"Q1")))))</f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ref="I2924:I2987" si="885">IFERROR(IF(F2924="","",IF(F2924="TBA","TBA",IF(F2924="Cancel","Cancel",IF(AND(G2924&gt;=10,G2924&lt;=12),"Q3",IF(AND(G2924&gt;=1,G2924&lt;=3),"Q4",IF(AND(G2924&gt;=7,G2924&lt;=9),"Q2",IF(AND(G2924&gt;=4,G2924&lt;=6),"Q1"))))))),"")</f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ref="P2924:P2987" si="886">IF(M2924="","",IF(AND(N2924&gt;0,L2924&lt;&gt;""),"MAIN UNIT",IF(AND(O2924&gt;0,L2924&lt;&gt;""),"SERVICE/ PARTS","C66 SERVICE/OTHERS")))</f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81"/>
        <v>10705500</v>
      </c>
      <c r="AA2924" s="13">
        <v>7.3999999999999996E-2</v>
      </c>
      <c r="AB2924" s="21">
        <f t="shared" ref="AB2924:AB2987" si="887">IF(AND(R2924&lt;&gt;"C66",R2924&lt;&gt;""),Z2924/Y2924*AA2924,"")</f>
        <v>792207</v>
      </c>
      <c r="AC2924" s="130">
        <f t="shared" ref="AC2924:AC2987" si="888">IF(R2924&lt;&gt;"",AB2924*AD2924,"")</f>
        <v>95064.84</v>
      </c>
      <c r="AD2924" s="169">
        <v>0.12</v>
      </c>
      <c r="AE2924" s="154">
        <f t="shared" ref="AE2924:AE2987" si="889">IF(Q2924="","",IF(Q2924="Yes",1,0))</f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78"/>
        <v>477651199.57437885</v>
      </c>
      <c r="AJ2924" s="19">
        <f t="shared" si="879"/>
        <v>56918800.518691957</v>
      </c>
      <c r="AK2924" s="20">
        <f t="shared" ref="AK2924:AK2987" si="890">IF(AJ2924&gt;0,AJ2924/AI2924,"")</f>
        <v>0.11916394341605475</v>
      </c>
      <c r="AL2924" s="17"/>
      <c r="AM2924" s="17"/>
      <c r="AN2924" s="17"/>
      <c r="AO2924" s="17"/>
      <c r="AP2924" s="28" t="str">
        <f t="shared" ref="AP2924:AP2987" si="891">IF(F2924="","",F2924&amp;G2924)</f>
        <v>CancelCancel</v>
      </c>
      <c r="AQ2924" s="28" t="str">
        <f t="shared" ref="AQ2924:AQ2987" si="892">IF(W2924="","",F2924&amp;G2924&amp;W2924)</f>
        <v>CancelCancelJPY</v>
      </c>
      <c r="AR2924" s="206" t="str">
        <f t="shared" ref="AR2924:AR2987" si="893">IFERROR(IF(AND(M2924="YAMAHA", R2924="C28"), "YAMAHA_Non_Mounter", IF(AND(M2924="YAMAHA", R2924="C49"), "YAMAHA_Mounter", M2924)),"")</f>
        <v>YAMAHA_Mounter</v>
      </c>
      <c r="AS2924" s="22" t="str">
        <f t="shared" ref="AS2924:AS2987" si="894">IFERROR(IF(OR(G2924="TBA", G2924=""), "", DATEDIF(DATE(B2924, C2924, 1), DATE(F2924, G2924, 1), "M")),"")</f>
        <v/>
      </c>
      <c r="AT2924" s="24" t="str">
        <f t="shared" ref="AT2924:AT2987" si="895">IF(ISNUMBER(AS2924), IF(AS2924&gt;=0, IF(AS2924&lt;=3, "0-3 months", IF(AS2924&lt;=6, "4-6 months", "&gt; 6 months"))), "")</f>
        <v/>
      </c>
    </row>
    <row r="2925" spans="1:46" s="12" customFormat="1">
      <c r="A2925" s="33" t="str">
        <f t="shared" si="883"/>
        <v>cancel</v>
      </c>
      <c r="B2925" s="152"/>
      <c r="C2925" s="152" t="s">
        <v>186</v>
      </c>
      <c r="D2925" s="33" t="str">
        <f t="shared" si="884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85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86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81"/>
        <v>13794500</v>
      </c>
      <c r="AA2925" s="13">
        <v>7.3999999999999996E-2</v>
      </c>
      <c r="AB2925" s="21">
        <f t="shared" si="887"/>
        <v>1020793</v>
      </c>
      <c r="AC2925" s="130">
        <f t="shared" si="888"/>
        <v>122495.15999999999</v>
      </c>
      <c r="AD2925" s="169">
        <v>0.12</v>
      </c>
      <c r="AE2925" s="154">
        <f t="shared" si="889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78"/>
        <v>477651199.57437885</v>
      </c>
      <c r="AJ2925" s="19">
        <f t="shared" si="879"/>
        <v>56918800.518691957</v>
      </c>
      <c r="AK2925" s="20">
        <f t="shared" si="890"/>
        <v>0.11916394341605475</v>
      </c>
      <c r="AL2925" s="17"/>
      <c r="AM2925" s="17"/>
      <c r="AN2925" s="17"/>
      <c r="AO2925" s="17"/>
      <c r="AP2925" s="28" t="str">
        <f t="shared" si="891"/>
        <v>CancelCancel</v>
      </c>
      <c r="AQ2925" s="28" t="str">
        <f t="shared" si="892"/>
        <v>CancelCancelJPY</v>
      </c>
      <c r="AR2925" s="206" t="str">
        <f t="shared" si="893"/>
        <v>YAMAHA_Mounter</v>
      </c>
      <c r="AS2925" s="22" t="str">
        <f t="shared" si="894"/>
        <v/>
      </c>
      <c r="AT2925" s="24" t="str">
        <f t="shared" si="895"/>
        <v/>
      </c>
    </row>
    <row r="2926" spans="1:46" s="12" customFormat="1">
      <c r="A2926" s="33" t="str">
        <f t="shared" si="883"/>
        <v>FY 20/21</v>
      </c>
      <c r="B2926" s="152">
        <v>2020</v>
      </c>
      <c r="C2926" s="152">
        <v>8</v>
      </c>
      <c r="D2926" s="33" t="str">
        <f t="shared" si="884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85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86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81"/>
        <v>1006000</v>
      </c>
      <c r="AA2926" s="13">
        <v>1.135</v>
      </c>
      <c r="AB2926" s="21">
        <f t="shared" si="887"/>
        <v>1010451.3274336284</v>
      </c>
      <c r="AC2926" s="130">
        <f t="shared" si="888"/>
        <v>107208.88584070797</v>
      </c>
      <c r="AD2926" s="169">
        <v>0.1061</v>
      </c>
      <c r="AE2926" s="154">
        <f t="shared" si="889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78"/>
        <v>28011162.254106201</v>
      </c>
      <c r="AJ2926" s="19">
        <f t="shared" si="879"/>
        <v>3401347.1124888416</v>
      </c>
      <c r="AK2926" s="20">
        <f t="shared" si="890"/>
        <v>0.12142827497242578</v>
      </c>
      <c r="AL2926" s="17"/>
      <c r="AM2926" s="17"/>
      <c r="AN2926" s="17"/>
      <c r="AO2926" s="17"/>
      <c r="AP2926" s="28" t="str">
        <f t="shared" si="891"/>
        <v>202010</v>
      </c>
      <c r="AQ2926" s="28" t="str">
        <f t="shared" si="892"/>
        <v>202010RMB</v>
      </c>
      <c r="AR2926" s="206" t="str">
        <f t="shared" si="893"/>
        <v>YAMAHA_Mounter</v>
      </c>
      <c r="AS2926" s="22">
        <f t="shared" si="894"/>
        <v>2</v>
      </c>
      <c r="AT2926" s="24" t="str">
        <f t="shared" si="895"/>
        <v>0-3 months</v>
      </c>
    </row>
    <row r="2927" spans="1:46" s="12" customFormat="1">
      <c r="A2927" s="33" t="str">
        <f t="shared" si="883"/>
        <v>FY 23/24</v>
      </c>
      <c r="B2927" s="23">
        <v>2023</v>
      </c>
      <c r="C2927" s="152">
        <v>12</v>
      </c>
      <c r="D2927" s="33" t="str">
        <f t="shared" si="884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85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86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81"/>
        <v>14600000</v>
      </c>
      <c r="AA2927" s="22">
        <v>5.4199999999999998E-2</v>
      </c>
      <c r="AB2927" s="21">
        <f t="shared" si="887"/>
        <v>791320</v>
      </c>
      <c r="AC2927" s="25">
        <f t="shared" si="888"/>
        <v>82851.203999999998</v>
      </c>
      <c r="AD2927" s="169">
        <v>0.1047</v>
      </c>
      <c r="AE2927" s="26">
        <f t="shared" si="889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78"/>
        <v>10271727.486725664</v>
      </c>
      <c r="AJ2927" s="27">
        <f t="shared" si="879"/>
        <v>1227228.7260761063</v>
      </c>
      <c r="AK2927" s="28">
        <f t="shared" si="890"/>
        <v>0.11947637120066472</v>
      </c>
      <c r="AL2927" s="24"/>
      <c r="AM2927" s="24"/>
      <c r="AN2927" s="24"/>
      <c r="AO2927" s="24"/>
      <c r="AP2927" s="28" t="str">
        <f t="shared" si="891"/>
        <v>202312</v>
      </c>
      <c r="AQ2927" s="28" t="str">
        <f t="shared" si="892"/>
        <v>202312JPY</v>
      </c>
      <c r="AR2927" s="206" t="str">
        <f t="shared" si="893"/>
        <v>YAMAHA_Mounter</v>
      </c>
      <c r="AS2927" s="22">
        <f t="shared" si="894"/>
        <v>0</v>
      </c>
      <c r="AT2927" s="24" t="str">
        <f t="shared" si="895"/>
        <v>0-3 months</v>
      </c>
    </row>
    <row r="2928" spans="1:46" s="12" customFormat="1">
      <c r="A2928" s="33" t="str">
        <f t="shared" si="883"/>
        <v>FY 22/23</v>
      </c>
      <c r="B2928" s="152">
        <v>2023</v>
      </c>
      <c r="C2928" s="152">
        <v>3</v>
      </c>
      <c r="D2928" s="33" t="str">
        <f t="shared" si="884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85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86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96">IF(W2928="RMB","1.13", "1")</f>
        <v>1.13</v>
      </c>
      <c r="Z2928" s="18">
        <f t="shared" si="881"/>
        <v>1160000</v>
      </c>
      <c r="AA2928" s="13">
        <v>1.1399999999999999</v>
      </c>
      <c r="AB2928" s="21">
        <f t="shared" si="887"/>
        <v>1170265.4867256638</v>
      </c>
      <c r="AC2928" s="130">
        <f t="shared" si="888"/>
        <v>137623.22123893804</v>
      </c>
      <c r="AD2928" s="169">
        <v>0.1176</v>
      </c>
      <c r="AE2928" s="154">
        <f t="shared" si="889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78"/>
        <v>30573205.452778768</v>
      </c>
      <c r="AJ2928" s="19">
        <f t="shared" si="879"/>
        <v>3790930.1683151261</v>
      </c>
      <c r="AK2928" s="20">
        <f t="shared" si="890"/>
        <v>0.12399518179964254</v>
      </c>
      <c r="AL2928" s="17"/>
      <c r="AM2928" s="17"/>
      <c r="AN2928" s="17"/>
      <c r="AO2928" s="17"/>
      <c r="AP2928" s="28" t="str">
        <f t="shared" si="891"/>
        <v>20234</v>
      </c>
      <c r="AQ2928" s="28" t="str">
        <f t="shared" si="892"/>
        <v>20234RMB</v>
      </c>
      <c r="AR2928" s="206" t="str">
        <f t="shared" si="893"/>
        <v>YAMAHA_Mounter</v>
      </c>
      <c r="AS2928" s="22">
        <f t="shared" si="894"/>
        <v>1</v>
      </c>
      <c r="AT2928" s="24" t="str">
        <f t="shared" si="895"/>
        <v>0-3 months</v>
      </c>
    </row>
    <row r="2929" spans="1:46" s="12" customFormat="1">
      <c r="A2929" s="33" t="str">
        <f t="shared" si="883"/>
        <v>FY 22/23</v>
      </c>
      <c r="B2929" s="152">
        <v>2023</v>
      </c>
      <c r="C2929" s="152">
        <v>3</v>
      </c>
      <c r="D2929" s="33" t="str">
        <f t="shared" si="884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85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86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96"/>
        <v>1.13</v>
      </c>
      <c r="Z2929" s="18">
        <f t="shared" si="881"/>
        <v>600000</v>
      </c>
      <c r="AA2929" s="13">
        <v>1.1399999999999999</v>
      </c>
      <c r="AB2929" s="21">
        <f t="shared" si="887"/>
        <v>605309.73451327439</v>
      </c>
      <c r="AC2929" s="130">
        <f t="shared" si="888"/>
        <v>71184.424778761066</v>
      </c>
      <c r="AD2929" s="169">
        <v>0.1176</v>
      </c>
      <c r="AE2929" s="154">
        <f t="shared" si="889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78"/>
        <v>30573205.452778768</v>
      </c>
      <c r="AJ2929" s="19">
        <f t="shared" si="879"/>
        <v>3790930.1683151261</v>
      </c>
      <c r="AK2929" s="20">
        <f t="shared" si="890"/>
        <v>0.12399518179964254</v>
      </c>
      <c r="AL2929" s="17"/>
      <c r="AM2929" s="17"/>
      <c r="AN2929" s="17"/>
      <c r="AO2929" s="17"/>
      <c r="AP2929" s="28" t="str">
        <f t="shared" si="891"/>
        <v>20234</v>
      </c>
      <c r="AQ2929" s="28" t="str">
        <f t="shared" si="892"/>
        <v>20234RMB</v>
      </c>
      <c r="AR2929" s="206" t="str">
        <f t="shared" si="893"/>
        <v>YAMAHA_Mounter</v>
      </c>
      <c r="AS2929" s="22">
        <f t="shared" si="894"/>
        <v>1</v>
      </c>
      <c r="AT2929" s="24" t="str">
        <f t="shared" si="895"/>
        <v>0-3 months</v>
      </c>
    </row>
    <row r="2930" spans="1:46" s="12" customFormat="1">
      <c r="A2930" s="33" t="str">
        <f t="shared" si="883"/>
        <v>FY 23/24</v>
      </c>
      <c r="B2930" s="152">
        <v>2023</v>
      </c>
      <c r="C2930" s="152">
        <v>9</v>
      </c>
      <c r="D2930" s="33" t="str">
        <f t="shared" si="884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85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86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96"/>
        <v>1</v>
      </c>
      <c r="Z2930" s="18">
        <f t="shared" si="881"/>
        <v>12500000</v>
      </c>
      <c r="AA2930" s="13">
        <v>5.3400000000000003E-2</v>
      </c>
      <c r="AB2930" s="21">
        <f t="shared" si="887"/>
        <v>667500</v>
      </c>
      <c r="AC2930" s="130">
        <f t="shared" si="888"/>
        <v>102060.75</v>
      </c>
      <c r="AD2930" s="169">
        <v>0.15290000000000001</v>
      </c>
      <c r="AE2930" s="154">
        <f t="shared" si="889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78"/>
        <v>5219988.5752212387</v>
      </c>
      <c r="AJ2930" s="19">
        <f t="shared" si="879"/>
        <v>631627.0013460177</v>
      </c>
      <c r="AK2930" s="20">
        <f t="shared" si="890"/>
        <v>0.12100160608478869</v>
      </c>
      <c r="AL2930" s="17"/>
      <c r="AM2930" s="17"/>
      <c r="AN2930" s="17"/>
      <c r="AO2930" s="17"/>
      <c r="AP2930" s="28" t="str">
        <f t="shared" si="891"/>
        <v>202310</v>
      </c>
      <c r="AQ2930" s="28" t="str">
        <f t="shared" si="892"/>
        <v>202310JPY</v>
      </c>
      <c r="AR2930" s="206" t="str">
        <f t="shared" si="893"/>
        <v>YAMAHA_Mounter</v>
      </c>
      <c r="AS2930" s="22">
        <f t="shared" si="894"/>
        <v>1</v>
      </c>
      <c r="AT2930" s="24" t="str">
        <f t="shared" si="895"/>
        <v>0-3 months</v>
      </c>
    </row>
    <row r="2931" spans="1:46" s="12" customFormat="1">
      <c r="A2931" s="33" t="str">
        <f t="shared" si="883"/>
        <v>FY 23/24</v>
      </c>
      <c r="B2931" s="152">
        <v>2023</v>
      </c>
      <c r="C2931" s="152">
        <v>9</v>
      </c>
      <c r="D2931" s="33" t="str">
        <f t="shared" si="884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85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86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96"/>
        <v>1</v>
      </c>
      <c r="Z2931" s="18">
        <f t="shared" si="881"/>
        <v>12450000</v>
      </c>
      <c r="AA2931" s="13">
        <v>5.4899999999999997E-2</v>
      </c>
      <c r="AB2931" s="21">
        <f t="shared" si="887"/>
        <v>683505</v>
      </c>
      <c r="AC2931" s="130">
        <f t="shared" si="888"/>
        <v>82020.599999999991</v>
      </c>
      <c r="AD2931" s="169">
        <v>0.12</v>
      </c>
      <c r="AE2931" s="154">
        <f t="shared" si="889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78"/>
        <v>477651199.57437885</v>
      </c>
      <c r="AJ2931" s="19">
        <f t="shared" si="879"/>
        <v>56918800.518691957</v>
      </c>
      <c r="AK2931" s="20">
        <f t="shared" si="890"/>
        <v>0.11916394341605475</v>
      </c>
      <c r="AL2931" s="17"/>
      <c r="AM2931" s="17"/>
      <c r="AN2931" s="17"/>
      <c r="AO2931" s="17"/>
      <c r="AP2931" s="28" t="str">
        <f t="shared" si="891"/>
        <v>CancelCancel</v>
      </c>
      <c r="AQ2931" s="28" t="str">
        <f t="shared" si="892"/>
        <v>CancelCancelJPY</v>
      </c>
      <c r="AR2931" s="206" t="str">
        <f t="shared" si="893"/>
        <v>YAMAHA_Mounter</v>
      </c>
      <c r="AS2931" s="22" t="str">
        <f t="shared" si="894"/>
        <v/>
      </c>
      <c r="AT2931" s="24" t="str">
        <f t="shared" si="895"/>
        <v/>
      </c>
    </row>
    <row r="2932" spans="1:46" s="12" customFormat="1">
      <c r="A2932" s="33" t="str">
        <f t="shared" si="883"/>
        <v>FY 23/24</v>
      </c>
      <c r="B2932" s="152">
        <v>2023</v>
      </c>
      <c r="C2932" s="152">
        <v>9</v>
      </c>
      <c r="D2932" s="33" t="str">
        <f t="shared" si="884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85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86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96"/>
        <v>1</v>
      </c>
      <c r="Z2932" s="18">
        <f t="shared" si="881"/>
        <v>8170000</v>
      </c>
      <c r="AA2932" s="13">
        <v>5.3400000000000003E-2</v>
      </c>
      <c r="AB2932" s="21">
        <f t="shared" si="887"/>
        <v>436278</v>
      </c>
      <c r="AC2932" s="130">
        <f t="shared" si="888"/>
        <v>66706.906199999998</v>
      </c>
      <c r="AD2932" s="169">
        <v>0.15290000000000001</v>
      </c>
      <c r="AE2932" s="154">
        <f t="shared" si="889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78"/>
        <v>5219988.5752212387</v>
      </c>
      <c r="AJ2932" s="19">
        <f t="shared" si="879"/>
        <v>631627.0013460177</v>
      </c>
      <c r="AK2932" s="20">
        <f t="shared" si="890"/>
        <v>0.12100160608478869</v>
      </c>
      <c r="AL2932" s="17"/>
      <c r="AM2932" s="17"/>
      <c r="AN2932" s="17"/>
      <c r="AO2932" s="17"/>
      <c r="AP2932" s="28" t="str">
        <f t="shared" si="891"/>
        <v>202310</v>
      </c>
      <c r="AQ2932" s="28" t="str">
        <f t="shared" si="892"/>
        <v>202310JPY</v>
      </c>
      <c r="AR2932" s="206" t="str">
        <f t="shared" si="893"/>
        <v>YAMAHA_Mounter</v>
      </c>
      <c r="AS2932" s="22">
        <f t="shared" si="894"/>
        <v>1</v>
      </c>
      <c r="AT2932" s="24" t="str">
        <f t="shared" si="895"/>
        <v>0-3 months</v>
      </c>
    </row>
    <row r="2933" spans="1:46" s="12" customFormat="1">
      <c r="A2933" s="33" t="str">
        <f t="shared" si="883"/>
        <v>FY 23/24</v>
      </c>
      <c r="B2933" s="152">
        <v>2023</v>
      </c>
      <c r="C2933" s="152">
        <v>9</v>
      </c>
      <c r="D2933" s="33" t="str">
        <f t="shared" si="884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85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86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96"/>
        <v>1</v>
      </c>
      <c r="Z2933" s="18">
        <f t="shared" si="881"/>
        <v>7800000</v>
      </c>
      <c r="AA2933" s="13">
        <v>5.4899999999999997E-2</v>
      </c>
      <c r="AB2933" s="21">
        <f t="shared" si="887"/>
        <v>428220</v>
      </c>
      <c r="AC2933" s="130">
        <f t="shared" si="888"/>
        <v>51386.400000000001</v>
      </c>
      <c r="AD2933" s="169">
        <v>0.12</v>
      </c>
      <c r="AE2933" s="154">
        <f t="shared" si="889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78"/>
        <v>477651199.57437885</v>
      </c>
      <c r="AJ2933" s="19">
        <f t="shared" si="879"/>
        <v>56918800.518691957</v>
      </c>
      <c r="AK2933" s="20">
        <f t="shared" si="890"/>
        <v>0.11916394341605475</v>
      </c>
      <c r="AL2933" s="17"/>
      <c r="AM2933" s="17"/>
      <c r="AN2933" s="17"/>
      <c r="AO2933" s="17"/>
      <c r="AP2933" s="28" t="str">
        <f t="shared" si="891"/>
        <v>CancelCancel</v>
      </c>
      <c r="AQ2933" s="28" t="str">
        <f t="shared" si="892"/>
        <v>CancelCancelJPY</v>
      </c>
      <c r="AR2933" s="206" t="str">
        <f t="shared" si="893"/>
        <v>YAMAHA_Mounter</v>
      </c>
      <c r="AS2933" s="22" t="str">
        <f t="shared" si="894"/>
        <v/>
      </c>
      <c r="AT2933" s="24" t="str">
        <f t="shared" si="895"/>
        <v/>
      </c>
    </row>
    <row r="2934" spans="1:46" s="12" customFormat="1">
      <c r="A2934" s="33" t="str">
        <f t="shared" si="883"/>
        <v>FY 23/24</v>
      </c>
      <c r="B2934" s="152">
        <v>2023</v>
      </c>
      <c r="C2934" s="152">
        <v>10</v>
      </c>
      <c r="D2934" s="33" t="str">
        <f t="shared" si="884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85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86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81"/>
        <v>63000</v>
      </c>
      <c r="AA2934" s="13">
        <v>7.8</v>
      </c>
      <c r="AB2934" s="21">
        <f t="shared" si="887"/>
        <v>491400</v>
      </c>
      <c r="AC2934" s="130">
        <f t="shared" si="888"/>
        <v>84717.36</v>
      </c>
      <c r="AD2934" s="169">
        <v>0.1724</v>
      </c>
      <c r="AE2934" s="154">
        <f t="shared" si="889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78"/>
        <v>11730565.00042478</v>
      </c>
      <c r="AJ2934" s="19">
        <f t="shared" si="879"/>
        <v>1439625.5685810833</v>
      </c>
      <c r="AK2934" s="20">
        <f t="shared" si="890"/>
        <v>0.12272431622253084</v>
      </c>
      <c r="AL2934" s="17"/>
      <c r="AM2934" s="17"/>
      <c r="AN2934" s="17"/>
      <c r="AO2934" s="17"/>
      <c r="AP2934" s="28" t="str">
        <f t="shared" si="891"/>
        <v>202311</v>
      </c>
      <c r="AQ2934" s="28" t="str">
        <f t="shared" si="892"/>
        <v>202311USD</v>
      </c>
      <c r="AR2934" s="206" t="str">
        <f t="shared" si="893"/>
        <v>YAMAHA_Mounter</v>
      </c>
      <c r="AS2934" s="22">
        <f t="shared" si="894"/>
        <v>1</v>
      </c>
      <c r="AT2934" s="24" t="str">
        <f t="shared" si="895"/>
        <v>0-3 months</v>
      </c>
    </row>
    <row r="2935" spans="1:46" s="12" customFormat="1">
      <c r="A2935" s="33" t="str">
        <f t="shared" si="883"/>
        <v>FY 23/24</v>
      </c>
      <c r="B2935" s="23">
        <v>2024</v>
      </c>
      <c r="C2935" s="152">
        <v>2</v>
      </c>
      <c r="D2935" s="33" t="str">
        <f t="shared" si="884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85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86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81"/>
        <v>94600</v>
      </c>
      <c r="AA2935" s="22">
        <v>7.8</v>
      </c>
      <c r="AB2935" s="21">
        <f t="shared" si="887"/>
        <v>737880</v>
      </c>
      <c r="AC2935" s="25">
        <f t="shared" si="888"/>
        <v>103229.412</v>
      </c>
      <c r="AD2935" s="209">
        <v>0.1399</v>
      </c>
      <c r="AE2935" s="26">
        <f t="shared" si="889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78"/>
        <v>21194662.454867262</v>
      </c>
      <c r="AJ2935" s="27">
        <f t="shared" si="879"/>
        <v>2981431.5970757701</v>
      </c>
      <c r="AK2935" s="28">
        <f t="shared" si="890"/>
        <v>0.14066898226968919</v>
      </c>
      <c r="AL2935" s="24"/>
      <c r="AM2935" s="24"/>
      <c r="AN2935" s="24"/>
      <c r="AO2935" s="24"/>
      <c r="AP2935" s="28" t="str">
        <f t="shared" si="891"/>
        <v>20243</v>
      </c>
      <c r="AQ2935" s="28" t="str">
        <f t="shared" si="892"/>
        <v>20243USD</v>
      </c>
      <c r="AR2935" s="206" t="str">
        <f t="shared" si="893"/>
        <v>YAMAHA_Mounter</v>
      </c>
      <c r="AS2935" s="22">
        <f t="shared" si="894"/>
        <v>1</v>
      </c>
      <c r="AT2935" s="24" t="str">
        <f t="shared" si="895"/>
        <v>0-3 months</v>
      </c>
    </row>
    <row r="2936" spans="1:46" s="12" customFormat="1">
      <c r="A2936" s="33" t="str">
        <f t="shared" si="883"/>
        <v>FY 20/21</v>
      </c>
      <c r="B2936" s="152">
        <v>2021</v>
      </c>
      <c r="C2936" s="152">
        <v>1</v>
      </c>
      <c r="D2936" s="33" t="str">
        <f t="shared" si="884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85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86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81"/>
        <v>6800000</v>
      </c>
      <c r="AA2936" s="13">
        <v>7.2800000000000004E-2</v>
      </c>
      <c r="AB2936" s="21">
        <f t="shared" si="887"/>
        <v>495040</v>
      </c>
      <c r="AC2936" s="130">
        <f t="shared" si="888"/>
        <v>75295.584000000003</v>
      </c>
      <c r="AD2936" s="169">
        <v>0.15210000000000001</v>
      </c>
      <c r="AE2936" s="154">
        <f t="shared" si="889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78"/>
        <v>63006605.696460173</v>
      </c>
      <c r="AJ2936" s="19">
        <f t="shared" si="879"/>
        <v>8897485.660753984</v>
      </c>
      <c r="AK2936" s="20">
        <f t="shared" si="890"/>
        <v>0.141215124388995</v>
      </c>
      <c r="AL2936" s="17"/>
      <c r="AM2936" s="17"/>
      <c r="AN2936" s="17"/>
      <c r="AO2936" s="17"/>
      <c r="AP2936" s="28" t="str">
        <f t="shared" si="891"/>
        <v>20215</v>
      </c>
      <c r="AQ2936" s="28" t="str">
        <f t="shared" si="892"/>
        <v>20215JPY</v>
      </c>
      <c r="AR2936" s="206" t="str">
        <f t="shared" si="893"/>
        <v>YAMAHA_Mounter</v>
      </c>
      <c r="AS2936" s="22">
        <f t="shared" si="894"/>
        <v>4</v>
      </c>
      <c r="AT2936" s="24" t="str">
        <f t="shared" si="895"/>
        <v>4-6 months</v>
      </c>
    </row>
    <row r="2937" spans="1:46" s="12" customFormat="1">
      <c r="A2937" s="33" t="str">
        <f t="shared" si="883"/>
        <v>cancel</v>
      </c>
      <c r="B2937" s="152"/>
      <c r="C2937" s="152" t="s">
        <v>186</v>
      </c>
      <c r="D2937" s="33" t="str">
        <f t="shared" si="884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85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86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81"/>
        <v>7448000</v>
      </c>
      <c r="AA2937" s="13">
        <v>7.5700000000000003E-2</v>
      </c>
      <c r="AB2937" s="21">
        <f t="shared" si="887"/>
        <v>563813.6</v>
      </c>
      <c r="AC2937" s="130">
        <f t="shared" si="888"/>
        <v>67657.631999999998</v>
      </c>
      <c r="AD2937" s="169">
        <v>0.12</v>
      </c>
      <c r="AE2937" s="154">
        <f t="shared" si="889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78"/>
        <v>477651199.57437885</v>
      </c>
      <c r="AJ2937" s="19">
        <f t="shared" si="879"/>
        <v>56918800.518691957</v>
      </c>
      <c r="AK2937" s="20">
        <f t="shared" si="890"/>
        <v>0.11916394341605475</v>
      </c>
      <c r="AL2937" s="17"/>
      <c r="AM2937" s="17"/>
      <c r="AN2937" s="17"/>
      <c r="AO2937" s="17"/>
      <c r="AP2937" s="28" t="str">
        <f t="shared" si="891"/>
        <v>CancelCancel</v>
      </c>
      <c r="AQ2937" s="28" t="str">
        <f t="shared" si="892"/>
        <v>CancelCancelJPY</v>
      </c>
      <c r="AR2937" s="206" t="str">
        <f t="shared" si="893"/>
        <v>YAMAHA_Mounter</v>
      </c>
      <c r="AS2937" s="22" t="str">
        <f t="shared" si="894"/>
        <v/>
      </c>
      <c r="AT2937" s="24" t="str">
        <f t="shared" si="895"/>
        <v/>
      </c>
    </row>
    <row r="2938" spans="1:46" s="12" customFormat="1">
      <c r="A2938" s="33" t="str">
        <f t="shared" si="883"/>
        <v>cancel</v>
      </c>
      <c r="B2938" s="152"/>
      <c r="C2938" s="152" t="s">
        <v>186</v>
      </c>
      <c r="D2938" s="33" t="str">
        <f t="shared" si="884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85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86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81"/>
        <v>7448000</v>
      </c>
      <c r="AA2938" s="13">
        <v>7.5700000000000003E-2</v>
      </c>
      <c r="AB2938" s="21">
        <f t="shared" si="887"/>
        <v>563813.6</v>
      </c>
      <c r="AC2938" s="130">
        <f t="shared" si="888"/>
        <v>67657.631999999998</v>
      </c>
      <c r="AD2938" s="169">
        <v>0.12</v>
      </c>
      <c r="AE2938" s="154">
        <f t="shared" si="889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78"/>
        <v>477651199.57437885</v>
      </c>
      <c r="AJ2938" s="19">
        <f t="shared" si="879"/>
        <v>56918800.518691957</v>
      </c>
      <c r="AK2938" s="20">
        <f t="shared" si="890"/>
        <v>0.11916394341605475</v>
      </c>
      <c r="AL2938" s="17"/>
      <c r="AM2938" s="17"/>
      <c r="AN2938" s="17"/>
      <c r="AO2938" s="17"/>
      <c r="AP2938" s="28" t="str">
        <f t="shared" si="891"/>
        <v>CancelCancel</v>
      </c>
      <c r="AQ2938" s="28" t="str">
        <f t="shared" si="892"/>
        <v>CancelCancelJPY</v>
      </c>
      <c r="AR2938" s="206" t="str">
        <f t="shared" si="893"/>
        <v>YAMAHA_Mounter</v>
      </c>
      <c r="AS2938" s="22" t="str">
        <f t="shared" si="894"/>
        <v/>
      </c>
      <c r="AT2938" s="24" t="str">
        <f t="shared" si="895"/>
        <v/>
      </c>
    </row>
    <row r="2939" spans="1:46" s="12" customFormat="1">
      <c r="A2939" s="33" t="str">
        <f t="shared" si="883"/>
        <v>FY 18/19</v>
      </c>
      <c r="B2939" s="152">
        <v>2018</v>
      </c>
      <c r="C2939" s="152">
        <v>7</v>
      </c>
      <c r="D2939" s="33" t="str">
        <f t="shared" si="884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85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86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81"/>
        <v>11819760</v>
      </c>
      <c r="AA2939" s="13">
        <v>7.22E-2</v>
      </c>
      <c r="AB2939" s="21">
        <f t="shared" si="887"/>
        <v>853386.67200000002</v>
      </c>
      <c r="AC2939" s="130">
        <f t="shared" si="888"/>
        <v>102406.40063999999</v>
      </c>
      <c r="AD2939" s="169">
        <v>0.12</v>
      </c>
      <c r="AE2939" s="154">
        <f t="shared" si="889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78"/>
        <v>26492741.106427077</v>
      </c>
      <c r="AJ2939" s="19">
        <f t="shared" si="879"/>
        <v>3348032.1325698122</v>
      </c>
      <c r="AK2939" s="20">
        <f t="shared" si="890"/>
        <v>0.12637545201985867</v>
      </c>
      <c r="AL2939" s="17"/>
      <c r="AM2939" s="17"/>
      <c r="AN2939" s="17"/>
      <c r="AO2939" s="17"/>
      <c r="AP2939" s="28" t="str">
        <f t="shared" si="891"/>
        <v>20189</v>
      </c>
      <c r="AQ2939" s="28" t="str">
        <f t="shared" si="892"/>
        <v>20189JPY</v>
      </c>
      <c r="AR2939" s="206" t="str">
        <f t="shared" si="893"/>
        <v>YAMAHA_Mounter</v>
      </c>
      <c r="AS2939" s="22">
        <f t="shared" si="894"/>
        <v>2</v>
      </c>
      <c r="AT2939" s="24" t="str">
        <f t="shared" si="895"/>
        <v>0-3 months</v>
      </c>
    </row>
    <row r="2940" spans="1:46" s="12" customFormat="1">
      <c r="A2940" s="33" t="str">
        <f t="shared" si="883"/>
        <v>FY 19/20</v>
      </c>
      <c r="B2940" s="152">
        <v>2019</v>
      </c>
      <c r="C2940" s="152">
        <v>12</v>
      </c>
      <c r="D2940" s="33" t="str">
        <f t="shared" si="884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85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86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81"/>
        <v>1530000</v>
      </c>
      <c r="AA2940" s="13">
        <v>1.1100000000000001</v>
      </c>
      <c r="AB2940" s="21">
        <f t="shared" si="887"/>
        <v>1502920.353982301</v>
      </c>
      <c r="AC2940" s="130">
        <f t="shared" si="888"/>
        <v>160962.76991150444</v>
      </c>
      <c r="AD2940" s="169">
        <v>0.1071</v>
      </c>
      <c r="AE2940" s="154">
        <f t="shared" si="889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78"/>
        <v>27318180.088495575</v>
      </c>
      <c r="AJ2940" s="19">
        <f t="shared" si="879"/>
        <v>3014099.212353982</v>
      </c>
      <c r="AK2940" s="20">
        <f t="shared" si="890"/>
        <v>0.11033308963444827</v>
      </c>
      <c r="AL2940" s="17"/>
      <c r="AM2940" s="17"/>
      <c r="AN2940" s="17"/>
      <c r="AO2940" s="17"/>
      <c r="AP2940" s="28" t="str">
        <f t="shared" si="891"/>
        <v>201912</v>
      </c>
      <c r="AQ2940" s="28" t="str">
        <f t="shared" si="892"/>
        <v>201912RMB</v>
      </c>
      <c r="AR2940" s="206" t="str">
        <f t="shared" si="893"/>
        <v>YAMAHA_Mounter</v>
      </c>
      <c r="AS2940" s="22">
        <f t="shared" si="894"/>
        <v>0</v>
      </c>
      <c r="AT2940" s="24" t="str">
        <f t="shared" si="895"/>
        <v>0-3 months</v>
      </c>
    </row>
    <row r="2941" spans="1:46" s="12" customFormat="1">
      <c r="A2941" s="33" t="str">
        <f t="shared" si="883"/>
        <v>FY 19/20</v>
      </c>
      <c r="B2941" s="152">
        <v>2019</v>
      </c>
      <c r="C2941" s="152">
        <v>6</v>
      </c>
      <c r="D2941" s="33" t="str">
        <f t="shared" si="884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85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86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81"/>
        <v>630000</v>
      </c>
      <c r="AA2941" s="13">
        <v>1.135</v>
      </c>
      <c r="AB2941" s="21">
        <f t="shared" si="887"/>
        <v>632787.61061946908</v>
      </c>
      <c r="AC2941" s="130">
        <f t="shared" si="888"/>
        <v>75934.513274336292</v>
      </c>
      <c r="AD2941" s="169">
        <v>0.12</v>
      </c>
      <c r="AE2941" s="154">
        <f t="shared" si="889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78"/>
        <v>34015877.71150443</v>
      </c>
      <c r="AJ2941" s="19">
        <f t="shared" si="879"/>
        <v>4446292.375441948</v>
      </c>
      <c r="AK2941" s="20">
        <f t="shared" si="890"/>
        <v>0.13071226364205143</v>
      </c>
      <c r="AL2941" s="17"/>
      <c r="AM2941" s="17"/>
      <c r="AN2941" s="17"/>
      <c r="AO2941" s="17"/>
      <c r="AP2941" s="28" t="str">
        <f t="shared" si="891"/>
        <v>20197</v>
      </c>
      <c r="AQ2941" s="28" t="str">
        <f t="shared" si="892"/>
        <v>20197RMB</v>
      </c>
      <c r="AR2941" s="206" t="str">
        <f t="shared" si="893"/>
        <v>YAMAHA_Mounter</v>
      </c>
      <c r="AS2941" s="22">
        <f t="shared" si="894"/>
        <v>1</v>
      </c>
      <c r="AT2941" s="24" t="str">
        <f t="shared" si="895"/>
        <v>0-3 months</v>
      </c>
    </row>
    <row r="2942" spans="1:46" s="12" customFormat="1">
      <c r="A2942" s="33" t="str">
        <f t="shared" si="883"/>
        <v>FY 20/21</v>
      </c>
      <c r="B2942" s="152">
        <v>2020</v>
      </c>
      <c r="C2942" s="152">
        <v>7</v>
      </c>
      <c r="D2942" s="33" t="str">
        <f t="shared" si="884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85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86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81"/>
        <v>7175000</v>
      </c>
      <c r="AA2942" s="13">
        <v>7.5700000000000003E-2</v>
      </c>
      <c r="AB2942" s="21">
        <f t="shared" si="887"/>
        <v>543147.5</v>
      </c>
      <c r="AC2942" s="130">
        <f t="shared" si="888"/>
        <v>89727.967000000004</v>
      </c>
      <c r="AD2942" s="169">
        <v>0.16520000000000001</v>
      </c>
      <c r="AE2942" s="154">
        <f t="shared" si="889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78"/>
        <v>37969334.083628319</v>
      </c>
      <c r="AJ2942" s="19">
        <f t="shared" si="879"/>
        <v>5097226.4551657084</v>
      </c>
      <c r="AK2942" s="20">
        <f t="shared" si="890"/>
        <v>0.13424587441904964</v>
      </c>
      <c r="AL2942" s="17"/>
      <c r="AM2942" s="17"/>
      <c r="AN2942" s="17"/>
      <c r="AO2942" s="17"/>
      <c r="AP2942" s="28" t="str">
        <f t="shared" si="891"/>
        <v>20208</v>
      </c>
      <c r="AQ2942" s="28" t="str">
        <f t="shared" si="892"/>
        <v>20208JPY</v>
      </c>
      <c r="AR2942" s="206" t="str">
        <f t="shared" si="893"/>
        <v>YAMAHA_Mounter</v>
      </c>
      <c r="AS2942" s="22">
        <f t="shared" si="894"/>
        <v>1</v>
      </c>
      <c r="AT2942" s="24" t="str">
        <f t="shared" si="895"/>
        <v>0-3 months</v>
      </c>
    </row>
    <row r="2943" spans="1:46" s="12" customFormat="1">
      <c r="A2943" s="33" t="str">
        <f t="shared" si="883"/>
        <v>FY 20/21</v>
      </c>
      <c r="B2943" s="152">
        <v>2020</v>
      </c>
      <c r="C2943" s="152">
        <v>7</v>
      </c>
      <c r="D2943" s="33" t="str">
        <f t="shared" si="884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85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86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81"/>
        <v>7175000</v>
      </c>
      <c r="AA2943" s="13">
        <v>7.5700000000000003E-2</v>
      </c>
      <c r="AB2943" s="21">
        <f t="shared" si="887"/>
        <v>543147.5</v>
      </c>
      <c r="AC2943" s="130">
        <f t="shared" si="888"/>
        <v>89727.967000000004</v>
      </c>
      <c r="AD2943" s="169">
        <v>0.16520000000000001</v>
      </c>
      <c r="AE2943" s="154">
        <f t="shared" si="889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78"/>
        <v>37969334.083628319</v>
      </c>
      <c r="AJ2943" s="19">
        <f t="shared" si="879"/>
        <v>5097226.4551657084</v>
      </c>
      <c r="AK2943" s="20">
        <f t="shared" si="890"/>
        <v>0.13424587441904964</v>
      </c>
      <c r="AL2943" s="17"/>
      <c r="AM2943" s="17"/>
      <c r="AN2943" s="17"/>
      <c r="AO2943" s="17"/>
      <c r="AP2943" s="28" t="str">
        <f t="shared" si="891"/>
        <v>20208</v>
      </c>
      <c r="AQ2943" s="28" t="str">
        <f t="shared" si="892"/>
        <v>20208JPY</v>
      </c>
      <c r="AR2943" s="206" t="str">
        <f t="shared" si="893"/>
        <v>YAMAHA_Mounter</v>
      </c>
      <c r="AS2943" s="22">
        <f t="shared" si="894"/>
        <v>1</v>
      </c>
      <c r="AT2943" s="24" t="str">
        <f t="shared" si="895"/>
        <v>0-3 months</v>
      </c>
    </row>
    <row r="2944" spans="1:46" s="12" customFormat="1">
      <c r="A2944" s="33" t="str">
        <f t="shared" si="883"/>
        <v>FY 20/21</v>
      </c>
      <c r="B2944" s="152">
        <v>2021</v>
      </c>
      <c r="C2944" s="152">
        <v>1</v>
      </c>
      <c r="D2944" s="33" t="str">
        <f t="shared" si="884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85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86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97">IF(W2944="RMB","1.13", "1")</f>
        <v>1</v>
      </c>
      <c r="Z2944" s="18">
        <f t="shared" si="881"/>
        <v>6920000</v>
      </c>
      <c r="AA2944" s="13">
        <v>7.5700000000000003E-2</v>
      </c>
      <c r="AB2944" s="21">
        <f t="shared" si="887"/>
        <v>523844</v>
      </c>
      <c r="AC2944" s="130">
        <f t="shared" si="888"/>
        <v>84338.884000000005</v>
      </c>
      <c r="AD2944" s="169">
        <v>0.161</v>
      </c>
      <c r="AE2944" s="154">
        <f t="shared" si="889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78"/>
        <v>31097187.02948761</v>
      </c>
      <c r="AJ2944" s="19">
        <f t="shared" si="879"/>
        <v>3892353.6644401965</v>
      </c>
      <c r="AK2944" s="20">
        <f t="shared" si="890"/>
        <v>0.12516738767237401</v>
      </c>
      <c r="AL2944" s="17"/>
      <c r="AM2944" s="17"/>
      <c r="AN2944" s="17"/>
      <c r="AO2944" s="17"/>
      <c r="AP2944" s="28" t="str">
        <f t="shared" si="891"/>
        <v>20212</v>
      </c>
      <c r="AQ2944" s="28" t="str">
        <f t="shared" si="892"/>
        <v>20212JPY</v>
      </c>
      <c r="AR2944" s="206" t="str">
        <f t="shared" si="893"/>
        <v>YAMAHA_Mounter</v>
      </c>
      <c r="AS2944" s="22">
        <f t="shared" si="894"/>
        <v>1</v>
      </c>
      <c r="AT2944" s="24" t="str">
        <f t="shared" si="895"/>
        <v>0-3 months</v>
      </c>
    </row>
    <row r="2945" spans="1:46" s="12" customFormat="1">
      <c r="A2945" s="33" t="str">
        <f t="shared" si="883"/>
        <v>FY 21/22</v>
      </c>
      <c r="B2945" s="152">
        <v>2021</v>
      </c>
      <c r="C2945" s="152">
        <v>9</v>
      </c>
      <c r="D2945" s="33" t="str">
        <f t="shared" si="884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85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86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97"/>
        <v>1</v>
      </c>
      <c r="Z2945" s="18">
        <f t="shared" si="881"/>
        <v>21900000</v>
      </c>
      <c r="AA2945" s="13">
        <v>7.0999999999999994E-2</v>
      </c>
      <c r="AB2945" s="21">
        <f t="shared" si="887"/>
        <v>1554899.9999999998</v>
      </c>
      <c r="AC2945" s="130">
        <f t="shared" si="888"/>
        <v>347986.61999999994</v>
      </c>
      <c r="AD2945" s="169">
        <v>0.2238</v>
      </c>
      <c r="AE2945" s="154">
        <f t="shared" si="889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78"/>
        <v>15533177.71460177</v>
      </c>
      <c r="AJ2945" s="19">
        <f t="shared" si="879"/>
        <v>1819298.5437526547</v>
      </c>
      <c r="AK2945" s="20">
        <f t="shared" si="890"/>
        <v>0.11712339723265033</v>
      </c>
      <c r="AL2945" s="17"/>
      <c r="AM2945" s="17"/>
      <c r="AN2945" s="17"/>
      <c r="AO2945" s="17"/>
      <c r="AP2945" s="28" t="str">
        <f t="shared" si="891"/>
        <v>202110</v>
      </c>
      <c r="AQ2945" s="28" t="str">
        <f t="shared" si="892"/>
        <v>202110JPY</v>
      </c>
      <c r="AR2945" s="206" t="str">
        <f t="shared" si="893"/>
        <v>YAMAHA_Mounter</v>
      </c>
      <c r="AS2945" s="22">
        <f t="shared" si="894"/>
        <v>1</v>
      </c>
      <c r="AT2945" s="24" t="str">
        <f t="shared" si="895"/>
        <v>0-3 months</v>
      </c>
    </row>
    <row r="2946" spans="1:46" s="12" customFormat="1">
      <c r="A2946" s="33" t="str">
        <f t="shared" si="883"/>
        <v>FY 22/23</v>
      </c>
      <c r="B2946" s="152">
        <v>2022</v>
      </c>
      <c r="C2946" s="152">
        <v>10</v>
      </c>
      <c r="D2946" s="33" t="str">
        <f t="shared" si="884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85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86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97"/>
        <v>1.13</v>
      </c>
      <c r="Z2946" s="18">
        <f t="shared" si="881"/>
        <v>826000</v>
      </c>
      <c r="AA2946" s="13">
        <v>1.1000000000000001</v>
      </c>
      <c r="AB2946" s="21">
        <f t="shared" si="887"/>
        <v>804070.79646017717</v>
      </c>
      <c r="AC2946" s="130">
        <f t="shared" si="888"/>
        <v>121334.28318584074</v>
      </c>
      <c r="AD2946" s="169">
        <v>0.15090000000000001</v>
      </c>
      <c r="AE2946" s="154">
        <f t="shared" si="889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98">IF(P2946="C66 SERVICE","",SUMIFS(AB:AB,F:F,F2946,G:G,G2946,E:E,E2946))</f>
        <v>22717528.991150443</v>
      </c>
      <c r="AJ2946" s="19">
        <f t="shared" ref="AJ2946:AJ3009" si="899">IF(P2946="C66 SERVICE","",SUMIFS(AC:AC,F:F,F2946,G:G,G2946,E:E,E2946))</f>
        <v>3947747.192555753</v>
      </c>
      <c r="AK2946" s="20">
        <f t="shared" si="890"/>
        <v>0.1737753782153679</v>
      </c>
      <c r="AL2946" s="17"/>
      <c r="AM2946" s="17"/>
      <c r="AN2946" s="17"/>
      <c r="AO2946" s="17"/>
      <c r="AP2946" s="28" t="str">
        <f t="shared" si="891"/>
        <v>202210</v>
      </c>
      <c r="AQ2946" s="28" t="str">
        <f t="shared" si="892"/>
        <v>202210RMB</v>
      </c>
      <c r="AR2946" s="206" t="str">
        <f t="shared" si="893"/>
        <v>YAMAHA_Mounter</v>
      </c>
      <c r="AS2946" s="22">
        <f t="shared" si="894"/>
        <v>0</v>
      </c>
      <c r="AT2946" s="24" t="str">
        <f t="shared" si="895"/>
        <v>0-3 months</v>
      </c>
    </row>
    <row r="2947" spans="1:46" s="12" customFormat="1">
      <c r="A2947" s="33" t="str">
        <f t="shared" si="883"/>
        <v>FY 23/24</v>
      </c>
      <c r="B2947" s="152">
        <v>2023</v>
      </c>
      <c r="C2947" s="152">
        <v>8</v>
      </c>
      <c r="D2947" s="33" t="str">
        <f t="shared" si="884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85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86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97"/>
        <v>1.13</v>
      </c>
      <c r="Z2947" s="18">
        <f t="shared" si="881"/>
        <v>460000</v>
      </c>
      <c r="AA2947" s="13">
        <v>1.07</v>
      </c>
      <c r="AB2947" s="21">
        <f t="shared" si="887"/>
        <v>435575.2212389381</v>
      </c>
      <c r="AC2947" s="130">
        <f t="shared" si="888"/>
        <v>54969.592920353993</v>
      </c>
      <c r="AD2947" s="169">
        <v>0.12620000000000001</v>
      </c>
      <c r="AE2947" s="154">
        <f t="shared" si="889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98"/>
        <v>5219988.5752212387</v>
      </c>
      <c r="AJ2947" s="19">
        <f t="shared" si="899"/>
        <v>631627.0013460177</v>
      </c>
      <c r="AK2947" s="20">
        <f t="shared" si="890"/>
        <v>0.12100160608478869</v>
      </c>
      <c r="AL2947" s="17"/>
      <c r="AM2947" s="17"/>
      <c r="AN2947" s="17"/>
      <c r="AO2947" s="17"/>
      <c r="AP2947" s="28" t="str">
        <f t="shared" si="891"/>
        <v>202310</v>
      </c>
      <c r="AQ2947" s="28" t="str">
        <f t="shared" si="892"/>
        <v>202310RMB</v>
      </c>
      <c r="AR2947" s="206" t="str">
        <f t="shared" si="893"/>
        <v>YAMAHA_Mounter</v>
      </c>
      <c r="AS2947" s="22">
        <f t="shared" si="894"/>
        <v>2</v>
      </c>
      <c r="AT2947" s="24" t="str">
        <f t="shared" si="895"/>
        <v>0-3 months</v>
      </c>
    </row>
    <row r="2948" spans="1:46" s="12" customFormat="1">
      <c r="A2948" s="33" t="str">
        <f t="shared" si="883"/>
        <v>FY 22/23</v>
      </c>
      <c r="B2948" s="152">
        <v>2023</v>
      </c>
      <c r="C2948" s="152">
        <v>2</v>
      </c>
      <c r="D2948" s="33" t="str">
        <f t="shared" si="884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85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86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97"/>
        <v>1.13</v>
      </c>
      <c r="Z2948" s="18">
        <f t="shared" si="881"/>
        <v>415000</v>
      </c>
      <c r="AA2948" s="13">
        <v>1.1299999999999999</v>
      </c>
      <c r="AB2948" s="21">
        <f t="shared" si="887"/>
        <v>415000</v>
      </c>
      <c r="AC2948" s="130">
        <f t="shared" si="888"/>
        <v>29921.5</v>
      </c>
      <c r="AD2948" s="169">
        <v>7.2099999999999997E-2</v>
      </c>
      <c r="AE2948" s="154">
        <f t="shared" si="889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98"/>
        <v>33543315.897345133</v>
      </c>
      <c r="AJ2948" s="19">
        <f t="shared" si="899"/>
        <v>4706169.3252984071</v>
      </c>
      <c r="AK2948" s="20">
        <f t="shared" si="890"/>
        <v>0.14030125523967318</v>
      </c>
      <c r="AL2948" s="17"/>
      <c r="AM2948" s="17"/>
      <c r="AN2948" s="17"/>
      <c r="AO2948" s="17"/>
      <c r="AP2948" s="28" t="str">
        <f t="shared" si="891"/>
        <v>20233</v>
      </c>
      <c r="AQ2948" s="28" t="str">
        <f t="shared" si="892"/>
        <v>20233RMB</v>
      </c>
      <c r="AR2948" s="206" t="str">
        <f t="shared" si="893"/>
        <v>YAMAHA_Mounter</v>
      </c>
      <c r="AS2948" s="22">
        <f t="shared" si="894"/>
        <v>1</v>
      </c>
      <c r="AT2948" s="24" t="str">
        <f t="shared" si="895"/>
        <v>0-3 months</v>
      </c>
    </row>
    <row r="2949" spans="1:46" s="12" customFormat="1">
      <c r="A2949" s="33" t="str">
        <f t="shared" si="883"/>
        <v>FY 22/23</v>
      </c>
      <c r="B2949" s="152">
        <v>2023</v>
      </c>
      <c r="C2949" s="152">
        <v>2</v>
      </c>
      <c r="D2949" s="33" t="str">
        <f t="shared" si="884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85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86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97"/>
        <v>1.13</v>
      </c>
      <c r="Z2949" s="18">
        <f t="shared" si="881"/>
        <v>415000</v>
      </c>
      <c r="AA2949" s="13">
        <v>1.1299999999999999</v>
      </c>
      <c r="AB2949" s="21">
        <f t="shared" si="887"/>
        <v>415000</v>
      </c>
      <c r="AC2949" s="130">
        <f t="shared" si="888"/>
        <v>29921.5</v>
      </c>
      <c r="AD2949" s="169">
        <v>7.2099999999999997E-2</v>
      </c>
      <c r="AE2949" s="154">
        <f t="shared" si="889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98"/>
        <v>33543315.897345133</v>
      </c>
      <c r="AJ2949" s="19">
        <f t="shared" si="899"/>
        <v>4706169.3252984071</v>
      </c>
      <c r="AK2949" s="20">
        <f t="shared" si="890"/>
        <v>0.14030125523967318</v>
      </c>
      <c r="AL2949" s="17"/>
      <c r="AM2949" s="17"/>
      <c r="AN2949" s="17"/>
      <c r="AO2949" s="17"/>
      <c r="AP2949" s="28" t="str">
        <f t="shared" si="891"/>
        <v>20233</v>
      </c>
      <c r="AQ2949" s="28" t="str">
        <f t="shared" si="892"/>
        <v>20233RMB</v>
      </c>
      <c r="AR2949" s="206" t="str">
        <f t="shared" si="893"/>
        <v>YAMAHA_Mounter</v>
      </c>
      <c r="AS2949" s="22">
        <f t="shared" si="894"/>
        <v>1</v>
      </c>
      <c r="AT2949" s="24" t="str">
        <f t="shared" si="895"/>
        <v>0-3 months</v>
      </c>
    </row>
    <row r="2950" spans="1:46" s="12" customFormat="1">
      <c r="A2950" s="33" t="str">
        <f t="shared" si="883"/>
        <v>FY 22/23</v>
      </c>
      <c r="B2950" s="152">
        <v>2023</v>
      </c>
      <c r="C2950" s="152">
        <v>2</v>
      </c>
      <c r="D2950" s="33" t="str">
        <f t="shared" si="884"/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si="885"/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86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97"/>
        <v>1.13</v>
      </c>
      <c r="Z2950" s="18">
        <f t="shared" si="881"/>
        <v>415000</v>
      </c>
      <c r="AA2950" s="13">
        <v>1.1299999999999999</v>
      </c>
      <c r="AB2950" s="21">
        <f t="shared" si="887"/>
        <v>415000</v>
      </c>
      <c r="AC2950" s="130">
        <f t="shared" si="888"/>
        <v>29921.5</v>
      </c>
      <c r="AD2950" s="169">
        <v>7.2099999999999997E-2</v>
      </c>
      <c r="AE2950" s="154">
        <f t="shared" si="889"/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98"/>
        <v>33543315.897345133</v>
      </c>
      <c r="AJ2950" s="19">
        <f t="shared" si="899"/>
        <v>4706169.3252984071</v>
      </c>
      <c r="AK2950" s="20">
        <f t="shared" si="890"/>
        <v>0.14030125523967318</v>
      </c>
      <c r="AL2950" s="17"/>
      <c r="AM2950" s="17"/>
      <c r="AN2950" s="17"/>
      <c r="AO2950" s="17"/>
      <c r="AP2950" s="28" t="str">
        <f t="shared" si="891"/>
        <v>20233</v>
      </c>
      <c r="AQ2950" s="28" t="str">
        <f t="shared" si="892"/>
        <v>20233RMB</v>
      </c>
      <c r="AR2950" s="206" t="str">
        <f t="shared" si="893"/>
        <v>YAMAHA_Mounter</v>
      </c>
      <c r="AS2950" s="22">
        <f t="shared" si="894"/>
        <v>1</v>
      </c>
      <c r="AT2950" s="24" t="str">
        <f t="shared" si="895"/>
        <v>0-3 months</v>
      </c>
    </row>
    <row r="2951" spans="1:46" s="12" customFormat="1">
      <c r="A2951" s="33" t="str">
        <f t="shared" si="883"/>
        <v>FY 23/24</v>
      </c>
      <c r="B2951" s="152">
        <v>2023</v>
      </c>
      <c r="C2951" s="152">
        <v>11</v>
      </c>
      <c r="D2951" s="33" t="str">
        <f t="shared" si="884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5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86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81"/>
        <v>12200000</v>
      </c>
      <c r="AA2951" s="13">
        <v>5.3400000000000003E-2</v>
      </c>
      <c r="AB2951" s="21">
        <f t="shared" si="887"/>
        <v>651480</v>
      </c>
      <c r="AC2951" s="130">
        <f t="shared" si="888"/>
        <v>81500.147999999986</v>
      </c>
      <c r="AD2951" s="169">
        <v>0.12509999999999999</v>
      </c>
      <c r="AE2951" s="154">
        <f t="shared" si="889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98"/>
        <v>11730565.00042478</v>
      </c>
      <c r="AJ2951" s="19">
        <f t="shared" si="899"/>
        <v>1439625.5685810833</v>
      </c>
      <c r="AK2951" s="20">
        <f t="shared" si="890"/>
        <v>0.12272431622253084</v>
      </c>
      <c r="AL2951" s="17"/>
      <c r="AM2951" s="17"/>
      <c r="AN2951" s="17"/>
      <c r="AO2951" s="17"/>
      <c r="AP2951" s="28" t="str">
        <f t="shared" si="891"/>
        <v>202311</v>
      </c>
      <c r="AQ2951" s="28" t="str">
        <f t="shared" si="892"/>
        <v>202311JPY</v>
      </c>
      <c r="AR2951" s="206" t="str">
        <f t="shared" si="893"/>
        <v>YAMAHA_Mounter</v>
      </c>
      <c r="AS2951" s="22">
        <f t="shared" si="894"/>
        <v>0</v>
      </c>
      <c r="AT2951" s="24" t="str">
        <f t="shared" si="895"/>
        <v>0-3 months</v>
      </c>
    </row>
    <row r="2952" spans="1:46" s="12" customFormat="1">
      <c r="A2952" s="33" t="str">
        <f t="shared" si="883"/>
        <v>FY 23/24</v>
      </c>
      <c r="B2952" s="152">
        <v>2023</v>
      </c>
      <c r="C2952" s="152">
        <v>11</v>
      </c>
      <c r="D2952" s="33" t="str">
        <f t="shared" si="884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5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86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81"/>
        <v>7200000</v>
      </c>
      <c r="AA2952" s="13">
        <v>5.3400000000000003E-2</v>
      </c>
      <c r="AB2952" s="21">
        <f t="shared" si="887"/>
        <v>384480</v>
      </c>
      <c r="AC2952" s="130">
        <f t="shared" si="888"/>
        <v>48098.447999999997</v>
      </c>
      <c r="AD2952" s="169">
        <v>0.12509999999999999</v>
      </c>
      <c r="AE2952" s="154">
        <f t="shared" si="889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98"/>
        <v>11730565.00042478</v>
      </c>
      <c r="AJ2952" s="19">
        <f t="shared" si="899"/>
        <v>1439625.5685810833</v>
      </c>
      <c r="AK2952" s="20">
        <f t="shared" si="890"/>
        <v>0.12272431622253084</v>
      </c>
      <c r="AL2952" s="17"/>
      <c r="AM2952" s="17"/>
      <c r="AN2952" s="17"/>
      <c r="AO2952" s="17"/>
      <c r="AP2952" s="28" t="str">
        <f t="shared" si="891"/>
        <v>202311</v>
      </c>
      <c r="AQ2952" s="28" t="str">
        <f t="shared" si="892"/>
        <v>202311JPY</v>
      </c>
      <c r="AR2952" s="206" t="str">
        <f t="shared" si="893"/>
        <v>YAMAHA_Mounter</v>
      </c>
      <c r="AS2952" s="22">
        <f t="shared" si="894"/>
        <v>0</v>
      </c>
      <c r="AT2952" s="24" t="str">
        <f t="shared" si="895"/>
        <v>0-3 months</v>
      </c>
    </row>
    <row r="2953" spans="1:46" s="12" customFormat="1">
      <c r="A2953" s="33" t="str">
        <f t="shared" si="883"/>
        <v>FY 23/24</v>
      </c>
      <c r="B2953" s="152">
        <v>2023</v>
      </c>
      <c r="C2953" s="152">
        <v>11</v>
      </c>
      <c r="D2953" s="33" t="str">
        <f t="shared" si="884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5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86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81"/>
        <v>8160000</v>
      </c>
      <c r="AA2953" s="13">
        <v>5.3100000000000001E-2</v>
      </c>
      <c r="AB2953" s="21">
        <f t="shared" si="887"/>
        <v>433296</v>
      </c>
      <c r="AC2953" s="130">
        <f t="shared" si="888"/>
        <v>103471.08480000001</v>
      </c>
      <c r="AD2953" s="209">
        <v>0.23880000000000001</v>
      </c>
      <c r="AE2953" s="154">
        <f t="shared" si="889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98"/>
        <v>21194662.454867262</v>
      </c>
      <c r="AJ2953" s="19">
        <f t="shared" si="899"/>
        <v>2981431.5970757701</v>
      </c>
      <c r="AK2953" s="20">
        <f t="shared" si="890"/>
        <v>0.14066898226968919</v>
      </c>
      <c r="AL2953" s="17"/>
      <c r="AM2953" s="17"/>
      <c r="AN2953" s="17"/>
      <c r="AO2953" s="17"/>
      <c r="AP2953" s="28" t="str">
        <f t="shared" si="891"/>
        <v>20243</v>
      </c>
      <c r="AQ2953" s="28" t="str">
        <f t="shared" si="892"/>
        <v>20243JPY</v>
      </c>
      <c r="AR2953" s="206" t="str">
        <f t="shared" si="893"/>
        <v>YAMAHA_Non_Mounter</v>
      </c>
      <c r="AS2953" s="22">
        <f t="shared" si="894"/>
        <v>4</v>
      </c>
      <c r="AT2953" s="24" t="str">
        <f t="shared" si="895"/>
        <v>4-6 months</v>
      </c>
    </row>
    <row r="2954" spans="1:46" s="12" customFormat="1">
      <c r="A2954" s="33" t="str">
        <f t="shared" si="883"/>
        <v>FY 23/24</v>
      </c>
      <c r="B2954" s="23">
        <v>2024</v>
      </c>
      <c r="C2954" s="152">
        <v>3</v>
      </c>
      <c r="D2954" s="33" t="str">
        <f t="shared" si="884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5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86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si="881"/>
        <v>669000</v>
      </c>
      <c r="AA2954" s="22">
        <v>1.0900000000000001</v>
      </c>
      <c r="AB2954" s="21">
        <f t="shared" si="887"/>
        <v>645318.5840707965</v>
      </c>
      <c r="AC2954" s="25">
        <f t="shared" si="888"/>
        <v>29555.59115044248</v>
      </c>
      <c r="AD2954" s="209">
        <v>4.58E-2</v>
      </c>
      <c r="AE2954" s="26">
        <f t="shared" si="889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98"/>
        <v>21194662.454867262</v>
      </c>
      <c r="AJ2954" s="27">
        <f t="shared" si="899"/>
        <v>2981431.5970757701</v>
      </c>
      <c r="AK2954" s="28">
        <f t="shared" si="890"/>
        <v>0.14066898226968919</v>
      </c>
      <c r="AL2954" s="24"/>
      <c r="AM2954" s="24"/>
      <c r="AN2954" s="24"/>
      <c r="AO2954" s="24"/>
      <c r="AP2954" s="28" t="str">
        <f t="shared" si="891"/>
        <v>20243</v>
      </c>
      <c r="AQ2954" s="28" t="str">
        <f t="shared" si="892"/>
        <v>20243RMB</v>
      </c>
      <c r="AR2954" s="206" t="str">
        <f t="shared" si="893"/>
        <v>YAMAHA_Mounter</v>
      </c>
      <c r="AS2954" s="22">
        <f t="shared" si="894"/>
        <v>0</v>
      </c>
      <c r="AT2954" s="24" t="str">
        <f t="shared" si="895"/>
        <v>0-3 months</v>
      </c>
    </row>
    <row r="2955" spans="1:46" s="12" customFormat="1">
      <c r="A2955" s="33" t="str">
        <f t="shared" si="883"/>
        <v>FY 23/24</v>
      </c>
      <c r="B2955" s="23">
        <v>2024</v>
      </c>
      <c r="C2955" s="152">
        <v>3</v>
      </c>
      <c r="D2955" s="33" t="str">
        <f t="shared" si="884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5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86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81"/>
        <v>669000</v>
      </c>
      <c r="AA2955" s="22">
        <v>1.0900000000000001</v>
      </c>
      <c r="AB2955" s="21">
        <f t="shared" si="887"/>
        <v>645318.5840707965</v>
      </c>
      <c r="AC2955" s="25">
        <f t="shared" si="888"/>
        <v>29555.59115044248</v>
      </c>
      <c r="AD2955" s="162">
        <v>4.58E-2</v>
      </c>
      <c r="AE2955" s="26">
        <f t="shared" si="889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98"/>
        <v>21194662.454867262</v>
      </c>
      <c r="AJ2955" s="27">
        <f t="shared" si="899"/>
        <v>2981431.5970757701</v>
      </c>
      <c r="AK2955" s="28">
        <f t="shared" si="890"/>
        <v>0.14066898226968919</v>
      </c>
      <c r="AL2955" s="24"/>
      <c r="AM2955" s="24"/>
      <c r="AN2955" s="24"/>
      <c r="AO2955" s="24"/>
      <c r="AP2955" s="28" t="str">
        <f t="shared" si="891"/>
        <v>20243</v>
      </c>
      <c r="AQ2955" s="28" t="str">
        <f t="shared" si="892"/>
        <v>20243RMB</v>
      </c>
      <c r="AR2955" s="206" t="str">
        <f t="shared" si="893"/>
        <v>YAMAHA_Mounter</v>
      </c>
      <c r="AS2955" s="22">
        <f t="shared" si="894"/>
        <v>0</v>
      </c>
      <c r="AT2955" s="24" t="str">
        <f t="shared" si="895"/>
        <v>0-3 months</v>
      </c>
    </row>
    <row r="2956" spans="1:46" s="12" customFormat="1">
      <c r="A2956" s="33" t="str">
        <f t="shared" si="883"/>
        <v>cancel</v>
      </c>
      <c r="B2956" s="152"/>
      <c r="C2956" s="152" t="s">
        <v>186</v>
      </c>
      <c r="D2956" s="33" t="str">
        <f t="shared" si="884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5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86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81"/>
        <v>6500000</v>
      </c>
      <c r="AA2956" s="13">
        <v>7.4899999999999994E-2</v>
      </c>
      <c r="AB2956" s="21">
        <f t="shared" si="887"/>
        <v>486849.99999999994</v>
      </c>
      <c r="AC2956" s="130">
        <f t="shared" si="888"/>
        <v>58421.999999999993</v>
      </c>
      <c r="AD2956" s="169">
        <v>0.12</v>
      </c>
      <c r="AE2956" s="154">
        <f t="shared" si="889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98"/>
        <v>477651199.57437885</v>
      </c>
      <c r="AJ2956" s="19">
        <f t="shared" si="899"/>
        <v>56918800.518691957</v>
      </c>
      <c r="AK2956" s="20">
        <f t="shared" si="890"/>
        <v>0.11916394341605475</v>
      </c>
      <c r="AL2956" s="17"/>
      <c r="AM2956" s="17"/>
      <c r="AN2956" s="17"/>
      <c r="AO2956" s="17"/>
      <c r="AP2956" s="28" t="str">
        <f t="shared" si="891"/>
        <v>CancelCancel</v>
      </c>
      <c r="AQ2956" s="28" t="str">
        <f t="shared" si="892"/>
        <v>CancelCancelJPY</v>
      </c>
      <c r="AR2956" s="206" t="str">
        <f t="shared" si="893"/>
        <v>YAMAHA_Mounter</v>
      </c>
      <c r="AS2956" s="22" t="str">
        <f t="shared" si="894"/>
        <v/>
      </c>
      <c r="AT2956" s="24" t="str">
        <f t="shared" si="895"/>
        <v/>
      </c>
    </row>
    <row r="2957" spans="1:46" s="12" customFormat="1">
      <c r="A2957" s="33" t="str">
        <f t="shared" si="883"/>
        <v>FY 18/19</v>
      </c>
      <c r="B2957" s="152">
        <v>2018</v>
      </c>
      <c r="C2957" s="152">
        <v>10</v>
      </c>
      <c r="D2957" s="33" t="str">
        <f t="shared" si="884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5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86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81"/>
        <v>9000000</v>
      </c>
      <c r="AA2957" s="13">
        <v>7.0199999999999999E-2</v>
      </c>
      <c r="AB2957" s="21">
        <f t="shared" si="887"/>
        <v>631800</v>
      </c>
      <c r="AC2957" s="130">
        <f t="shared" si="888"/>
        <v>74046.959999999992</v>
      </c>
      <c r="AD2957" s="169">
        <v>0.1172</v>
      </c>
      <c r="AE2957" s="154">
        <f t="shared" si="889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98"/>
        <v>10786543.370020689</v>
      </c>
      <c r="AJ2957" s="19">
        <f t="shared" si="899"/>
        <v>1330367.5841569281</v>
      </c>
      <c r="AK2957" s="20">
        <f t="shared" si="890"/>
        <v>0.123335858255987</v>
      </c>
      <c r="AL2957" s="17"/>
      <c r="AM2957" s="17"/>
      <c r="AN2957" s="17"/>
      <c r="AO2957" s="17"/>
      <c r="AP2957" s="28" t="str">
        <f t="shared" si="891"/>
        <v>201810</v>
      </c>
      <c r="AQ2957" s="28" t="str">
        <f t="shared" si="892"/>
        <v>201810JPY</v>
      </c>
      <c r="AR2957" s="206" t="str">
        <f t="shared" si="893"/>
        <v>YAMAHA_Mounter</v>
      </c>
      <c r="AS2957" s="22">
        <f t="shared" si="894"/>
        <v>0</v>
      </c>
      <c r="AT2957" s="24" t="str">
        <f t="shared" si="895"/>
        <v>0-3 months</v>
      </c>
    </row>
    <row r="2958" spans="1:46" s="12" customFormat="1">
      <c r="A2958" s="33" t="str">
        <f t="shared" si="883"/>
        <v>FY 18/19</v>
      </c>
      <c r="B2958" s="152">
        <v>2018</v>
      </c>
      <c r="C2958" s="152">
        <v>10</v>
      </c>
      <c r="D2958" s="33" t="str">
        <f t="shared" si="884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5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86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81"/>
        <v>14000000</v>
      </c>
      <c r="AA2958" s="13">
        <v>7.0199999999999999E-2</v>
      </c>
      <c r="AB2958" s="21">
        <f t="shared" si="887"/>
        <v>982800</v>
      </c>
      <c r="AC2958" s="130">
        <f t="shared" si="888"/>
        <v>115184.16</v>
      </c>
      <c r="AD2958" s="169">
        <v>0.1172</v>
      </c>
      <c r="AE2958" s="154">
        <f t="shared" si="889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98"/>
        <v>10786543.370020689</v>
      </c>
      <c r="AJ2958" s="19">
        <f t="shared" si="899"/>
        <v>1330367.5841569281</v>
      </c>
      <c r="AK2958" s="20">
        <f t="shared" si="890"/>
        <v>0.123335858255987</v>
      </c>
      <c r="AL2958" s="17"/>
      <c r="AM2958" s="17"/>
      <c r="AN2958" s="17"/>
      <c r="AO2958" s="17"/>
      <c r="AP2958" s="28" t="str">
        <f t="shared" si="891"/>
        <v>201810</v>
      </c>
      <c r="AQ2958" s="28" t="str">
        <f t="shared" si="892"/>
        <v>201810JPY</v>
      </c>
      <c r="AR2958" s="206" t="str">
        <f t="shared" si="893"/>
        <v>YAMAHA_Mounter</v>
      </c>
      <c r="AS2958" s="22">
        <f t="shared" si="894"/>
        <v>0</v>
      </c>
      <c r="AT2958" s="24" t="str">
        <f t="shared" si="895"/>
        <v>0-3 months</v>
      </c>
    </row>
    <row r="2959" spans="1:46" s="12" customFormat="1">
      <c r="A2959" s="33" t="str">
        <f t="shared" si="883"/>
        <v>FY 18/19</v>
      </c>
      <c r="B2959" s="152">
        <v>2018</v>
      </c>
      <c r="C2959" s="152">
        <v>10</v>
      </c>
      <c r="D2959" s="33" t="str">
        <f t="shared" si="884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5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86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81"/>
        <v>14000000</v>
      </c>
      <c r="AA2959" s="13">
        <v>7.0199999999999999E-2</v>
      </c>
      <c r="AB2959" s="21">
        <f t="shared" si="887"/>
        <v>982800</v>
      </c>
      <c r="AC2959" s="130">
        <f t="shared" si="888"/>
        <v>115184.16</v>
      </c>
      <c r="AD2959" s="169">
        <v>0.1172</v>
      </c>
      <c r="AE2959" s="154">
        <f t="shared" si="889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98"/>
        <v>10786543.370020689</v>
      </c>
      <c r="AJ2959" s="19">
        <f t="shared" si="899"/>
        <v>1330367.5841569281</v>
      </c>
      <c r="AK2959" s="20">
        <f t="shared" si="890"/>
        <v>0.123335858255987</v>
      </c>
      <c r="AL2959" s="17"/>
      <c r="AM2959" s="17"/>
      <c r="AN2959" s="17"/>
      <c r="AO2959" s="17"/>
      <c r="AP2959" s="28" t="str">
        <f t="shared" si="891"/>
        <v>201810</v>
      </c>
      <c r="AQ2959" s="28" t="str">
        <f t="shared" si="892"/>
        <v>201810JPY</v>
      </c>
      <c r="AR2959" s="206" t="str">
        <f t="shared" si="893"/>
        <v>YAMAHA_Mounter</v>
      </c>
      <c r="AS2959" s="22">
        <f t="shared" si="894"/>
        <v>0</v>
      </c>
      <c r="AT2959" s="24" t="str">
        <f t="shared" si="895"/>
        <v>0-3 months</v>
      </c>
    </row>
    <row r="2960" spans="1:46" s="12" customFormat="1">
      <c r="A2960" s="33" t="str">
        <f t="shared" si="883"/>
        <v>cancel</v>
      </c>
      <c r="B2960" s="152"/>
      <c r="C2960" s="152" t="s">
        <v>186</v>
      </c>
      <c r="D2960" s="33" t="str">
        <f t="shared" si="884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5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86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81"/>
        <v>9000000</v>
      </c>
      <c r="AA2960" s="13">
        <v>7.17E-2</v>
      </c>
      <c r="AB2960" s="21">
        <f t="shared" si="887"/>
        <v>645300</v>
      </c>
      <c r="AC2960" s="130">
        <f t="shared" si="888"/>
        <v>77436</v>
      </c>
      <c r="AD2960" s="169">
        <v>0.12</v>
      </c>
      <c r="AE2960" s="154">
        <f t="shared" si="889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98"/>
        <v>477651199.57437885</v>
      </c>
      <c r="AJ2960" s="19">
        <f t="shared" si="899"/>
        <v>56918800.518691957</v>
      </c>
      <c r="AK2960" s="20">
        <f t="shared" si="890"/>
        <v>0.11916394341605475</v>
      </c>
      <c r="AL2960" s="17"/>
      <c r="AM2960" s="17"/>
      <c r="AN2960" s="17"/>
      <c r="AO2960" s="17"/>
      <c r="AP2960" s="28" t="str">
        <f t="shared" si="891"/>
        <v>CancelCancel</v>
      </c>
      <c r="AQ2960" s="28" t="str">
        <f t="shared" si="892"/>
        <v>CancelCancelJPY</v>
      </c>
      <c r="AR2960" s="206" t="str">
        <f t="shared" si="893"/>
        <v>YAMAHA_Mounter</v>
      </c>
      <c r="AS2960" s="22" t="str">
        <f t="shared" si="894"/>
        <v/>
      </c>
      <c r="AT2960" s="24" t="str">
        <f t="shared" si="895"/>
        <v/>
      </c>
    </row>
    <row r="2961" spans="1:46" s="12" customFormat="1">
      <c r="A2961" s="33" t="str">
        <f t="shared" si="883"/>
        <v>cancel</v>
      </c>
      <c r="B2961" s="152"/>
      <c r="C2961" s="152" t="s">
        <v>186</v>
      </c>
      <c r="D2961" s="33" t="str">
        <f t="shared" si="884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5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86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81"/>
        <v>9000000</v>
      </c>
      <c r="AA2961" s="13">
        <v>7.17E-2</v>
      </c>
      <c r="AB2961" s="21">
        <f t="shared" si="887"/>
        <v>645300</v>
      </c>
      <c r="AC2961" s="130">
        <f t="shared" si="888"/>
        <v>77436</v>
      </c>
      <c r="AD2961" s="169">
        <v>0.12</v>
      </c>
      <c r="AE2961" s="154">
        <f t="shared" si="889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98"/>
        <v>477651199.57437885</v>
      </c>
      <c r="AJ2961" s="19">
        <f t="shared" si="899"/>
        <v>56918800.518691957</v>
      </c>
      <c r="AK2961" s="20">
        <f t="shared" si="890"/>
        <v>0.11916394341605475</v>
      </c>
      <c r="AL2961" s="17"/>
      <c r="AM2961" s="17"/>
      <c r="AN2961" s="17"/>
      <c r="AO2961" s="17"/>
      <c r="AP2961" s="28" t="str">
        <f t="shared" si="891"/>
        <v>CancelCancel</v>
      </c>
      <c r="AQ2961" s="28" t="str">
        <f t="shared" si="892"/>
        <v>CancelCancelJPY</v>
      </c>
      <c r="AR2961" s="206" t="str">
        <f t="shared" si="893"/>
        <v>YAMAHA_Mounter</v>
      </c>
      <c r="AS2961" s="22" t="str">
        <f t="shared" si="894"/>
        <v/>
      </c>
      <c r="AT2961" s="24" t="str">
        <f t="shared" si="895"/>
        <v/>
      </c>
    </row>
    <row r="2962" spans="1:46" s="12" customFormat="1">
      <c r="A2962" s="33" t="str">
        <f t="shared" si="883"/>
        <v>cancel</v>
      </c>
      <c r="B2962" s="152"/>
      <c r="C2962" s="152" t="s">
        <v>186</v>
      </c>
      <c r="D2962" s="33" t="str">
        <f t="shared" si="884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5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86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81"/>
        <v>13275000</v>
      </c>
      <c r="AA2962" s="13">
        <v>7.1599999999999997E-2</v>
      </c>
      <c r="AB2962" s="21">
        <f t="shared" si="887"/>
        <v>950490</v>
      </c>
      <c r="AC2962" s="130">
        <f t="shared" si="888"/>
        <v>114058.8</v>
      </c>
      <c r="AD2962" s="169">
        <v>0.12</v>
      </c>
      <c r="AE2962" s="154">
        <f t="shared" si="889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98"/>
        <v>477651199.57437885</v>
      </c>
      <c r="AJ2962" s="19">
        <f t="shared" si="899"/>
        <v>56918800.518691957</v>
      </c>
      <c r="AK2962" s="20">
        <f t="shared" si="890"/>
        <v>0.11916394341605475</v>
      </c>
      <c r="AL2962" s="17"/>
      <c r="AM2962" s="17"/>
      <c r="AN2962" s="17"/>
      <c r="AO2962" s="17"/>
      <c r="AP2962" s="28" t="str">
        <f t="shared" si="891"/>
        <v>CancelCancel</v>
      </c>
      <c r="AQ2962" s="28" t="str">
        <f t="shared" si="892"/>
        <v>CancelCancelJPY</v>
      </c>
      <c r="AR2962" s="206" t="str">
        <f t="shared" si="893"/>
        <v>YAMAHA_Mounter</v>
      </c>
      <c r="AS2962" s="22" t="str">
        <f t="shared" si="894"/>
        <v/>
      </c>
      <c r="AT2962" s="24" t="str">
        <f t="shared" si="895"/>
        <v/>
      </c>
    </row>
    <row r="2963" spans="1:46" s="12" customFormat="1">
      <c r="A2963" s="33" t="str">
        <f t="shared" si="883"/>
        <v>cancel</v>
      </c>
      <c r="B2963" s="152"/>
      <c r="C2963" s="152" t="s">
        <v>186</v>
      </c>
      <c r="D2963" s="33" t="str">
        <f t="shared" si="884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5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86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81"/>
        <v>13275000</v>
      </c>
      <c r="AA2963" s="13">
        <v>7.17E-2</v>
      </c>
      <c r="AB2963" s="21">
        <f t="shared" si="887"/>
        <v>951817.5</v>
      </c>
      <c r="AC2963" s="130">
        <f t="shared" si="888"/>
        <v>114218.09999999999</v>
      </c>
      <c r="AD2963" s="169">
        <v>0.12</v>
      </c>
      <c r="AE2963" s="154">
        <f t="shared" si="889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98"/>
        <v>477651199.57437885</v>
      </c>
      <c r="AJ2963" s="19">
        <f t="shared" si="899"/>
        <v>56918800.518691957</v>
      </c>
      <c r="AK2963" s="20">
        <f t="shared" si="890"/>
        <v>0.11916394341605475</v>
      </c>
      <c r="AL2963" s="17"/>
      <c r="AM2963" s="17"/>
      <c r="AN2963" s="17"/>
      <c r="AO2963" s="17"/>
      <c r="AP2963" s="28" t="str">
        <f t="shared" si="891"/>
        <v>CancelCancel</v>
      </c>
      <c r="AQ2963" s="28" t="str">
        <f t="shared" si="892"/>
        <v>CancelCancelJPY</v>
      </c>
      <c r="AR2963" s="206" t="str">
        <f t="shared" si="893"/>
        <v>YAMAHA_Mounter</v>
      </c>
      <c r="AS2963" s="22" t="str">
        <f t="shared" si="894"/>
        <v/>
      </c>
      <c r="AT2963" s="24" t="str">
        <f t="shared" si="895"/>
        <v/>
      </c>
    </row>
    <row r="2964" spans="1:46" s="12" customFormat="1">
      <c r="A2964" s="33" t="str">
        <f t="shared" si="883"/>
        <v>FY 19/20</v>
      </c>
      <c r="B2964" s="152">
        <v>2020</v>
      </c>
      <c r="C2964" s="152">
        <v>1</v>
      </c>
      <c r="D2964" s="33" t="str">
        <f t="shared" si="884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5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86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81"/>
        <v>14500000</v>
      </c>
      <c r="AA2964" s="13">
        <v>7.2999999999999995E-2</v>
      </c>
      <c r="AB2964" s="21">
        <f t="shared" si="887"/>
        <v>1058500</v>
      </c>
      <c r="AC2964" s="130">
        <f t="shared" si="888"/>
        <v>201220.84999999998</v>
      </c>
      <c r="AD2964" s="169">
        <v>0.19009999999999999</v>
      </c>
      <c r="AE2964" s="154">
        <f t="shared" si="889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98"/>
        <v>23168285.927433632</v>
      </c>
      <c r="AJ2964" s="19">
        <f t="shared" si="899"/>
        <v>2764878.916878053</v>
      </c>
      <c r="AK2964" s="20">
        <f t="shared" si="890"/>
        <v>0.11933895004309111</v>
      </c>
      <c r="AL2964" s="17"/>
      <c r="AM2964" s="17"/>
      <c r="AN2964" s="17"/>
      <c r="AO2964" s="17"/>
      <c r="AP2964" s="28" t="str">
        <f t="shared" si="891"/>
        <v>20203</v>
      </c>
      <c r="AQ2964" s="28" t="str">
        <f t="shared" si="892"/>
        <v>20203JPY</v>
      </c>
      <c r="AR2964" s="206" t="str">
        <f t="shared" si="893"/>
        <v>YAMAHA_Mounter</v>
      </c>
      <c r="AS2964" s="22">
        <f t="shared" si="894"/>
        <v>2</v>
      </c>
      <c r="AT2964" s="24" t="str">
        <f t="shared" si="895"/>
        <v>0-3 months</v>
      </c>
    </row>
    <row r="2965" spans="1:46" s="12" customFormat="1">
      <c r="A2965" s="33" t="str">
        <f t="shared" si="883"/>
        <v>FY 22/23</v>
      </c>
      <c r="B2965" s="152">
        <v>2022</v>
      </c>
      <c r="C2965" s="152">
        <v>4</v>
      </c>
      <c r="D2965" s="33" t="str">
        <f t="shared" si="884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5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86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81"/>
        <v>13900000</v>
      </c>
      <c r="AA2965" s="13">
        <v>5.5599999999999997E-2</v>
      </c>
      <c r="AB2965" s="21">
        <f t="shared" si="887"/>
        <v>772840</v>
      </c>
      <c r="AC2965" s="130">
        <f t="shared" si="888"/>
        <v>77747.703999999998</v>
      </c>
      <c r="AD2965" s="169">
        <v>0.10059999999999999</v>
      </c>
      <c r="AE2965" s="154">
        <f t="shared" si="889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98"/>
        <v>1545680</v>
      </c>
      <c r="AJ2965" s="19">
        <f t="shared" si="899"/>
        <v>155495.408</v>
      </c>
      <c r="AK2965" s="20">
        <f t="shared" si="890"/>
        <v>0.10059999999999999</v>
      </c>
      <c r="AL2965" s="17"/>
      <c r="AM2965" s="17"/>
      <c r="AN2965" s="17"/>
      <c r="AO2965" s="17"/>
      <c r="AP2965" s="28" t="str">
        <f t="shared" si="891"/>
        <v>2024TBA</v>
      </c>
      <c r="AQ2965" s="28" t="str">
        <f t="shared" si="892"/>
        <v>2024TBAJPY</v>
      </c>
      <c r="AR2965" s="206" t="str">
        <f t="shared" si="893"/>
        <v>YAMAHA_Mounter</v>
      </c>
      <c r="AS2965" s="22" t="str">
        <f t="shared" si="894"/>
        <v/>
      </c>
      <c r="AT2965" s="24" t="str">
        <f t="shared" si="895"/>
        <v/>
      </c>
    </row>
    <row r="2966" spans="1:46" s="12" customFormat="1">
      <c r="A2966" s="33" t="str">
        <f t="shared" si="883"/>
        <v>FY 22/23</v>
      </c>
      <c r="B2966" s="152">
        <v>2022</v>
      </c>
      <c r="C2966" s="152">
        <v>4</v>
      </c>
      <c r="D2966" s="33" t="str">
        <f t="shared" si="884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5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si="886"/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ref="Z2966:Z3029" si="900">IF(X2966="","",X2966*MAX(O2966,N2966))</f>
        <v>13900000</v>
      </c>
      <c r="AA2966" s="13">
        <v>5.5599999999999997E-2</v>
      </c>
      <c r="AB2966" s="21">
        <f t="shared" si="887"/>
        <v>772840</v>
      </c>
      <c r="AC2966" s="130">
        <f t="shared" si="888"/>
        <v>77747.703999999998</v>
      </c>
      <c r="AD2966" s="169">
        <v>0.10059999999999999</v>
      </c>
      <c r="AE2966" s="154">
        <f t="shared" si="889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98"/>
        <v>1545680</v>
      </c>
      <c r="AJ2966" s="19">
        <f t="shared" si="899"/>
        <v>155495.408</v>
      </c>
      <c r="AK2966" s="20">
        <f t="shared" si="890"/>
        <v>0.10059999999999999</v>
      </c>
      <c r="AL2966" s="17"/>
      <c r="AM2966" s="17"/>
      <c r="AN2966" s="17"/>
      <c r="AO2966" s="17"/>
      <c r="AP2966" s="28" t="str">
        <f t="shared" si="891"/>
        <v>2024TBA</v>
      </c>
      <c r="AQ2966" s="28" t="str">
        <f t="shared" si="892"/>
        <v>2024TBAJPY</v>
      </c>
      <c r="AR2966" s="206" t="str">
        <f t="shared" si="893"/>
        <v>YAMAHA_Mounter</v>
      </c>
      <c r="AS2966" s="22" t="str">
        <f t="shared" si="894"/>
        <v/>
      </c>
      <c r="AT2966" s="24" t="str">
        <f t="shared" si="895"/>
        <v/>
      </c>
    </row>
    <row r="2967" spans="1:46" s="12" customFormat="1">
      <c r="A2967" s="33" t="str">
        <f t="shared" si="883"/>
        <v>FY 23/24</v>
      </c>
      <c r="B2967" s="23">
        <v>2024</v>
      </c>
      <c r="C2967" s="152">
        <v>3</v>
      </c>
      <c r="D2967" s="33" t="str">
        <f t="shared" si="884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5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86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900"/>
        <v>12300000</v>
      </c>
      <c r="AA2967" s="13">
        <v>4.9500000000000002E-2</v>
      </c>
      <c r="AB2967" s="21">
        <f t="shared" si="887"/>
        <v>608850</v>
      </c>
      <c r="AC2967" s="25">
        <f t="shared" si="888"/>
        <v>73062</v>
      </c>
      <c r="AD2967" s="169">
        <v>0.12</v>
      </c>
      <c r="AE2967" s="26">
        <f t="shared" si="889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98"/>
        <v>477651199.57437885</v>
      </c>
      <c r="AJ2967" s="27">
        <f t="shared" si="899"/>
        <v>56918800.518691957</v>
      </c>
      <c r="AK2967" s="28">
        <f t="shared" si="890"/>
        <v>0.11916394341605475</v>
      </c>
      <c r="AL2967" s="24"/>
      <c r="AM2967" s="24"/>
      <c r="AN2967" s="24"/>
      <c r="AO2967" s="24"/>
      <c r="AP2967" s="28" t="str">
        <f t="shared" si="891"/>
        <v>CancelCancel</v>
      </c>
      <c r="AQ2967" s="28" t="str">
        <f t="shared" si="892"/>
        <v>CancelCancelJPY</v>
      </c>
      <c r="AR2967" s="206" t="str">
        <f t="shared" si="893"/>
        <v>YAMAHA_Mounter</v>
      </c>
      <c r="AS2967" s="22" t="str">
        <f t="shared" si="894"/>
        <v/>
      </c>
      <c r="AT2967" s="24" t="str">
        <f t="shared" si="895"/>
        <v/>
      </c>
    </row>
    <row r="2968" spans="1:46" s="12" customFormat="1">
      <c r="A2968" s="33" t="str">
        <f t="shared" si="883"/>
        <v>FY 19/20</v>
      </c>
      <c r="B2968" s="152">
        <v>2019</v>
      </c>
      <c r="C2968" s="152">
        <v>4</v>
      </c>
      <c r="D2968" s="33" t="str">
        <f t="shared" si="884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5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86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900"/>
        <v>13610000</v>
      </c>
      <c r="AA2968" s="13">
        <v>7.3999999999999996E-2</v>
      </c>
      <c r="AB2968" s="21">
        <f t="shared" si="887"/>
        <v>1007140</v>
      </c>
      <c r="AC2968" s="130">
        <f t="shared" si="888"/>
        <v>161444.54199999999</v>
      </c>
      <c r="AD2968" s="169">
        <v>0.1603</v>
      </c>
      <c r="AE2968" s="154">
        <f t="shared" si="889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98"/>
        <v>34015877.71150443</v>
      </c>
      <c r="AJ2968" s="19">
        <f t="shared" si="899"/>
        <v>4446292.375441948</v>
      </c>
      <c r="AK2968" s="20">
        <f t="shared" si="890"/>
        <v>0.13071226364205143</v>
      </c>
      <c r="AL2968" s="17"/>
      <c r="AM2968" s="17"/>
      <c r="AN2968" s="17"/>
      <c r="AO2968" s="17"/>
      <c r="AP2968" s="28" t="str">
        <f t="shared" si="891"/>
        <v>20197</v>
      </c>
      <c r="AQ2968" s="28" t="str">
        <f t="shared" si="892"/>
        <v>20197JPY</v>
      </c>
      <c r="AR2968" s="206" t="str">
        <f t="shared" si="893"/>
        <v>YAMAHA_Mounter</v>
      </c>
      <c r="AS2968" s="22">
        <f t="shared" si="894"/>
        <v>3</v>
      </c>
      <c r="AT2968" s="24" t="str">
        <f t="shared" si="895"/>
        <v>0-3 months</v>
      </c>
    </row>
    <row r="2969" spans="1:46" s="12" customFormat="1">
      <c r="A2969" s="33" t="str">
        <f t="shared" si="883"/>
        <v>FY 19/20</v>
      </c>
      <c r="B2969" s="152">
        <v>2019</v>
      </c>
      <c r="C2969" s="152">
        <v>4</v>
      </c>
      <c r="D2969" s="33" t="str">
        <f t="shared" si="884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5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86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900"/>
        <v>9340000</v>
      </c>
      <c r="AA2969" s="13">
        <v>7.17E-2</v>
      </c>
      <c r="AB2969" s="21">
        <f t="shared" si="887"/>
        <v>669678</v>
      </c>
      <c r="AC2969" s="130">
        <f t="shared" si="888"/>
        <v>107349.38339999999</v>
      </c>
      <c r="AD2969" s="169">
        <v>0.1603</v>
      </c>
      <c r="AE2969" s="154">
        <f t="shared" si="889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98"/>
        <v>14593788.187146019</v>
      </c>
      <c r="AJ2969" s="19">
        <f t="shared" si="899"/>
        <v>1868647.7321969916</v>
      </c>
      <c r="AK2969" s="20">
        <f t="shared" si="890"/>
        <v>0.12804404916900652</v>
      </c>
      <c r="AL2969" s="17"/>
      <c r="AM2969" s="17"/>
      <c r="AN2969" s="17"/>
      <c r="AO2969" s="17"/>
      <c r="AP2969" s="28" t="str">
        <f t="shared" si="891"/>
        <v>20195</v>
      </c>
      <c r="AQ2969" s="28" t="str">
        <f t="shared" si="892"/>
        <v>20195JPY</v>
      </c>
      <c r="AR2969" s="206" t="str">
        <f t="shared" si="893"/>
        <v>YAMAHA_Mounter</v>
      </c>
      <c r="AS2969" s="22">
        <f t="shared" si="894"/>
        <v>1</v>
      </c>
      <c r="AT2969" s="24" t="str">
        <f t="shared" si="895"/>
        <v>0-3 months</v>
      </c>
    </row>
    <row r="2970" spans="1:46" s="12" customFormat="1">
      <c r="A2970" s="33" t="str">
        <f t="shared" si="883"/>
        <v>FY 18/19</v>
      </c>
      <c r="B2970" s="152">
        <v>2019</v>
      </c>
      <c r="C2970" s="152">
        <v>3</v>
      </c>
      <c r="D2970" s="33" t="str">
        <f t="shared" si="884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5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86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900"/>
        <v>13707000</v>
      </c>
      <c r="AA2970" s="13">
        <v>7.17E-2</v>
      </c>
      <c r="AB2970" s="21">
        <f t="shared" si="887"/>
        <v>982791.9</v>
      </c>
      <c r="AC2970" s="130">
        <f t="shared" si="888"/>
        <v>163929.68892000002</v>
      </c>
      <c r="AD2970" s="169">
        <v>0.1668</v>
      </c>
      <c r="AE2970" s="154">
        <f t="shared" si="889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98"/>
        <v>14593788.187146019</v>
      </c>
      <c r="AJ2970" s="19">
        <f t="shared" si="899"/>
        <v>1868647.7321969916</v>
      </c>
      <c r="AK2970" s="20">
        <f t="shared" si="890"/>
        <v>0.12804404916900652</v>
      </c>
      <c r="AL2970" s="17"/>
      <c r="AM2970" s="17"/>
      <c r="AN2970" s="17"/>
      <c r="AO2970" s="17"/>
      <c r="AP2970" s="28" t="str">
        <f t="shared" si="891"/>
        <v>20195</v>
      </c>
      <c r="AQ2970" s="28" t="str">
        <f t="shared" si="892"/>
        <v>20195JPY</v>
      </c>
      <c r="AR2970" s="206" t="str">
        <f t="shared" si="893"/>
        <v>YAMAHA_Mounter</v>
      </c>
      <c r="AS2970" s="22">
        <f t="shared" si="894"/>
        <v>2</v>
      </c>
      <c r="AT2970" s="24" t="str">
        <f t="shared" si="895"/>
        <v>0-3 months</v>
      </c>
    </row>
    <row r="2971" spans="1:46" s="12" customFormat="1">
      <c r="A2971" s="33" t="str">
        <f t="shared" si="883"/>
        <v>FY 19/20</v>
      </c>
      <c r="B2971" s="152">
        <v>2019</v>
      </c>
      <c r="C2971" s="152">
        <v>4</v>
      </c>
      <c r="D2971" s="33" t="str">
        <f t="shared" si="884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5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86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900"/>
        <v>300000</v>
      </c>
      <c r="AA2971" s="13">
        <v>1.135</v>
      </c>
      <c r="AB2971" s="21">
        <f t="shared" si="887"/>
        <v>301327.4336283186</v>
      </c>
      <c r="AC2971" s="130">
        <f t="shared" si="888"/>
        <v>32513.230088495577</v>
      </c>
      <c r="AD2971" s="169">
        <v>0.1079</v>
      </c>
      <c r="AE2971" s="154">
        <f t="shared" si="889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98"/>
        <v>31296887.037898075</v>
      </c>
      <c r="AJ2971" s="19">
        <f t="shared" si="899"/>
        <v>3588873.9502021763</v>
      </c>
      <c r="AK2971" s="20">
        <f t="shared" si="890"/>
        <v>0.11467191436184473</v>
      </c>
      <c r="AL2971" s="17"/>
      <c r="AM2971" s="17"/>
      <c r="AN2971" s="17"/>
      <c r="AO2971" s="17"/>
      <c r="AP2971" s="28" t="str">
        <f t="shared" si="891"/>
        <v>20196</v>
      </c>
      <c r="AQ2971" s="28" t="str">
        <f t="shared" si="892"/>
        <v>20196RMB</v>
      </c>
      <c r="AR2971" s="206" t="str">
        <f t="shared" si="893"/>
        <v>HELLER</v>
      </c>
      <c r="AS2971" s="22">
        <f t="shared" si="894"/>
        <v>2</v>
      </c>
      <c r="AT2971" s="24" t="str">
        <f t="shared" si="895"/>
        <v>0-3 months</v>
      </c>
    </row>
    <row r="2972" spans="1:46" s="12" customFormat="1">
      <c r="A2972" s="33" t="str">
        <f t="shared" si="883"/>
        <v>FY 18/19</v>
      </c>
      <c r="B2972" s="152">
        <v>2019</v>
      </c>
      <c r="C2972" s="152">
        <v>3</v>
      </c>
      <c r="D2972" s="33" t="str">
        <f t="shared" si="884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5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86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900"/>
        <v>13707000</v>
      </c>
      <c r="AA2972" s="13">
        <v>7.3999999999999996E-2</v>
      </c>
      <c r="AB2972" s="21">
        <f t="shared" si="887"/>
        <v>1014318</v>
      </c>
      <c r="AC2972" s="130">
        <f t="shared" si="888"/>
        <v>169188.24240000002</v>
      </c>
      <c r="AD2972" s="169">
        <v>0.1668</v>
      </c>
      <c r="AE2972" s="154">
        <f t="shared" si="889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98"/>
        <v>34015877.71150443</v>
      </c>
      <c r="AJ2972" s="19">
        <f t="shared" si="899"/>
        <v>4446292.375441948</v>
      </c>
      <c r="AK2972" s="20">
        <f t="shared" si="890"/>
        <v>0.13071226364205143</v>
      </c>
      <c r="AL2972" s="17"/>
      <c r="AM2972" s="17"/>
      <c r="AN2972" s="17"/>
      <c r="AO2972" s="17"/>
      <c r="AP2972" s="28" t="str">
        <f t="shared" si="891"/>
        <v>20197</v>
      </c>
      <c r="AQ2972" s="28" t="str">
        <f t="shared" si="892"/>
        <v>20197JPY</v>
      </c>
      <c r="AR2972" s="206" t="str">
        <f t="shared" si="893"/>
        <v>YAMAHA_Mounter</v>
      </c>
      <c r="AS2972" s="22">
        <f t="shared" si="894"/>
        <v>4</v>
      </c>
      <c r="AT2972" s="24" t="str">
        <f t="shared" si="895"/>
        <v>4-6 months</v>
      </c>
    </row>
    <row r="2973" spans="1:46" s="12" customFormat="1">
      <c r="A2973" s="33" t="str">
        <f t="shared" si="883"/>
        <v>FY 21/22</v>
      </c>
      <c r="B2973" s="152">
        <v>2022</v>
      </c>
      <c r="C2973" s="152">
        <v>1</v>
      </c>
      <c r="D2973" s="33" t="str">
        <f t="shared" si="884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5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86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901">IF(W2973="RMB","1.13", "1")</f>
        <v>1</v>
      </c>
      <c r="Z2973" s="18">
        <f t="shared" si="900"/>
        <v>16665000</v>
      </c>
      <c r="AA2973" s="13">
        <v>6.54E-2</v>
      </c>
      <c r="AB2973" s="21">
        <f t="shared" si="887"/>
        <v>1089891</v>
      </c>
      <c r="AC2973" s="130">
        <f t="shared" si="888"/>
        <v>141576.84089999998</v>
      </c>
      <c r="AD2973" s="169">
        <v>0.12989999999999999</v>
      </c>
      <c r="AE2973" s="154">
        <f t="shared" si="889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98"/>
        <v>46600814.041769907</v>
      </c>
      <c r="AJ2973" s="19">
        <f t="shared" si="899"/>
        <v>5956366.3435927071</v>
      </c>
      <c r="AK2973" s="20">
        <f t="shared" si="890"/>
        <v>0.1278167874546958</v>
      </c>
      <c r="AL2973" s="17"/>
      <c r="AM2973" s="17"/>
      <c r="AN2973" s="17"/>
      <c r="AO2973" s="17"/>
      <c r="AP2973" s="28" t="str">
        <f t="shared" si="891"/>
        <v>20224</v>
      </c>
      <c r="AQ2973" s="28" t="str">
        <f t="shared" si="892"/>
        <v>20224JPY</v>
      </c>
      <c r="AR2973" s="206" t="str">
        <f t="shared" si="893"/>
        <v>SIGMA</v>
      </c>
      <c r="AS2973" s="22">
        <f t="shared" si="894"/>
        <v>3</v>
      </c>
      <c r="AT2973" s="24" t="str">
        <f t="shared" si="895"/>
        <v>0-3 months</v>
      </c>
    </row>
    <row r="2974" spans="1:46" s="12" customFormat="1">
      <c r="A2974" s="33" t="str">
        <f t="shared" si="883"/>
        <v>FY 21/22</v>
      </c>
      <c r="B2974" s="152">
        <v>2022</v>
      </c>
      <c r="C2974" s="152">
        <v>1</v>
      </c>
      <c r="D2974" s="33" t="str">
        <f t="shared" si="884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5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86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901"/>
        <v>1</v>
      </c>
      <c r="Z2974" s="18">
        <f t="shared" si="900"/>
        <v>16665000</v>
      </c>
      <c r="AA2974" s="13">
        <v>6.54E-2</v>
      </c>
      <c r="AB2974" s="21">
        <f t="shared" si="887"/>
        <v>1089891</v>
      </c>
      <c r="AC2974" s="130">
        <f t="shared" si="888"/>
        <v>141576.84089999998</v>
      </c>
      <c r="AD2974" s="169">
        <v>0.12989999999999999</v>
      </c>
      <c r="AE2974" s="154">
        <f t="shared" si="889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98"/>
        <v>46600814.041769907</v>
      </c>
      <c r="AJ2974" s="19">
        <f t="shared" si="899"/>
        <v>5956366.3435927071</v>
      </c>
      <c r="AK2974" s="20">
        <f t="shared" si="890"/>
        <v>0.1278167874546958</v>
      </c>
      <c r="AL2974" s="17"/>
      <c r="AM2974" s="17"/>
      <c r="AN2974" s="17"/>
      <c r="AO2974" s="17"/>
      <c r="AP2974" s="28" t="str">
        <f t="shared" si="891"/>
        <v>20224</v>
      </c>
      <c r="AQ2974" s="28" t="str">
        <f t="shared" si="892"/>
        <v>20224JPY</v>
      </c>
      <c r="AR2974" s="206" t="str">
        <f t="shared" si="893"/>
        <v>SIGMA</v>
      </c>
      <c r="AS2974" s="22">
        <f t="shared" si="894"/>
        <v>3</v>
      </c>
      <c r="AT2974" s="24" t="str">
        <f t="shared" si="895"/>
        <v>0-3 months</v>
      </c>
    </row>
    <row r="2975" spans="1:46" s="12" customFormat="1">
      <c r="A2975" s="33" t="str">
        <f t="shared" si="883"/>
        <v>FY 21/22</v>
      </c>
      <c r="B2975" s="152">
        <v>2022</v>
      </c>
      <c r="C2975" s="152">
        <v>1</v>
      </c>
      <c r="D2975" s="33" t="str">
        <f t="shared" si="884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5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86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901"/>
        <v>1</v>
      </c>
      <c r="Z2975" s="18">
        <f t="shared" si="900"/>
        <v>16665000</v>
      </c>
      <c r="AA2975" s="13">
        <v>6.54E-2</v>
      </c>
      <c r="AB2975" s="21">
        <f t="shared" si="887"/>
        <v>1089891</v>
      </c>
      <c r="AC2975" s="130">
        <f t="shared" si="888"/>
        <v>141576.84089999998</v>
      </c>
      <c r="AD2975" s="169">
        <v>0.12989999999999999</v>
      </c>
      <c r="AE2975" s="154">
        <f t="shared" si="889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98"/>
        <v>46600814.041769907</v>
      </c>
      <c r="AJ2975" s="19">
        <f t="shared" si="899"/>
        <v>5956366.3435927071</v>
      </c>
      <c r="AK2975" s="20">
        <f t="shared" si="890"/>
        <v>0.1278167874546958</v>
      </c>
      <c r="AL2975" s="17"/>
      <c r="AM2975" s="17"/>
      <c r="AN2975" s="17"/>
      <c r="AO2975" s="17"/>
      <c r="AP2975" s="28" t="str">
        <f t="shared" si="891"/>
        <v>20224</v>
      </c>
      <c r="AQ2975" s="28" t="str">
        <f t="shared" si="892"/>
        <v>20224JPY</v>
      </c>
      <c r="AR2975" s="206" t="str">
        <f t="shared" si="893"/>
        <v>SIGMA</v>
      </c>
      <c r="AS2975" s="22">
        <f t="shared" si="894"/>
        <v>3</v>
      </c>
      <c r="AT2975" s="24" t="str">
        <f t="shared" si="895"/>
        <v>0-3 months</v>
      </c>
    </row>
    <row r="2976" spans="1:46" s="12" customFormat="1">
      <c r="A2976" s="33" t="str">
        <f t="shared" si="883"/>
        <v>FY 21/22</v>
      </c>
      <c r="B2976" s="152">
        <v>2022</v>
      </c>
      <c r="C2976" s="152">
        <v>1</v>
      </c>
      <c r="D2976" s="33" t="str">
        <f t="shared" si="884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5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86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901"/>
        <v>1</v>
      </c>
      <c r="Z2976" s="18">
        <f t="shared" si="900"/>
        <v>16665000</v>
      </c>
      <c r="AA2976" s="13">
        <v>6.54E-2</v>
      </c>
      <c r="AB2976" s="21">
        <f t="shared" si="887"/>
        <v>1089891</v>
      </c>
      <c r="AC2976" s="130">
        <f t="shared" si="888"/>
        <v>141576.84089999998</v>
      </c>
      <c r="AD2976" s="169">
        <v>0.12989999999999999</v>
      </c>
      <c r="AE2976" s="154">
        <f t="shared" si="889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98"/>
        <v>46600814.041769907</v>
      </c>
      <c r="AJ2976" s="19">
        <f t="shared" si="899"/>
        <v>5956366.3435927071</v>
      </c>
      <c r="AK2976" s="20">
        <f t="shared" si="890"/>
        <v>0.1278167874546958</v>
      </c>
      <c r="AL2976" s="17"/>
      <c r="AM2976" s="17"/>
      <c r="AN2976" s="17"/>
      <c r="AO2976" s="17"/>
      <c r="AP2976" s="28" t="str">
        <f t="shared" si="891"/>
        <v>20224</v>
      </c>
      <c r="AQ2976" s="28" t="str">
        <f t="shared" si="892"/>
        <v>20224JPY</v>
      </c>
      <c r="AR2976" s="206" t="str">
        <f t="shared" si="893"/>
        <v>SIGMA</v>
      </c>
      <c r="AS2976" s="22">
        <f t="shared" si="894"/>
        <v>3</v>
      </c>
      <c r="AT2976" s="24" t="str">
        <f t="shared" si="895"/>
        <v>0-3 months</v>
      </c>
    </row>
    <row r="2977" spans="1:46" s="12" customFormat="1">
      <c r="A2977" s="33" t="str">
        <f t="shared" si="883"/>
        <v>FY 21/22</v>
      </c>
      <c r="B2977" s="152">
        <v>2022</v>
      </c>
      <c r="C2977" s="152">
        <v>1</v>
      </c>
      <c r="D2977" s="33" t="str">
        <f t="shared" si="884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5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86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901"/>
        <v>1</v>
      </c>
      <c r="Z2977" s="18">
        <f t="shared" si="900"/>
        <v>16665000</v>
      </c>
      <c r="AA2977" s="13">
        <v>6.54E-2</v>
      </c>
      <c r="AB2977" s="21">
        <f t="shared" si="887"/>
        <v>1089891</v>
      </c>
      <c r="AC2977" s="130">
        <f t="shared" si="888"/>
        <v>141576.84089999998</v>
      </c>
      <c r="AD2977" s="169">
        <v>0.12989999999999999</v>
      </c>
      <c r="AE2977" s="154">
        <f t="shared" si="889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98"/>
        <v>46600814.041769907</v>
      </c>
      <c r="AJ2977" s="19">
        <f t="shared" si="899"/>
        <v>5956366.3435927071</v>
      </c>
      <c r="AK2977" s="20">
        <f t="shared" si="890"/>
        <v>0.1278167874546958</v>
      </c>
      <c r="AL2977" s="17"/>
      <c r="AM2977" s="17"/>
      <c r="AN2977" s="17"/>
      <c r="AO2977" s="17"/>
      <c r="AP2977" s="28" t="str">
        <f t="shared" si="891"/>
        <v>20224</v>
      </c>
      <c r="AQ2977" s="28" t="str">
        <f t="shared" si="892"/>
        <v>20224JPY</v>
      </c>
      <c r="AR2977" s="206" t="str">
        <f t="shared" si="893"/>
        <v>SIGMA</v>
      </c>
      <c r="AS2977" s="22">
        <f t="shared" si="894"/>
        <v>3</v>
      </c>
      <c r="AT2977" s="24" t="str">
        <f t="shared" si="895"/>
        <v>0-3 months</v>
      </c>
    </row>
    <row r="2978" spans="1:46" s="12" customFormat="1">
      <c r="A2978" s="33" t="str">
        <f t="shared" si="883"/>
        <v>FY 21/22</v>
      </c>
      <c r="B2978" s="152">
        <v>2022</v>
      </c>
      <c r="C2978" s="152">
        <v>1</v>
      </c>
      <c r="D2978" s="33" t="str">
        <f t="shared" si="884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5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86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901"/>
        <v>1</v>
      </c>
      <c r="Z2978" s="18">
        <f t="shared" si="900"/>
        <v>16665000</v>
      </c>
      <c r="AA2978" s="13">
        <v>6.54E-2</v>
      </c>
      <c r="AB2978" s="21">
        <f t="shared" si="887"/>
        <v>1089891</v>
      </c>
      <c r="AC2978" s="130">
        <f t="shared" si="888"/>
        <v>141576.84089999998</v>
      </c>
      <c r="AD2978" s="169">
        <v>0.12989999999999999</v>
      </c>
      <c r="AE2978" s="154">
        <f t="shared" si="889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98"/>
        <v>46600814.041769907</v>
      </c>
      <c r="AJ2978" s="19">
        <f t="shared" si="899"/>
        <v>5956366.3435927071</v>
      </c>
      <c r="AK2978" s="20">
        <f t="shared" si="890"/>
        <v>0.1278167874546958</v>
      </c>
      <c r="AL2978" s="17"/>
      <c r="AM2978" s="17"/>
      <c r="AN2978" s="17"/>
      <c r="AO2978" s="17"/>
      <c r="AP2978" s="28" t="str">
        <f t="shared" si="891"/>
        <v>20224</v>
      </c>
      <c r="AQ2978" s="28" t="str">
        <f t="shared" si="892"/>
        <v>20224JPY</v>
      </c>
      <c r="AR2978" s="206" t="str">
        <f t="shared" si="893"/>
        <v>SIGMA</v>
      </c>
      <c r="AS2978" s="22">
        <f t="shared" si="894"/>
        <v>3</v>
      </c>
      <c r="AT2978" s="24" t="str">
        <f t="shared" si="895"/>
        <v>0-3 months</v>
      </c>
    </row>
    <row r="2979" spans="1:46" s="12" customFormat="1">
      <c r="A2979" s="33" t="str">
        <f t="shared" si="883"/>
        <v>FY 22/23</v>
      </c>
      <c r="B2979" s="152">
        <v>2023</v>
      </c>
      <c r="C2979" s="152">
        <v>2</v>
      </c>
      <c r="D2979" s="33" t="str">
        <f t="shared" si="884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5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86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901"/>
        <v>1.13</v>
      </c>
      <c r="Z2979" s="18">
        <f t="shared" si="900"/>
        <v>487000</v>
      </c>
      <c r="AA2979" s="13">
        <v>1.1299999999999999</v>
      </c>
      <c r="AB2979" s="21">
        <f t="shared" si="887"/>
        <v>487000</v>
      </c>
      <c r="AC2979" s="130">
        <f t="shared" si="888"/>
        <v>63699.6</v>
      </c>
      <c r="AD2979" s="169">
        <v>0.1308</v>
      </c>
      <c r="AE2979" s="154">
        <f t="shared" si="889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98"/>
        <v>33543315.897345133</v>
      </c>
      <c r="AJ2979" s="19">
        <f t="shared" si="899"/>
        <v>4706169.3252984071</v>
      </c>
      <c r="AK2979" s="20">
        <f t="shared" si="890"/>
        <v>0.14030125523967318</v>
      </c>
      <c r="AL2979" s="17"/>
      <c r="AM2979" s="17"/>
      <c r="AN2979" s="17"/>
      <c r="AO2979" s="17"/>
      <c r="AP2979" s="28" t="str">
        <f t="shared" si="891"/>
        <v>20233</v>
      </c>
      <c r="AQ2979" s="28" t="str">
        <f t="shared" si="892"/>
        <v>20233RMB</v>
      </c>
      <c r="AR2979" s="206" t="str">
        <f t="shared" si="893"/>
        <v>YAMAHA_Mounter</v>
      </c>
      <c r="AS2979" s="22">
        <f t="shared" si="894"/>
        <v>1</v>
      </c>
      <c r="AT2979" s="24" t="str">
        <f t="shared" si="895"/>
        <v>0-3 months</v>
      </c>
    </row>
    <row r="2980" spans="1:46" s="12" customFormat="1">
      <c r="A2980" s="33" t="str">
        <f t="shared" si="883"/>
        <v>FY 21/22</v>
      </c>
      <c r="B2980" s="152">
        <v>2021</v>
      </c>
      <c r="C2980" s="152">
        <v>12</v>
      </c>
      <c r="D2980" s="33" t="str">
        <f t="shared" si="884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5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86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901"/>
        <v>1.13</v>
      </c>
      <c r="Z2980" s="18">
        <f t="shared" si="900"/>
        <v>575000</v>
      </c>
      <c r="AA2980" s="13">
        <v>1.175</v>
      </c>
      <c r="AB2980" s="21">
        <f t="shared" si="887"/>
        <v>597898.23008849565</v>
      </c>
      <c r="AC2980" s="130">
        <f t="shared" si="888"/>
        <v>107382.52212389382</v>
      </c>
      <c r="AD2980" s="169">
        <v>0.17960000000000001</v>
      </c>
      <c r="AE2980" s="154">
        <f t="shared" si="889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98"/>
        <v>35682787.057522126</v>
      </c>
      <c r="AJ2980" s="19">
        <f t="shared" si="899"/>
        <v>5833368.3789623892</v>
      </c>
      <c r="AK2980" s="20">
        <f t="shared" si="890"/>
        <v>0.16347849649632912</v>
      </c>
      <c r="AL2980" s="17"/>
      <c r="AM2980" s="17"/>
      <c r="AN2980" s="17"/>
      <c r="AO2980" s="17"/>
      <c r="AP2980" s="28" t="str">
        <f t="shared" si="891"/>
        <v>20226</v>
      </c>
      <c r="AQ2980" s="28" t="str">
        <f t="shared" si="892"/>
        <v>20226RMB</v>
      </c>
      <c r="AR2980" s="206" t="str">
        <f t="shared" si="893"/>
        <v>YAMAHA_Mounter</v>
      </c>
      <c r="AS2980" s="22">
        <f t="shared" si="894"/>
        <v>6</v>
      </c>
      <c r="AT2980" s="24" t="str">
        <f t="shared" si="895"/>
        <v>4-6 months</v>
      </c>
    </row>
    <row r="2981" spans="1:46" s="12" customFormat="1">
      <c r="A2981" s="33" t="str">
        <f t="shared" si="883"/>
        <v>FY 19/20</v>
      </c>
      <c r="B2981" s="152">
        <v>2020</v>
      </c>
      <c r="C2981" s="152">
        <v>1</v>
      </c>
      <c r="D2981" s="33" t="str">
        <f t="shared" si="884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5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86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900"/>
        <v>9163000</v>
      </c>
      <c r="AA2981" s="13">
        <v>7.4300000000000005E-2</v>
      </c>
      <c r="AB2981" s="21">
        <f t="shared" si="887"/>
        <v>680810.9</v>
      </c>
      <c r="AC2981" s="130">
        <f t="shared" si="888"/>
        <v>108521.25745999999</v>
      </c>
      <c r="AD2981" s="169">
        <v>0.15939999999999999</v>
      </c>
      <c r="AE2981" s="154">
        <f t="shared" si="889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98"/>
        <v>28065694.408805311</v>
      </c>
      <c r="AJ2981" s="19">
        <f t="shared" si="899"/>
        <v>4157433.2906989697</v>
      </c>
      <c r="AK2981" s="20">
        <f t="shared" si="890"/>
        <v>0.14813220831602228</v>
      </c>
      <c r="AL2981" s="17"/>
      <c r="AM2981" s="17"/>
      <c r="AN2981" s="17"/>
      <c r="AO2981" s="17"/>
      <c r="AP2981" s="28" t="str">
        <f t="shared" si="891"/>
        <v>20205</v>
      </c>
      <c r="AQ2981" s="28" t="str">
        <f t="shared" si="892"/>
        <v>20205JPY</v>
      </c>
      <c r="AR2981" s="206" t="str">
        <f t="shared" si="893"/>
        <v>YAMAHA_Mounter</v>
      </c>
      <c r="AS2981" s="22">
        <f t="shared" si="894"/>
        <v>4</v>
      </c>
      <c r="AT2981" s="24" t="str">
        <f t="shared" si="895"/>
        <v>4-6 months</v>
      </c>
    </row>
    <row r="2982" spans="1:46" s="12" customFormat="1">
      <c r="A2982" s="33" t="str">
        <f t="shared" si="883"/>
        <v>FY 19/20</v>
      </c>
      <c r="B2982" s="152">
        <v>2020</v>
      </c>
      <c r="C2982" s="152">
        <v>1</v>
      </c>
      <c r="D2982" s="33" t="str">
        <f t="shared" si="884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5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86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900"/>
        <v>9163000</v>
      </c>
      <c r="AA2982" s="13">
        <v>7.3400000000000007E-2</v>
      </c>
      <c r="AB2982" s="21">
        <f t="shared" si="887"/>
        <v>672564.20000000007</v>
      </c>
      <c r="AC2982" s="130">
        <f t="shared" si="888"/>
        <v>80707.704000000012</v>
      </c>
      <c r="AD2982" s="169">
        <v>0.12</v>
      </c>
      <c r="AE2982" s="154">
        <f t="shared" si="889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98"/>
        <v>477651199.57437885</v>
      </c>
      <c r="AJ2982" s="19">
        <f t="shared" si="899"/>
        <v>56918800.518691957</v>
      </c>
      <c r="AK2982" s="20">
        <f t="shared" si="890"/>
        <v>0.11916394341605475</v>
      </c>
      <c r="AL2982" s="17"/>
      <c r="AM2982" s="17"/>
      <c r="AN2982" s="17"/>
      <c r="AO2982" s="17"/>
      <c r="AP2982" s="28" t="str">
        <f t="shared" si="891"/>
        <v>CancelCANCEL</v>
      </c>
      <c r="AQ2982" s="28" t="str">
        <f t="shared" si="892"/>
        <v>CancelCANCELJPY</v>
      </c>
      <c r="AR2982" s="206" t="str">
        <f t="shared" si="893"/>
        <v>YAMAHA_Mounter</v>
      </c>
      <c r="AS2982" s="22" t="str">
        <f t="shared" si="894"/>
        <v/>
      </c>
      <c r="AT2982" s="24" t="str">
        <f t="shared" si="895"/>
        <v/>
      </c>
    </row>
    <row r="2983" spans="1:46" s="12" customFormat="1">
      <c r="A2983" s="33" t="str">
        <f t="shared" si="883"/>
        <v>FY 20/21</v>
      </c>
      <c r="B2983" s="152">
        <v>2020</v>
      </c>
      <c r="C2983" s="152">
        <v>7</v>
      </c>
      <c r="D2983" s="33" t="str">
        <f t="shared" si="884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5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86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900"/>
        <v>12663000</v>
      </c>
      <c r="AA2983" s="13">
        <v>7.3400000000000007E-2</v>
      </c>
      <c r="AB2983" s="21">
        <f t="shared" si="887"/>
        <v>929464.20000000007</v>
      </c>
      <c r="AC2983" s="130">
        <f t="shared" si="888"/>
        <v>122503.38156000001</v>
      </c>
      <c r="AD2983" s="169">
        <v>0.1318</v>
      </c>
      <c r="AE2983" s="154">
        <f t="shared" si="889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98"/>
        <v>35384300.169380538</v>
      </c>
      <c r="AJ2983" s="19">
        <f t="shared" si="899"/>
        <v>5044538.8896988509</v>
      </c>
      <c r="AK2983" s="20">
        <f t="shared" si="890"/>
        <v>0.14256432557804533</v>
      </c>
      <c r="AL2983" s="17"/>
      <c r="AM2983" s="17"/>
      <c r="AN2983" s="17"/>
      <c r="AO2983" s="17"/>
      <c r="AP2983" s="28" t="str">
        <f t="shared" si="891"/>
        <v>20207</v>
      </c>
      <c r="AQ2983" s="28" t="str">
        <f t="shared" si="892"/>
        <v>20207JPY</v>
      </c>
      <c r="AR2983" s="206" t="str">
        <f t="shared" si="893"/>
        <v>YAMAHA_Mounter</v>
      </c>
      <c r="AS2983" s="22">
        <f t="shared" si="894"/>
        <v>0</v>
      </c>
      <c r="AT2983" s="24" t="str">
        <f t="shared" si="895"/>
        <v>0-3 months</v>
      </c>
    </row>
    <row r="2984" spans="1:46" s="12" customFormat="1">
      <c r="A2984" s="33" t="str">
        <f t="shared" si="883"/>
        <v>FY 18/19</v>
      </c>
      <c r="B2984" s="152">
        <v>2019</v>
      </c>
      <c r="C2984" s="152">
        <v>1</v>
      </c>
      <c r="D2984" s="33" t="str">
        <f t="shared" si="884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5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86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900"/>
        <v>366000</v>
      </c>
      <c r="AA2984" s="13">
        <v>1.1499999999999999</v>
      </c>
      <c r="AB2984" s="21">
        <f t="shared" si="887"/>
        <v>362844.8275862069</v>
      </c>
      <c r="AC2984" s="130">
        <f t="shared" si="888"/>
        <v>45065.327586206899</v>
      </c>
      <c r="AD2984" s="169">
        <v>0.1242</v>
      </c>
      <c r="AE2984" s="154">
        <f t="shared" si="889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98"/>
        <v>16455710.386637932</v>
      </c>
      <c r="AJ2984" s="19">
        <f t="shared" si="899"/>
        <v>2150644.6466930606</v>
      </c>
      <c r="AK2984" s="20">
        <f t="shared" si="890"/>
        <v>0.13069290818580451</v>
      </c>
      <c r="AL2984" s="17"/>
      <c r="AM2984" s="17"/>
      <c r="AN2984" s="17"/>
      <c r="AO2984" s="17"/>
      <c r="AP2984" s="28" t="str">
        <f t="shared" si="891"/>
        <v>20192</v>
      </c>
      <c r="AQ2984" s="28" t="str">
        <f t="shared" si="892"/>
        <v>20192RMB</v>
      </c>
      <c r="AR2984" s="206" t="str">
        <f t="shared" si="893"/>
        <v>PEMTRON</v>
      </c>
      <c r="AS2984" s="22">
        <f t="shared" si="894"/>
        <v>1</v>
      </c>
      <c r="AT2984" s="24" t="str">
        <f t="shared" si="895"/>
        <v>0-3 months</v>
      </c>
    </row>
    <row r="2985" spans="1:46" s="12" customFormat="1">
      <c r="A2985" s="33" t="str">
        <f t="shared" si="883"/>
        <v>FY 18/19</v>
      </c>
      <c r="B2985" s="152">
        <v>2018</v>
      </c>
      <c r="C2985" s="152">
        <v>7</v>
      </c>
      <c r="D2985" s="33" t="str">
        <f t="shared" si="884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5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86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900"/>
        <v>10460000</v>
      </c>
      <c r="AA2985" s="13">
        <v>7.0199999999999999E-2</v>
      </c>
      <c r="AB2985" s="21">
        <f t="shared" si="887"/>
        <v>734292</v>
      </c>
      <c r="AC2985" s="130">
        <f t="shared" si="888"/>
        <v>88115.04</v>
      </c>
      <c r="AD2985" s="169">
        <v>0.12</v>
      </c>
      <c r="AE2985" s="154">
        <f t="shared" si="889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98"/>
        <v>477651199.57437885</v>
      </c>
      <c r="AJ2985" s="19">
        <f t="shared" si="899"/>
        <v>56918800.518691957</v>
      </c>
      <c r="AK2985" s="20">
        <f t="shared" si="890"/>
        <v>0.11916394341605475</v>
      </c>
      <c r="AL2985" s="17"/>
      <c r="AM2985" s="17"/>
      <c r="AN2985" s="17"/>
      <c r="AO2985" s="17"/>
      <c r="AP2985" s="28" t="str">
        <f t="shared" si="891"/>
        <v>CancelCancel</v>
      </c>
      <c r="AQ2985" s="28" t="str">
        <f t="shared" si="892"/>
        <v>CancelCancelJPY</v>
      </c>
      <c r="AR2985" s="206" t="str">
        <f t="shared" si="893"/>
        <v>YAMAHA_Mounter</v>
      </c>
      <c r="AS2985" s="22" t="str">
        <f t="shared" si="894"/>
        <v/>
      </c>
      <c r="AT2985" s="24" t="str">
        <f t="shared" si="895"/>
        <v/>
      </c>
    </row>
    <row r="2986" spans="1:46" s="12" customFormat="1">
      <c r="A2986" s="33" t="str">
        <f t="shared" si="883"/>
        <v>FY 18/19</v>
      </c>
      <c r="B2986" s="152">
        <v>2018</v>
      </c>
      <c r="C2986" s="152">
        <v>7</v>
      </c>
      <c r="D2986" s="33" t="str">
        <f t="shared" si="884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5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86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900"/>
        <v>10460000</v>
      </c>
      <c r="AA2986" s="13">
        <v>7.2099999999999997E-2</v>
      </c>
      <c r="AB2986" s="21">
        <f t="shared" si="887"/>
        <v>754166</v>
      </c>
      <c r="AC2986" s="130">
        <f t="shared" si="888"/>
        <v>90499.92</v>
      </c>
      <c r="AD2986" s="169">
        <v>0.12</v>
      </c>
      <c r="AE2986" s="154">
        <f t="shared" si="889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98"/>
        <v>477651199.57437885</v>
      </c>
      <c r="AJ2986" s="19">
        <f t="shared" si="899"/>
        <v>56918800.518691957</v>
      </c>
      <c r="AK2986" s="20">
        <f t="shared" si="890"/>
        <v>0.11916394341605475</v>
      </c>
      <c r="AL2986" s="17"/>
      <c r="AM2986" s="17"/>
      <c r="AN2986" s="17"/>
      <c r="AO2986" s="17"/>
      <c r="AP2986" s="28" t="str">
        <f t="shared" si="891"/>
        <v>CancelCancel</v>
      </c>
      <c r="AQ2986" s="28" t="str">
        <f t="shared" si="892"/>
        <v>CancelCancelJPY</v>
      </c>
      <c r="AR2986" s="206" t="str">
        <f t="shared" si="893"/>
        <v>YAMAHA_Mounter</v>
      </c>
      <c r="AS2986" s="22" t="str">
        <f t="shared" si="894"/>
        <v/>
      </c>
      <c r="AT2986" s="24" t="str">
        <f t="shared" si="895"/>
        <v/>
      </c>
    </row>
    <row r="2987" spans="1:46" s="12" customFormat="1">
      <c r="A2987" s="33" t="str">
        <f t="shared" si="883"/>
        <v>FY 19/20</v>
      </c>
      <c r="B2987" s="152">
        <v>2019</v>
      </c>
      <c r="C2987" s="152">
        <v>12</v>
      </c>
      <c r="D2987" s="33" t="str">
        <f t="shared" si="884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5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86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900"/>
        <v>14700000</v>
      </c>
      <c r="AA2987" s="13">
        <v>7.2999999999999995E-2</v>
      </c>
      <c r="AB2987" s="21">
        <f t="shared" si="887"/>
        <v>1073100</v>
      </c>
      <c r="AC2987" s="130">
        <f t="shared" si="888"/>
        <v>171803.31</v>
      </c>
      <c r="AD2987" s="169">
        <v>0.16009999999999999</v>
      </c>
      <c r="AE2987" s="154">
        <f t="shared" si="889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98"/>
        <v>23168285.927433632</v>
      </c>
      <c r="AJ2987" s="19">
        <f t="shared" si="899"/>
        <v>2764878.916878053</v>
      </c>
      <c r="AK2987" s="20">
        <f t="shared" si="890"/>
        <v>0.11933895004309111</v>
      </c>
      <c r="AL2987" s="17"/>
      <c r="AM2987" s="17"/>
      <c r="AN2987" s="17"/>
      <c r="AO2987" s="17"/>
      <c r="AP2987" s="28" t="str">
        <f t="shared" si="891"/>
        <v>20203</v>
      </c>
      <c r="AQ2987" s="28" t="str">
        <f t="shared" si="892"/>
        <v>20203JPY</v>
      </c>
      <c r="AR2987" s="206" t="str">
        <f t="shared" si="893"/>
        <v>YAMAHA_Mounter</v>
      </c>
      <c r="AS2987" s="22">
        <f t="shared" si="894"/>
        <v>3</v>
      </c>
      <c r="AT2987" s="24" t="str">
        <f t="shared" si="895"/>
        <v>0-3 months</v>
      </c>
    </row>
    <row r="2988" spans="1:46" s="12" customFormat="1">
      <c r="A2988" s="33" t="str">
        <f t="shared" ref="A2988:A3051" si="902">IF(C2988="cancel","cancel",IFERROR(IF(D2988="Q4","FY "&amp;RIGHT(B2988,2)-1&amp;"/"&amp;RIGHT(B2988,2),"FY "&amp;RIGHT(B2988,2)&amp;"/"&amp;RIGHT(B2988,2)+1),""))</f>
        <v>FY 20/21</v>
      </c>
      <c r="B2988" s="152">
        <v>2020</v>
      </c>
      <c r="C2988" s="152">
        <v>11</v>
      </c>
      <c r="D2988" s="33" t="str">
        <f t="shared" ref="D2988:D3051" si="903">IF(B2988="","",IF(AND(C2988&gt;=10,C2988&lt;=12),"Q3",IF(AND(C2988&gt;=1,C2988&lt;=3),"Q4",IF(AND(C2988&gt;=7,C2988&lt;=9),"Q2",IF(AND(C2988&gt;=4,C2988&lt;=6),"Q1")))))</f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ref="I2988:I3051" si="904">IFERROR(IF(F2988="","",IF(F2988="TBA","TBA",IF(F2988="Cancel","Cancel",IF(AND(G2988&gt;=10,G2988&lt;=12),"Q3",IF(AND(G2988&gt;=1,G2988&lt;=3),"Q4",IF(AND(G2988&gt;=7,G2988&lt;=9),"Q2",IF(AND(G2988&gt;=4,G2988&lt;=6),"Q1"))))))),"")</f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ref="P2988:P3051" si="905">IF(M2988="","",IF(AND(N2988&gt;0,L2988&lt;&gt;""),"MAIN UNIT",IF(AND(O2988&gt;0,L2988&lt;&gt;""),"SERVICE/ PARTS","C66 SERVICE/OTHERS")))</f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906">IF(W2988="RMB","1.13", "1")</f>
        <v>1</v>
      </c>
      <c r="Z2988" s="18">
        <f t="shared" si="900"/>
        <v>12600000</v>
      </c>
      <c r="AA2988" s="13">
        <v>7.6799999999999993E-2</v>
      </c>
      <c r="AB2988" s="21">
        <f t="shared" ref="AB2988:AB3051" si="907">IF(AND(R2988&lt;&gt;"C66",R2988&lt;&gt;""),Z2988/Y2988*AA2988,"")</f>
        <v>967679.99999999988</v>
      </c>
      <c r="AC2988" s="130">
        <f t="shared" ref="AC2988:AC3051" si="908">IF(R2988&lt;&gt;"",AB2988*AD2988,"")</f>
        <v>123379.19999999998</v>
      </c>
      <c r="AD2988" s="169">
        <v>0.1275</v>
      </c>
      <c r="AE2988" s="154">
        <f t="shared" ref="AE2988:AE3051" si="909">IF(Q2988="","",IF(Q2988="Yes",1,0))</f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98"/>
        <v>45803245.025628321</v>
      </c>
      <c r="AJ2988" s="19">
        <f t="shared" si="899"/>
        <v>5664636.2584379362</v>
      </c>
      <c r="AK2988" s="20">
        <f t="shared" ref="AK2988:AK3051" si="910">IF(AJ2988&gt;0,AJ2988/AI2988,"")</f>
        <v>0.12367325186825515</v>
      </c>
      <c r="AL2988" s="17"/>
      <c r="AM2988" s="17"/>
      <c r="AN2988" s="17"/>
      <c r="AO2988" s="17"/>
      <c r="AP2988" s="28" t="str">
        <f t="shared" ref="AP2988:AP3051" si="911">IF(F2988="","",F2988&amp;G2988)</f>
        <v>20211</v>
      </c>
      <c r="AQ2988" s="28" t="str">
        <f t="shared" ref="AQ2988:AQ3051" si="912">IF(W2988="","",F2988&amp;G2988&amp;W2988)</f>
        <v>20211JPY</v>
      </c>
      <c r="AR2988" s="206" t="str">
        <f t="shared" ref="AR2988:AR3051" si="913">IFERROR(IF(AND(M2988="YAMAHA", R2988="C28"), "YAMAHA_Non_Mounter", IF(AND(M2988="YAMAHA", R2988="C49"), "YAMAHA_Mounter", M2988)),"")</f>
        <v>YAMAHA_Mounter</v>
      </c>
      <c r="AS2988" s="22">
        <f t="shared" ref="AS2988:AS3051" si="914">IFERROR(IF(OR(G2988="TBA", G2988=""), "", DATEDIF(DATE(B2988, C2988, 1), DATE(F2988, G2988, 1), "M")),"")</f>
        <v>2</v>
      </c>
      <c r="AT2988" s="24" t="str">
        <f t="shared" ref="AT2988:AT3051" si="915">IF(ISNUMBER(AS2988), IF(AS2988&gt;=0, IF(AS2988&lt;=3, "0-3 months", IF(AS2988&lt;=6, "4-6 months", "&gt; 6 months"))), "")</f>
        <v>0-3 months</v>
      </c>
    </row>
    <row r="2989" spans="1:46" s="12" customFormat="1">
      <c r="A2989" s="33" t="str">
        <f t="shared" si="902"/>
        <v>FY 20/21</v>
      </c>
      <c r="B2989" s="152">
        <v>2020</v>
      </c>
      <c r="C2989" s="152">
        <v>11</v>
      </c>
      <c r="D2989" s="33" t="str">
        <f t="shared" si="903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904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905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906"/>
        <v>1</v>
      </c>
      <c r="Z2989" s="18">
        <f t="shared" si="900"/>
        <v>9000000</v>
      </c>
      <c r="AA2989" s="13">
        <v>7.6799999999999993E-2</v>
      </c>
      <c r="AB2989" s="21">
        <f t="shared" si="907"/>
        <v>691199.99999999988</v>
      </c>
      <c r="AC2989" s="130">
        <f t="shared" si="908"/>
        <v>88127.999999999985</v>
      </c>
      <c r="AD2989" s="169">
        <v>0.1275</v>
      </c>
      <c r="AE2989" s="154">
        <f t="shared" si="909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98"/>
        <v>45803245.025628321</v>
      </c>
      <c r="AJ2989" s="19">
        <f t="shared" si="899"/>
        <v>5664636.2584379362</v>
      </c>
      <c r="AK2989" s="20">
        <f t="shared" si="910"/>
        <v>0.12367325186825515</v>
      </c>
      <c r="AL2989" s="17"/>
      <c r="AM2989" s="17"/>
      <c r="AN2989" s="17"/>
      <c r="AO2989" s="17"/>
      <c r="AP2989" s="28" t="str">
        <f t="shared" si="911"/>
        <v>20211</v>
      </c>
      <c r="AQ2989" s="28" t="str">
        <f t="shared" si="912"/>
        <v>20211JPY</v>
      </c>
      <c r="AR2989" s="206" t="str">
        <f t="shared" si="913"/>
        <v>YAMAHA_Mounter</v>
      </c>
      <c r="AS2989" s="22">
        <f t="shared" si="914"/>
        <v>2</v>
      </c>
      <c r="AT2989" s="24" t="str">
        <f t="shared" si="915"/>
        <v>0-3 months</v>
      </c>
    </row>
    <row r="2990" spans="1:46" s="12" customFormat="1">
      <c r="A2990" s="33" t="str">
        <f t="shared" si="902"/>
        <v>FY 20/21</v>
      </c>
      <c r="B2990" s="152">
        <v>2020</v>
      </c>
      <c r="C2990" s="152">
        <v>11</v>
      </c>
      <c r="D2990" s="33" t="str">
        <f t="shared" si="903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904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905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906"/>
        <v>1</v>
      </c>
      <c r="Z2990" s="18">
        <f t="shared" si="900"/>
        <v>12800000</v>
      </c>
      <c r="AA2990" s="13">
        <v>7.4499999999999997E-2</v>
      </c>
      <c r="AB2990" s="21">
        <f t="shared" si="907"/>
        <v>953600</v>
      </c>
      <c r="AC2990" s="130">
        <f t="shared" si="908"/>
        <v>114145.92</v>
      </c>
      <c r="AD2990" s="169">
        <v>0.1197</v>
      </c>
      <c r="AE2990" s="154">
        <f t="shared" si="909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98"/>
        <v>57778307.282035396</v>
      </c>
      <c r="AJ2990" s="19">
        <f t="shared" si="899"/>
        <v>7259860.7225420559</v>
      </c>
      <c r="AK2990" s="20">
        <f t="shared" si="910"/>
        <v>0.12565028406083667</v>
      </c>
      <c r="AL2990" s="17"/>
      <c r="AM2990" s="17"/>
      <c r="AN2990" s="17"/>
      <c r="AO2990" s="17"/>
      <c r="AP2990" s="28" t="str">
        <f t="shared" si="911"/>
        <v>20213</v>
      </c>
      <c r="AQ2990" s="28" t="str">
        <f t="shared" si="912"/>
        <v>20213JPY</v>
      </c>
      <c r="AR2990" s="206" t="str">
        <f t="shared" si="913"/>
        <v>YAMAHA_Mounter</v>
      </c>
      <c r="AS2990" s="22">
        <f t="shared" si="914"/>
        <v>4</v>
      </c>
      <c r="AT2990" s="24" t="str">
        <f t="shared" si="915"/>
        <v>4-6 months</v>
      </c>
    </row>
    <row r="2991" spans="1:46" s="12" customFormat="1">
      <c r="A2991" s="33" t="str">
        <f t="shared" si="902"/>
        <v>FY 20/21</v>
      </c>
      <c r="B2991" s="152">
        <v>2020</v>
      </c>
      <c r="C2991" s="152">
        <v>11</v>
      </c>
      <c r="D2991" s="33" t="str">
        <f t="shared" si="903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904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905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906"/>
        <v>1</v>
      </c>
      <c r="Z2991" s="18">
        <f t="shared" si="900"/>
        <v>12800000</v>
      </c>
      <c r="AA2991" s="13">
        <v>7.4499999999999997E-2</v>
      </c>
      <c r="AB2991" s="21">
        <f t="shared" si="907"/>
        <v>953600</v>
      </c>
      <c r="AC2991" s="130">
        <f t="shared" si="908"/>
        <v>114145.92</v>
      </c>
      <c r="AD2991" s="169">
        <v>0.1197</v>
      </c>
      <c r="AE2991" s="154">
        <f t="shared" si="909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98"/>
        <v>57778307.282035396</v>
      </c>
      <c r="AJ2991" s="19">
        <f t="shared" si="899"/>
        <v>7259860.7225420559</v>
      </c>
      <c r="AK2991" s="20">
        <f t="shared" si="910"/>
        <v>0.12565028406083667</v>
      </c>
      <c r="AL2991" s="17"/>
      <c r="AM2991" s="17"/>
      <c r="AN2991" s="17"/>
      <c r="AO2991" s="17"/>
      <c r="AP2991" s="28" t="str">
        <f t="shared" si="911"/>
        <v>20213</v>
      </c>
      <c r="AQ2991" s="28" t="str">
        <f t="shared" si="912"/>
        <v>20213JPY</v>
      </c>
      <c r="AR2991" s="206" t="str">
        <f t="shared" si="913"/>
        <v>YAMAHA_Mounter</v>
      </c>
      <c r="AS2991" s="22">
        <f t="shared" si="914"/>
        <v>4</v>
      </c>
      <c r="AT2991" s="24" t="str">
        <f t="shared" si="915"/>
        <v>4-6 months</v>
      </c>
    </row>
    <row r="2992" spans="1:46" s="12" customFormat="1">
      <c r="A2992" s="33" t="str">
        <f t="shared" si="902"/>
        <v>FY 20/21</v>
      </c>
      <c r="B2992" s="152">
        <v>2020</v>
      </c>
      <c r="C2992" s="152">
        <v>11</v>
      </c>
      <c r="D2992" s="33" t="str">
        <f t="shared" si="903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904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905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906"/>
        <v>1</v>
      </c>
      <c r="Z2992" s="18">
        <f t="shared" si="900"/>
        <v>9000000</v>
      </c>
      <c r="AA2992" s="13">
        <v>7.4499999999999997E-2</v>
      </c>
      <c r="AB2992" s="21">
        <f t="shared" si="907"/>
        <v>670500</v>
      </c>
      <c r="AC2992" s="130">
        <f t="shared" si="908"/>
        <v>80258.850000000006</v>
      </c>
      <c r="AD2992" s="169">
        <v>0.1197</v>
      </c>
      <c r="AE2992" s="154">
        <f t="shared" si="909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98"/>
        <v>57778307.282035396</v>
      </c>
      <c r="AJ2992" s="19">
        <f t="shared" si="899"/>
        <v>7259860.7225420559</v>
      </c>
      <c r="AK2992" s="20">
        <f t="shared" si="910"/>
        <v>0.12565028406083667</v>
      </c>
      <c r="AL2992" s="17"/>
      <c r="AM2992" s="17"/>
      <c r="AN2992" s="17"/>
      <c r="AO2992" s="17"/>
      <c r="AP2992" s="28" t="str">
        <f t="shared" si="911"/>
        <v>20213</v>
      </c>
      <c r="AQ2992" s="28" t="str">
        <f t="shared" si="912"/>
        <v>20213JPY</v>
      </c>
      <c r="AR2992" s="206" t="str">
        <f t="shared" si="913"/>
        <v>YAMAHA_Mounter</v>
      </c>
      <c r="AS2992" s="22">
        <f t="shared" si="914"/>
        <v>4</v>
      </c>
      <c r="AT2992" s="24" t="str">
        <f t="shared" si="915"/>
        <v>4-6 months</v>
      </c>
    </row>
    <row r="2993" spans="1:46" s="12" customFormat="1">
      <c r="A2993" s="33" t="str">
        <f t="shared" si="902"/>
        <v>FY 21/22</v>
      </c>
      <c r="B2993" s="152">
        <v>2021</v>
      </c>
      <c r="C2993" s="152">
        <v>7</v>
      </c>
      <c r="D2993" s="33" t="str">
        <f t="shared" si="903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904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905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906"/>
        <v>1</v>
      </c>
      <c r="Z2993" s="18">
        <f t="shared" si="900"/>
        <v>11560000</v>
      </c>
      <c r="AA2993" s="13">
        <v>7.0999999999999994E-2</v>
      </c>
      <c r="AB2993" s="21">
        <f t="shared" si="907"/>
        <v>820759.99999999988</v>
      </c>
      <c r="AC2993" s="130">
        <f t="shared" si="908"/>
        <v>83635.443999999989</v>
      </c>
      <c r="AD2993" s="169">
        <v>0.1019</v>
      </c>
      <c r="AE2993" s="154">
        <f t="shared" si="909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98"/>
        <v>15533177.71460177</v>
      </c>
      <c r="AJ2993" s="19">
        <f t="shared" si="899"/>
        <v>1819298.5437526547</v>
      </c>
      <c r="AK2993" s="20">
        <f t="shared" si="910"/>
        <v>0.11712339723265033</v>
      </c>
      <c r="AL2993" s="17"/>
      <c r="AM2993" s="17"/>
      <c r="AN2993" s="17"/>
      <c r="AO2993" s="17"/>
      <c r="AP2993" s="28" t="str">
        <f t="shared" si="911"/>
        <v>202110</v>
      </c>
      <c r="AQ2993" s="28" t="str">
        <f t="shared" si="912"/>
        <v>202110JPY</v>
      </c>
      <c r="AR2993" s="206" t="str">
        <f t="shared" si="913"/>
        <v>YAMAHA_Mounter</v>
      </c>
      <c r="AS2993" s="22">
        <f t="shared" si="914"/>
        <v>3</v>
      </c>
      <c r="AT2993" s="24" t="str">
        <f t="shared" si="915"/>
        <v>0-3 months</v>
      </c>
    </row>
    <row r="2994" spans="1:46" s="12" customFormat="1">
      <c r="A2994" s="33" t="str">
        <f t="shared" si="902"/>
        <v>FY 21/22</v>
      </c>
      <c r="B2994" s="152">
        <v>2021</v>
      </c>
      <c r="C2994" s="152">
        <v>7</v>
      </c>
      <c r="D2994" s="33" t="str">
        <f t="shared" si="903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904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905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906"/>
        <v>1</v>
      </c>
      <c r="Z2994" s="18">
        <f t="shared" si="900"/>
        <v>11560000</v>
      </c>
      <c r="AA2994" s="13">
        <v>7.0000000000000007E-2</v>
      </c>
      <c r="AB2994" s="21">
        <f t="shared" si="907"/>
        <v>809200.00000000012</v>
      </c>
      <c r="AC2994" s="130">
        <f t="shared" si="908"/>
        <v>82457.48000000001</v>
      </c>
      <c r="AD2994" s="169">
        <v>0.1019</v>
      </c>
      <c r="AE2994" s="154">
        <f t="shared" si="909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98"/>
        <v>29500529.005044252</v>
      </c>
      <c r="AJ2994" s="19">
        <f t="shared" si="899"/>
        <v>3253064.846231177</v>
      </c>
      <c r="AK2994" s="20">
        <f t="shared" si="910"/>
        <v>0.11027140718984871</v>
      </c>
      <c r="AL2994" s="17"/>
      <c r="AM2994" s="17"/>
      <c r="AN2994" s="17"/>
      <c r="AO2994" s="17"/>
      <c r="AP2994" s="28" t="str">
        <f t="shared" si="911"/>
        <v>202111</v>
      </c>
      <c r="AQ2994" s="28" t="str">
        <f t="shared" si="912"/>
        <v>202111JPY</v>
      </c>
      <c r="AR2994" s="206" t="str">
        <f t="shared" si="913"/>
        <v>YAMAHA_Mounter</v>
      </c>
      <c r="AS2994" s="22">
        <f t="shared" si="914"/>
        <v>4</v>
      </c>
      <c r="AT2994" s="24" t="str">
        <f t="shared" si="915"/>
        <v>4-6 months</v>
      </c>
    </row>
    <row r="2995" spans="1:46" s="12" customFormat="1">
      <c r="A2995" s="33" t="str">
        <f t="shared" si="902"/>
        <v>FY 21/22</v>
      </c>
      <c r="B2995" s="152">
        <v>2021</v>
      </c>
      <c r="C2995" s="152">
        <v>7</v>
      </c>
      <c r="D2995" s="33" t="str">
        <f t="shared" si="903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904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905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906"/>
        <v>1</v>
      </c>
      <c r="Z2995" s="18">
        <f t="shared" si="900"/>
        <v>11560000</v>
      </c>
      <c r="AA2995" s="13">
        <v>7.0000000000000007E-2</v>
      </c>
      <c r="AB2995" s="21">
        <f t="shared" si="907"/>
        <v>809200.00000000012</v>
      </c>
      <c r="AC2995" s="130">
        <f t="shared" si="908"/>
        <v>82457.48000000001</v>
      </c>
      <c r="AD2995" s="169">
        <v>0.1019</v>
      </c>
      <c r="AE2995" s="154">
        <f t="shared" si="909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98"/>
        <v>29500529.005044252</v>
      </c>
      <c r="AJ2995" s="19">
        <f t="shared" si="899"/>
        <v>3253064.846231177</v>
      </c>
      <c r="AK2995" s="20">
        <f t="shared" si="910"/>
        <v>0.11027140718984871</v>
      </c>
      <c r="AL2995" s="17"/>
      <c r="AM2995" s="17"/>
      <c r="AN2995" s="17"/>
      <c r="AO2995" s="17"/>
      <c r="AP2995" s="28" t="str">
        <f t="shared" si="911"/>
        <v>202111</v>
      </c>
      <c r="AQ2995" s="28" t="str">
        <f t="shared" si="912"/>
        <v>202111JPY</v>
      </c>
      <c r="AR2995" s="206" t="str">
        <f t="shared" si="913"/>
        <v>YAMAHA_Mounter</v>
      </c>
      <c r="AS2995" s="22">
        <f t="shared" si="914"/>
        <v>4</v>
      </c>
      <c r="AT2995" s="24" t="str">
        <f t="shared" si="915"/>
        <v>4-6 months</v>
      </c>
    </row>
    <row r="2996" spans="1:46" s="12" customFormat="1">
      <c r="A2996" s="33" t="str">
        <f t="shared" si="902"/>
        <v>FY 20/21</v>
      </c>
      <c r="B2996" s="152">
        <v>2020</v>
      </c>
      <c r="C2996" s="152">
        <v>12</v>
      </c>
      <c r="D2996" s="33" t="str">
        <f t="shared" si="903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904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905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906"/>
        <v>1</v>
      </c>
      <c r="Z2996" s="18">
        <f t="shared" si="900"/>
        <v>13300000</v>
      </c>
      <c r="AA2996" s="13">
        <v>7.4499999999999997E-2</v>
      </c>
      <c r="AB2996" s="21">
        <f t="shared" si="907"/>
        <v>990850</v>
      </c>
      <c r="AC2996" s="130">
        <f t="shared" si="908"/>
        <v>109885.265</v>
      </c>
      <c r="AD2996" s="169">
        <v>0.1109</v>
      </c>
      <c r="AE2996" s="154">
        <f t="shared" si="909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98"/>
        <v>57778307.282035396</v>
      </c>
      <c r="AJ2996" s="19">
        <f t="shared" si="899"/>
        <v>7259860.7225420559</v>
      </c>
      <c r="AK2996" s="20">
        <f t="shared" si="910"/>
        <v>0.12565028406083667</v>
      </c>
      <c r="AL2996" s="17"/>
      <c r="AM2996" s="17"/>
      <c r="AN2996" s="17"/>
      <c r="AO2996" s="17" t="s">
        <v>1577</v>
      </c>
      <c r="AP2996" s="28" t="str">
        <f t="shared" si="911"/>
        <v>20213</v>
      </c>
      <c r="AQ2996" s="28" t="str">
        <f t="shared" si="912"/>
        <v>20213JPY</v>
      </c>
      <c r="AR2996" s="206" t="str">
        <f t="shared" si="913"/>
        <v>YAMAHA_Mounter</v>
      </c>
      <c r="AS2996" s="22">
        <f t="shared" si="914"/>
        <v>3</v>
      </c>
      <c r="AT2996" s="24" t="str">
        <f t="shared" si="915"/>
        <v>0-3 months</v>
      </c>
    </row>
    <row r="2997" spans="1:46" s="12" customFormat="1">
      <c r="A2997" s="33" t="str">
        <f t="shared" si="902"/>
        <v>FY 22/23</v>
      </c>
      <c r="B2997" s="152">
        <v>2022</v>
      </c>
      <c r="C2997" s="152">
        <v>7</v>
      </c>
      <c r="D2997" s="33" t="str">
        <f t="shared" si="903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904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905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906"/>
        <v>1.13</v>
      </c>
      <c r="Z2997" s="18">
        <f t="shared" si="900"/>
        <v>900000</v>
      </c>
      <c r="AA2997" s="13">
        <v>1.163</v>
      </c>
      <c r="AB2997" s="21">
        <f t="shared" si="907"/>
        <v>926283.18584070809</v>
      </c>
      <c r="AC2997" s="130">
        <f t="shared" si="908"/>
        <v>157838.65486725664</v>
      </c>
      <c r="AD2997" s="169">
        <v>0.1704</v>
      </c>
      <c r="AE2997" s="154">
        <f t="shared" si="909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98"/>
        <v>35073581.838938057</v>
      </c>
      <c r="AJ2997" s="19">
        <f t="shared" si="899"/>
        <v>5034113.9728989396</v>
      </c>
      <c r="AK2997" s="20">
        <f t="shared" si="910"/>
        <v>0.14353007902118958</v>
      </c>
      <c r="AL2997" s="17"/>
      <c r="AM2997" s="17"/>
      <c r="AN2997" s="17"/>
      <c r="AO2997" s="17"/>
      <c r="AP2997" s="28" t="str">
        <f t="shared" si="911"/>
        <v>20228</v>
      </c>
      <c r="AQ2997" s="28" t="str">
        <f t="shared" si="912"/>
        <v>20228RMB</v>
      </c>
      <c r="AR2997" s="206" t="str">
        <f t="shared" si="913"/>
        <v>YAMAHA_Mounter</v>
      </c>
      <c r="AS2997" s="22">
        <f t="shared" si="914"/>
        <v>1</v>
      </c>
      <c r="AT2997" s="24" t="str">
        <f t="shared" si="915"/>
        <v>0-3 months</v>
      </c>
    </row>
    <row r="2998" spans="1:46" s="12" customFormat="1">
      <c r="A2998" s="33" t="str">
        <f t="shared" si="902"/>
        <v>FY 22/23</v>
      </c>
      <c r="B2998" s="152">
        <v>2022</v>
      </c>
      <c r="C2998" s="152">
        <v>7</v>
      </c>
      <c r="D2998" s="33" t="str">
        <f t="shared" si="903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904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905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906"/>
        <v>1.13</v>
      </c>
      <c r="Z2998" s="18">
        <f t="shared" si="900"/>
        <v>790000</v>
      </c>
      <c r="AA2998" s="13">
        <v>1.163</v>
      </c>
      <c r="AB2998" s="21">
        <f t="shared" si="907"/>
        <v>813070.79646017705</v>
      </c>
      <c r="AC2998" s="130">
        <f t="shared" si="908"/>
        <v>138547.26371681417</v>
      </c>
      <c r="AD2998" s="169">
        <v>0.1704</v>
      </c>
      <c r="AE2998" s="154">
        <f t="shared" si="909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98"/>
        <v>35073581.838938057</v>
      </c>
      <c r="AJ2998" s="19">
        <f t="shared" si="899"/>
        <v>5034113.9728989396</v>
      </c>
      <c r="AK2998" s="20">
        <f t="shared" si="910"/>
        <v>0.14353007902118958</v>
      </c>
      <c r="AL2998" s="17"/>
      <c r="AM2998" s="17"/>
      <c r="AN2998" s="17"/>
      <c r="AO2998" s="17"/>
      <c r="AP2998" s="28" t="str">
        <f t="shared" si="911"/>
        <v>20228</v>
      </c>
      <c r="AQ2998" s="28" t="str">
        <f t="shared" si="912"/>
        <v>20228RMB</v>
      </c>
      <c r="AR2998" s="206" t="str">
        <f t="shared" si="913"/>
        <v>YAMAHA_Mounter</v>
      </c>
      <c r="AS2998" s="22">
        <f t="shared" si="914"/>
        <v>1</v>
      </c>
      <c r="AT2998" s="24" t="str">
        <f t="shared" si="915"/>
        <v>0-3 months</v>
      </c>
    </row>
    <row r="2999" spans="1:46" s="12" customFormat="1">
      <c r="A2999" s="33" t="str">
        <f t="shared" si="902"/>
        <v>FY 22/23</v>
      </c>
      <c r="B2999" s="152">
        <v>2022</v>
      </c>
      <c r="C2999" s="152">
        <v>7</v>
      </c>
      <c r="D2999" s="33" t="str">
        <f t="shared" si="903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904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905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906"/>
        <v>1.13</v>
      </c>
      <c r="Z2999" s="18">
        <f t="shared" si="900"/>
        <v>790000</v>
      </c>
      <c r="AA2999" s="13">
        <v>1.163</v>
      </c>
      <c r="AB2999" s="21">
        <f t="shared" si="907"/>
        <v>813070.79646017705</v>
      </c>
      <c r="AC2999" s="130">
        <f t="shared" si="908"/>
        <v>138547.26371681417</v>
      </c>
      <c r="AD2999" s="169">
        <v>0.1704</v>
      </c>
      <c r="AE2999" s="154">
        <f t="shared" si="909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98"/>
        <v>35073581.838938057</v>
      </c>
      <c r="AJ2999" s="19">
        <f t="shared" si="899"/>
        <v>5034113.9728989396</v>
      </c>
      <c r="AK2999" s="20">
        <f t="shared" si="910"/>
        <v>0.14353007902118958</v>
      </c>
      <c r="AL2999" s="17"/>
      <c r="AM2999" s="17"/>
      <c r="AN2999" s="17"/>
      <c r="AO2999" s="17"/>
      <c r="AP2999" s="28" t="str">
        <f t="shared" si="911"/>
        <v>20228</v>
      </c>
      <c r="AQ2999" s="28" t="str">
        <f t="shared" si="912"/>
        <v>20228RMB</v>
      </c>
      <c r="AR2999" s="206" t="str">
        <f t="shared" si="913"/>
        <v>YAMAHA_Mounter</v>
      </c>
      <c r="AS2999" s="22">
        <f t="shared" si="914"/>
        <v>1</v>
      </c>
      <c r="AT2999" s="24" t="str">
        <f t="shared" si="915"/>
        <v>0-3 months</v>
      </c>
    </row>
    <row r="3000" spans="1:46" s="12" customFormat="1">
      <c r="A3000" s="33" t="str">
        <f t="shared" si="902"/>
        <v>FY 23/24</v>
      </c>
      <c r="B3000" s="23">
        <v>2024</v>
      </c>
      <c r="C3000" s="152">
        <v>3</v>
      </c>
      <c r="D3000" s="33" t="str">
        <f t="shared" si="903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904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905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900"/>
        <v>12300000</v>
      </c>
      <c r="AA3000" s="13">
        <v>4.9500000000000002E-2</v>
      </c>
      <c r="AB3000" s="21">
        <f t="shared" si="907"/>
        <v>608850</v>
      </c>
      <c r="AC3000" s="25">
        <f t="shared" si="908"/>
        <v>73062</v>
      </c>
      <c r="AD3000" s="169">
        <v>0.12</v>
      </c>
      <c r="AE3000" s="26">
        <f t="shared" si="909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98"/>
        <v>477651199.57437885</v>
      </c>
      <c r="AJ3000" s="27">
        <f t="shared" si="899"/>
        <v>56918800.518691957</v>
      </c>
      <c r="AK3000" s="28">
        <f t="shared" si="910"/>
        <v>0.11916394341605475</v>
      </c>
      <c r="AL3000" s="24"/>
      <c r="AM3000" s="24"/>
      <c r="AN3000" s="24"/>
      <c r="AO3000" s="24"/>
      <c r="AP3000" s="28" t="str">
        <f t="shared" si="911"/>
        <v>CancelCancel</v>
      </c>
      <c r="AQ3000" s="28" t="str">
        <f t="shared" si="912"/>
        <v>CancelCancelJPY</v>
      </c>
      <c r="AR3000" s="206" t="str">
        <f t="shared" si="913"/>
        <v>YAMAHA_Mounter</v>
      </c>
      <c r="AS3000" s="22" t="str">
        <f t="shared" si="914"/>
        <v/>
      </c>
      <c r="AT3000" s="24" t="str">
        <f t="shared" si="915"/>
        <v/>
      </c>
    </row>
    <row r="3001" spans="1:46" s="12" customFormat="1">
      <c r="A3001" s="33" t="str">
        <f t="shared" si="902"/>
        <v>FY 24/25</v>
      </c>
      <c r="B3001" s="23">
        <v>2024</v>
      </c>
      <c r="C3001" s="152">
        <v>5</v>
      </c>
      <c r="D3001" s="202" t="str">
        <f t="shared" si="903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904"/>
        <v>Q2</v>
      </c>
      <c r="J3001" s="188" t="s">
        <v>3491</v>
      </c>
      <c r="K3001" s="29" t="s">
        <v>3450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905"/>
        <v>MAIN UNIT</v>
      </c>
      <c r="Q3001" s="22" t="s">
        <v>62</v>
      </c>
      <c r="R3001" s="22" t="s">
        <v>63</v>
      </c>
      <c r="S3001" s="22" t="s">
        <v>50</v>
      </c>
      <c r="T3001" s="22" t="s">
        <v>79</v>
      </c>
      <c r="U3001" s="22" t="s">
        <v>79</v>
      </c>
      <c r="V3001" s="22" t="s">
        <v>81</v>
      </c>
      <c r="W3001" s="22" t="s">
        <v>110</v>
      </c>
      <c r="X3001" s="104">
        <v>11800000</v>
      </c>
      <c r="Y3001" s="195" t="str">
        <f>IF(W3001="","",IF(W3001="RMB","1.13", "1"))</f>
        <v>1</v>
      </c>
      <c r="Z3001" s="196">
        <f t="shared" si="900"/>
        <v>11800000</v>
      </c>
      <c r="AA3001" s="22">
        <v>5.2299999999999999E-2</v>
      </c>
      <c r="AB3001" s="197">
        <f t="shared" si="907"/>
        <v>617140</v>
      </c>
      <c r="AC3001" s="198">
        <f t="shared" si="908"/>
        <v>70971.100000000006</v>
      </c>
      <c r="AD3001" s="170">
        <v>0.115</v>
      </c>
      <c r="AE3001" s="199">
        <f t="shared" si="909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98"/>
        <v>25354039.366920356</v>
      </c>
      <c r="AJ3001" s="200">
        <f t="shared" si="899"/>
        <v>3027878.5311884549</v>
      </c>
      <c r="AK3001" s="201">
        <f t="shared" si="910"/>
        <v>0.11942391061910851</v>
      </c>
      <c r="AL3001" s="24"/>
      <c r="AM3001" s="24"/>
      <c r="AN3001" s="24"/>
      <c r="AO3001" s="24"/>
      <c r="AP3001" s="105" t="str">
        <f t="shared" si="911"/>
        <v>20248</v>
      </c>
      <c r="AQ3001" s="28" t="str">
        <f t="shared" si="912"/>
        <v>20248JPY</v>
      </c>
      <c r="AR3001" s="206" t="str">
        <f t="shared" si="913"/>
        <v>YAMAHA_Mounter</v>
      </c>
      <c r="AS3001" s="22">
        <f t="shared" si="914"/>
        <v>3</v>
      </c>
      <c r="AT3001" s="24" t="str">
        <f t="shared" si="915"/>
        <v>0-3 months</v>
      </c>
    </row>
    <row r="3002" spans="1:46" s="12" customFormat="1">
      <c r="A3002" s="33" t="str">
        <f t="shared" si="902"/>
        <v>FY 24/25</v>
      </c>
      <c r="B3002" s="23">
        <v>2024</v>
      </c>
      <c r="C3002" s="23">
        <v>6</v>
      </c>
      <c r="D3002" s="33" t="str">
        <f t="shared" si="903"/>
        <v>Q1</v>
      </c>
      <c r="E3002" s="33" t="str">
        <f>IF(G3002="Cancel","Cancel",IF(G3002="TBA","TBA",IFERROR(IF(I3002="Q4","FY "&amp;RIGHT(F3002,2)-1&amp;"/"&amp;RIGHT(F3002,2),"FY "&amp;RIGHT(F3002,2)&amp;"/"&amp;RIGHT(F3002,2)+1),"")))</f>
        <v>FY 24/25</v>
      </c>
      <c r="F3002" s="23">
        <v>2024</v>
      </c>
      <c r="G3002" s="23">
        <v>9</v>
      </c>
      <c r="H3002" s="29"/>
      <c r="I3002" s="202" t="str">
        <f t="shared" si="904"/>
        <v>Q2</v>
      </c>
      <c r="J3002" s="188" t="s">
        <v>3476</v>
      </c>
      <c r="K3002" s="29" t="s">
        <v>1512</v>
      </c>
      <c r="L3002" s="17" t="s">
        <v>68</v>
      </c>
      <c r="M3002" s="13" t="s">
        <v>61</v>
      </c>
      <c r="N3002" s="13">
        <v>1</v>
      </c>
      <c r="O3002" s="22"/>
      <c r="P3002" s="33" t="str">
        <f t="shared" si="905"/>
        <v>MAIN UNIT</v>
      </c>
      <c r="Q3002" s="22" t="s">
        <v>62</v>
      </c>
      <c r="R3002" s="22" t="s">
        <v>63</v>
      </c>
      <c r="S3002" s="22" t="s">
        <v>50</v>
      </c>
      <c r="T3002" s="22" t="s">
        <v>79</v>
      </c>
      <c r="U3002" s="22" t="s">
        <v>79</v>
      </c>
      <c r="V3002" s="22" t="s">
        <v>312</v>
      </c>
      <c r="W3002" s="22" t="s">
        <v>110</v>
      </c>
      <c r="X3002" s="104">
        <v>8100000</v>
      </c>
      <c r="Y3002" s="195" t="str">
        <f>IF(W3002="","",IF(W3002="RMB","1.13", "1"))</f>
        <v>1</v>
      </c>
      <c r="Z3002" s="196">
        <f t="shared" si="900"/>
        <v>8100000</v>
      </c>
      <c r="AA3002" s="22">
        <v>5.5100000000000003E-2</v>
      </c>
      <c r="AB3002" s="197">
        <f t="shared" si="907"/>
        <v>446310</v>
      </c>
      <c r="AC3002" s="198">
        <f t="shared" si="908"/>
        <v>71097.183000000005</v>
      </c>
      <c r="AD3002" s="170">
        <v>0.1593</v>
      </c>
      <c r="AE3002" s="199">
        <f t="shared" si="909"/>
        <v>0</v>
      </c>
      <c r="AF3002" s="199" t="str">
        <f>IF(AND(COUNTIFS($J$18:J3002,J3002)=1,AE3002=1),1,"")</f>
        <v/>
      </c>
      <c r="AG3002" s="199">
        <f>IF(C3002="","",IF(AND(COUNTIFS($J$18:J3002,J3002)=1,C3002&lt;&gt;""),1,""))</f>
        <v>1</v>
      </c>
      <c r="AH3002" s="199">
        <f>IF(G3002="","",IF(AND(COUNTIFS($J$18:J3002,J3002)=1,G3002&lt;&gt;""),1,""))</f>
        <v>1</v>
      </c>
      <c r="AI3002" s="200">
        <f t="shared" si="898"/>
        <v>35931087.732566379</v>
      </c>
      <c r="AJ3002" s="200">
        <f t="shared" si="899"/>
        <v>4346699.6584161064</v>
      </c>
      <c r="AK3002" s="201">
        <f t="shared" si="910"/>
        <v>0.12097322771769156</v>
      </c>
      <c r="AL3002" s="24"/>
      <c r="AM3002" s="24"/>
      <c r="AN3002" s="24"/>
      <c r="AO3002" s="24"/>
      <c r="AP3002" s="105" t="str">
        <f t="shared" si="911"/>
        <v>20249</v>
      </c>
      <c r="AQ3002" s="28" t="str">
        <f t="shared" si="912"/>
        <v>20249JPY</v>
      </c>
      <c r="AR3002" s="206" t="str">
        <f t="shared" si="913"/>
        <v>YAMAHA_Mounter</v>
      </c>
      <c r="AS3002" s="22">
        <f t="shared" si="914"/>
        <v>3</v>
      </c>
      <c r="AT3002" s="24" t="str">
        <f t="shared" si="915"/>
        <v>0-3 months</v>
      </c>
    </row>
    <row r="3003" spans="1:46" s="12" customFormat="1">
      <c r="A3003" s="33" t="str">
        <f t="shared" si="902"/>
        <v>FY 24/25</v>
      </c>
      <c r="B3003" s="23">
        <v>2024</v>
      </c>
      <c r="C3003" s="23">
        <v>6</v>
      </c>
      <c r="D3003" s="33" t="str">
        <f t="shared" si="903"/>
        <v>Q1</v>
      </c>
      <c r="E3003" s="33" t="str">
        <f>IF(G3003="Cancel","Cancel",IF(G3003="TBA","TBA",IFERROR(IF(I3003="Q4","FY "&amp;RIGHT(F3003,2)-1&amp;"/"&amp;RIGHT(F3003,2),"FY "&amp;RIGHT(F3003,2)&amp;"/"&amp;RIGHT(F3003,2)+1),"")))</f>
        <v>FY 24/25</v>
      </c>
      <c r="F3003" s="23">
        <v>2024</v>
      </c>
      <c r="G3003" s="152">
        <v>9</v>
      </c>
      <c r="H3003" s="29"/>
      <c r="I3003" s="202" t="str">
        <f t="shared" si="904"/>
        <v>Q2</v>
      </c>
      <c r="J3003" s="188" t="s">
        <v>3477</v>
      </c>
      <c r="K3003" s="29" t="s">
        <v>1606</v>
      </c>
      <c r="L3003" s="17" t="s">
        <v>68</v>
      </c>
      <c r="M3003" s="13" t="s">
        <v>61</v>
      </c>
      <c r="N3003" s="13">
        <v>1</v>
      </c>
      <c r="O3003" s="22"/>
      <c r="P3003" s="33" t="str">
        <f t="shared" si="905"/>
        <v>MAIN UNIT</v>
      </c>
      <c r="Q3003" s="22" t="s">
        <v>62</v>
      </c>
      <c r="R3003" s="22" t="s">
        <v>63</v>
      </c>
      <c r="S3003" s="22" t="s">
        <v>50</v>
      </c>
      <c r="T3003" s="22" t="s">
        <v>79</v>
      </c>
      <c r="U3003" s="22" t="s">
        <v>79</v>
      </c>
      <c r="V3003" s="22" t="s">
        <v>127</v>
      </c>
      <c r="W3003" s="22" t="s">
        <v>110</v>
      </c>
      <c r="X3003" s="104">
        <v>7415000</v>
      </c>
      <c r="Y3003" s="195" t="str">
        <f>IF(W3003="","",IF(W3003="RMB","1.13", "1"))</f>
        <v>1</v>
      </c>
      <c r="Z3003" s="196">
        <f t="shared" si="900"/>
        <v>7415000</v>
      </c>
      <c r="AA3003" s="22">
        <v>5.5100000000000003E-2</v>
      </c>
      <c r="AB3003" s="197">
        <f t="shared" si="907"/>
        <v>408566.5</v>
      </c>
      <c r="AC3003" s="198">
        <f t="shared" si="908"/>
        <v>24963.41315</v>
      </c>
      <c r="AD3003" s="170">
        <v>6.1100000000000002E-2</v>
      </c>
      <c r="AE3003" s="199">
        <f t="shared" si="909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98"/>
        <v>35931087.732566379</v>
      </c>
      <c r="AJ3003" s="200">
        <f t="shared" si="899"/>
        <v>4346699.6584161064</v>
      </c>
      <c r="AK3003" s="201">
        <f t="shared" si="910"/>
        <v>0.12097322771769156</v>
      </c>
      <c r="AL3003" s="24"/>
      <c r="AM3003" s="24"/>
      <c r="AN3003" s="24"/>
      <c r="AO3003" s="24"/>
      <c r="AP3003" s="105" t="str">
        <f t="shared" si="911"/>
        <v>20249</v>
      </c>
      <c r="AQ3003" s="28" t="str">
        <f t="shared" si="912"/>
        <v>20249JPY</v>
      </c>
      <c r="AR3003" s="206" t="str">
        <f t="shared" si="913"/>
        <v>YAMAHA_Mounter</v>
      </c>
      <c r="AS3003" s="22">
        <f t="shared" si="914"/>
        <v>3</v>
      </c>
      <c r="AT3003" s="24" t="str">
        <f t="shared" si="915"/>
        <v>0-3 months</v>
      </c>
    </row>
    <row r="3004" spans="1:46" s="12" customFormat="1">
      <c r="A3004" s="33" t="str">
        <f t="shared" si="902"/>
        <v>FY 20/21</v>
      </c>
      <c r="B3004" s="152">
        <v>2020</v>
      </c>
      <c r="C3004" s="152">
        <v>7</v>
      </c>
      <c r="D3004" s="33" t="str">
        <f t="shared" si="903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904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905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900"/>
        <v>850000</v>
      </c>
      <c r="AA3004" s="13">
        <v>1.1299999999999999</v>
      </c>
      <c r="AB3004" s="21">
        <f t="shared" si="907"/>
        <v>850000</v>
      </c>
      <c r="AC3004" s="130">
        <f t="shared" si="908"/>
        <v>98260</v>
      </c>
      <c r="AD3004" s="169">
        <v>0.11559999999999999</v>
      </c>
      <c r="AE3004" s="154">
        <f t="shared" si="909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98"/>
        <v>47907808.356810622</v>
      </c>
      <c r="AJ3004" s="19">
        <f t="shared" si="899"/>
        <v>6027384.8806384448</v>
      </c>
      <c r="AK3004" s="20">
        <f t="shared" si="910"/>
        <v>0.12581216063459488</v>
      </c>
      <c r="AL3004" s="17"/>
      <c r="AM3004" s="17"/>
      <c r="AN3004" s="17"/>
      <c r="AO3004" s="17"/>
      <c r="AP3004" s="28" t="str">
        <f t="shared" si="911"/>
        <v>20209</v>
      </c>
      <c r="AQ3004" s="28" t="str">
        <f t="shared" si="912"/>
        <v>20209RMB</v>
      </c>
      <c r="AR3004" s="206" t="str">
        <f t="shared" si="913"/>
        <v>YAMAHA_Mounter</v>
      </c>
      <c r="AS3004" s="22">
        <f t="shared" si="914"/>
        <v>2</v>
      </c>
      <c r="AT3004" s="24" t="str">
        <f t="shared" si="915"/>
        <v>0-3 months</v>
      </c>
    </row>
    <row r="3005" spans="1:46" s="12" customFormat="1">
      <c r="A3005" s="33" t="str">
        <f t="shared" si="902"/>
        <v>FY 20/21</v>
      </c>
      <c r="B3005" s="152">
        <v>2020</v>
      </c>
      <c r="C3005" s="152">
        <v>7</v>
      </c>
      <c r="D3005" s="33" t="str">
        <f t="shared" si="903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904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905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900"/>
        <v>850000</v>
      </c>
      <c r="AA3005" s="13">
        <v>1.1299999999999999</v>
      </c>
      <c r="AB3005" s="21">
        <f t="shared" si="907"/>
        <v>850000</v>
      </c>
      <c r="AC3005" s="130">
        <f t="shared" si="908"/>
        <v>98260</v>
      </c>
      <c r="AD3005" s="169">
        <v>0.11559999999999999</v>
      </c>
      <c r="AE3005" s="154">
        <f t="shared" si="909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98"/>
        <v>47907808.356810622</v>
      </c>
      <c r="AJ3005" s="19">
        <f t="shared" si="899"/>
        <v>6027384.8806384448</v>
      </c>
      <c r="AK3005" s="20">
        <f t="shared" si="910"/>
        <v>0.12581216063459488</v>
      </c>
      <c r="AL3005" s="17"/>
      <c r="AM3005" s="17"/>
      <c r="AN3005" s="17"/>
      <c r="AO3005" s="17"/>
      <c r="AP3005" s="28" t="str">
        <f t="shared" si="911"/>
        <v>20209</v>
      </c>
      <c r="AQ3005" s="28" t="str">
        <f t="shared" si="912"/>
        <v>20209RMB</v>
      </c>
      <c r="AR3005" s="206" t="str">
        <f t="shared" si="913"/>
        <v>YAMAHA_Mounter</v>
      </c>
      <c r="AS3005" s="22">
        <f t="shared" si="914"/>
        <v>2</v>
      </c>
      <c r="AT3005" s="24" t="str">
        <f t="shared" si="915"/>
        <v>0-3 months</v>
      </c>
    </row>
    <row r="3006" spans="1:46" s="12" customFormat="1">
      <c r="A3006" s="33" t="str">
        <f t="shared" si="902"/>
        <v>FY 20/21</v>
      </c>
      <c r="B3006" s="152">
        <v>2020</v>
      </c>
      <c r="C3006" s="152">
        <v>7</v>
      </c>
      <c r="D3006" s="33" t="str">
        <f t="shared" si="903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904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905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900"/>
        <v>900000</v>
      </c>
      <c r="AA3006" s="13">
        <v>1.1299999999999999</v>
      </c>
      <c r="AB3006" s="21">
        <f t="shared" si="907"/>
        <v>900000</v>
      </c>
      <c r="AC3006" s="130">
        <f t="shared" si="908"/>
        <v>104040</v>
      </c>
      <c r="AD3006" s="169">
        <v>0.11559999999999999</v>
      </c>
      <c r="AE3006" s="154">
        <f t="shared" si="909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98"/>
        <v>47907808.356810622</v>
      </c>
      <c r="AJ3006" s="19">
        <f t="shared" si="899"/>
        <v>6027384.8806384448</v>
      </c>
      <c r="AK3006" s="20">
        <f t="shared" si="910"/>
        <v>0.12581216063459488</v>
      </c>
      <c r="AL3006" s="17"/>
      <c r="AM3006" s="17"/>
      <c r="AN3006" s="17"/>
      <c r="AO3006" s="17"/>
      <c r="AP3006" s="28" t="str">
        <f t="shared" si="911"/>
        <v>20209</v>
      </c>
      <c r="AQ3006" s="28" t="str">
        <f t="shared" si="912"/>
        <v>20209RMB</v>
      </c>
      <c r="AR3006" s="206" t="str">
        <f t="shared" si="913"/>
        <v>YAMAHA_Mounter</v>
      </c>
      <c r="AS3006" s="22">
        <f t="shared" si="914"/>
        <v>2</v>
      </c>
      <c r="AT3006" s="24" t="str">
        <f t="shared" si="915"/>
        <v>0-3 months</v>
      </c>
    </row>
    <row r="3007" spans="1:46" s="12" customFormat="1">
      <c r="A3007" s="33" t="str">
        <f t="shared" si="902"/>
        <v>FY 21/22</v>
      </c>
      <c r="B3007" s="152">
        <v>2022</v>
      </c>
      <c r="C3007" s="152">
        <v>3</v>
      </c>
      <c r="D3007" s="33" t="str">
        <f t="shared" si="903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904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905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900"/>
        <v>660000</v>
      </c>
      <c r="AA3007" s="13">
        <v>1.175</v>
      </c>
      <c r="AB3007" s="21">
        <f t="shared" si="907"/>
        <v>686283.18584070809</v>
      </c>
      <c r="AC3007" s="130">
        <f t="shared" si="908"/>
        <v>82353.982300884963</v>
      </c>
      <c r="AD3007" s="169">
        <v>0.12</v>
      </c>
      <c r="AE3007" s="154">
        <f t="shared" si="909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98"/>
        <v>477651199.57437885</v>
      </c>
      <c r="AJ3007" s="19">
        <f t="shared" si="899"/>
        <v>56918800.518691957</v>
      </c>
      <c r="AK3007" s="20">
        <f t="shared" si="910"/>
        <v>0.11916394341605475</v>
      </c>
      <c r="AL3007" s="17"/>
      <c r="AM3007" s="17"/>
      <c r="AN3007" s="17"/>
      <c r="AO3007" s="17"/>
      <c r="AP3007" s="28" t="str">
        <f t="shared" si="911"/>
        <v>CancelCancel</v>
      </c>
      <c r="AQ3007" s="28" t="str">
        <f t="shared" si="912"/>
        <v>CancelCancelRMB</v>
      </c>
      <c r="AR3007" s="206" t="str">
        <f t="shared" si="913"/>
        <v>YAMAHA_Mounter</v>
      </c>
      <c r="AS3007" s="22" t="str">
        <f t="shared" si="914"/>
        <v/>
      </c>
      <c r="AT3007" s="24" t="str">
        <f t="shared" si="915"/>
        <v/>
      </c>
    </row>
    <row r="3008" spans="1:46" s="12" customFormat="1">
      <c r="A3008" s="33" t="str">
        <f t="shared" si="902"/>
        <v>FY 17/18</v>
      </c>
      <c r="B3008" s="152">
        <v>2018</v>
      </c>
      <c r="C3008" s="152">
        <v>1</v>
      </c>
      <c r="D3008" s="33" t="str">
        <f t="shared" si="903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904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905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900"/>
        <v>21772000</v>
      </c>
      <c r="AA3008" s="13">
        <v>7.0199999999999999E-2</v>
      </c>
      <c r="AB3008" s="21">
        <f t="shared" si="907"/>
        <v>1528394.4</v>
      </c>
      <c r="AC3008" s="130">
        <f t="shared" si="908"/>
        <v>183407.32799999998</v>
      </c>
      <c r="AD3008" s="169">
        <v>0.12</v>
      </c>
      <c r="AE3008" s="154">
        <f t="shared" si="909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98"/>
        <v>477651199.57437885</v>
      </c>
      <c r="AJ3008" s="19">
        <f t="shared" si="899"/>
        <v>56918800.518691957</v>
      </c>
      <c r="AK3008" s="20">
        <f t="shared" si="910"/>
        <v>0.11916394341605475</v>
      </c>
      <c r="AL3008" s="17"/>
      <c r="AM3008" s="17"/>
      <c r="AN3008" s="17"/>
      <c r="AO3008" s="17"/>
      <c r="AP3008" s="28" t="str">
        <f t="shared" si="911"/>
        <v>CancelCancel</v>
      </c>
      <c r="AQ3008" s="28" t="str">
        <f t="shared" si="912"/>
        <v>CancelCancelJPY</v>
      </c>
      <c r="AR3008" s="206" t="str">
        <f t="shared" si="913"/>
        <v>YAMAHA_Mounter</v>
      </c>
      <c r="AS3008" s="22" t="str">
        <f t="shared" si="914"/>
        <v/>
      </c>
      <c r="AT3008" s="24" t="str">
        <f t="shared" si="915"/>
        <v/>
      </c>
    </row>
    <row r="3009" spans="1:46" s="12" customFormat="1">
      <c r="A3009" s="33" t="str">
        <f t="shared" si="902"/>
        <v>FY 17/18</v>
      </c>
      <c r="B3009" s="152">
        <v>2018</v>
      </c>
      <c r="C3009" s="152">
        <v>1</v>
      </c>
      <c r="D3009" s="33" t="str">
        <f t="shared" si="903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904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905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900"/>
        <v>30660000</v>
      </c>
      <c r="AA3009" s="13">
        <v>7.22E-2</v>
      </c>
      <c r="AB3009" s="21">
        <f t="shared" si="907"/>
        <v>2213652</v>
      </c>
      <c r="AC3009" s="130">
        <f t="shared" si="908"/>
        <v>196572.29760000002</v>
      </c>
      <c r="AD3009" s="169">
        <v>8.8800000000000004E-2</v>
      </c>
      <c r="AE3009" s="154" t="str">
        <f t="shared" si="909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98"/>
        <v>477651199.57437885</v>
      </c>
      <c r="AJ3009" s="19">
        <f t="shared" si="899"/>
        <v>56918800.518691957</v>
      </c>
      <c r="AK3009" s="20">
        <f t="shared" si="910"/>
        <v>0.11916394341605475</v>
      </c>
      <c r="AL3009" s="17"/>
      <c r="AM3009" s="17"/>
      <c r="AN3009" s="17"/>
      <c r="AO3009" s="17"/>
      <c r="AP3009" s="28" t="str">
        <f t="shared" si="911"/>
        <v>CancelCancel</v>
      </c>
      <c r="AQ3009" s="28" t="str">
        <f t="shared" si="912"/>
        <v>CancelCancelJPY</v>
      </c>
      <c r="AR3009" s="206" t="str">
        <f t="shared" si="913"/>
        <v>YAMAHA_Mounter</v>
      </c>
      <c r="AS3009" s="22" t="str">
        <f t="shared" si="914"/>
        <v/>
      </c>
      <c r="AT3009" s="24" t="str">
        <f t="shared" si="915"/>
        <v/>
      </c>
    </row>
    <row r="3010" spans="1:46" s="12" customFormat="1">
      <c r="A3010" s="33" t="str">
        <f t="shared" si="902"/>
        <v>FY 17/18</v>
      </c>
      <c r="B3010" s="152">
        <v>2018</v>
      </c>
      <c r="C3010" s="152">
        <v>1</v>
      </c>
      <c r="D3010" s="33" t="str">
        <f t="shared" si="903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904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905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900"/>
        <v>8656000</v>
      </c>
      <c r="AA3010" s="13">
        <v>7.0199999999999999E-2</v>
      </c>
      <c r="AB3010" s="21">
        <f t="shared" si="907"/>
        <v>607651.19999999995</v>
      </c>
      <c r="AC3010" s="130">
        <f t="shared" si="908"/>
        <v>72918.143999999986</v>
      </c>
      <c r="AD3010" s="169">
        <v>0.12</v>
      </c>
      <c r="AE3010" s="154">
        <f t="shared" si="909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916">IF(P3010="C66 SERVICE","",SUMIFS(AB:AB,F:F,F3010,G:G,G3010,E:E,E3010))</f>
        <v>477651199.57437885</v>
      </c>
      <c r="AJ3010" s="19">
        <f t="shared" ref="AJ3010:AJ3073" si="917">IF(P3010="C66 SERVICE","",SUMIFS(AC:AC,F:F,F3010,G:G,G3010,E:E,E3010))</f>
        <v>56918800.518691957</v>
      </c>
      <c r="AK3010" s="20">
        <f t="shared" si="910"/>
        <v>0.11916394341605475</v>
      </c>
      <c r="AL3010" s="17"/>
      <c r="AM3010" s="17"/>
      <c r="AN3010" s="17"/>
      <c r="AO3010" s="17"/>
      <c r="AP3010" s="28" t="str">
        <f t="shared" si="911"/>
        <v>CancelCancel</v>
      </c>
      <c r="AQ3010" s="28" t="str">
        <f t="shared" si="912"/>
        <v>CancelCancelJPY</v>
      </c>
      <c r="AR3010" s="206" t="str">
        <f t="shared" si="913"/>
        <v>YAMAHA_Mounter</v>
      </c>
      <c r="AS3010" s="22" t="str">
        <f t="shared" si="914"/>
        <v/>
      </c>
      <c r="AT3010" s="24" t="str">
        <f t="shared" si="915"/>
        <v/>
      </c>
    </row>
    <row r="3011" spans="1:46" s="12" customFormat="1">
      <c r="A3011" s="33" t="str">
        <f t="shared" si="902"/>
        <v>FY 17/18</v>
      </c>
      <c r="B3011" s="152">
        <v>2018</v>
      </c>
      <c r="C3011" s="152">
        <v>1</v>
      </c>
      <c r="D3011" s="33" t="str">
        <f t="shared" si="903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904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905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900"/>
        <v>17312000</v>
      </c>
      <c r="AA3011" s="13">
        <v>7.0199999999999999E-2</v>
      </c>
      <c r="AB3011" s="21">
        <f t="shared" si="907"/>
        <v>1215302.3999999999</v>
      </c>
      <c r="AC3011" s="130">
        <f t="shared" si="908"/>
        <v>145836.28799999997</v>
      </c>
      <c r="AD3011" s="169">
        <v>0.12</v>
      </c>
      <c r="AE3011" s="154">
        <f t="shared" si="909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916"/>
        <v>477651199.57437885</v>
      </c>
      <c r="AJ3011" s="19">
        <f t="shared" si="917"/>
        <v>56918800.518691957</v>
      </c>
      <c r="AK3011" s="20">
        <f t="shared" si="910"/>
        <v>0.11916394341605475</v>
      </c>
      <c r="AL3011" s="17"/>
      <c r="AM3011" s="17"/>
      <c r="AN3011" s="17"/>
      <c r="AO3011" s="17"/>
      <c r="AP3011" s="28" t="str">
        <f t="shared" si="911"/>
        <v>CancelCancel</v>
      </c>
      <c r="AQ3011" s="28" t="str">
        <f t="shared" si="912"/>
        <v>CancelCancelJPY</v>
      </c>
      <c r="AR3011" s="206" t="str">
        <f t="shared" si="913"/>
        <v>YAMAHA_Mounter</v>
      </c>
      <c r="AS3011" s="22" t="str">
        <f t="shared" si="914"/>
        <v/>
      </c>
      <c r="AT3011" s="24" t="str">
        <f t="shared" si="915"/>
        <v/>
      </c>
    </row>
    <row r="3012" spans="1:46" s="12" customFormat="1">
      <c r="A3012" s="33" t="str">
        <f t="shared" si="902"/>
        <v>FY 17/18</v>
      </c>
      <c r="B3012" s="152">
        <v>2018</v>
      </c>
      <c r="C3012" s="152">
        <v>1</v>
      </c>
      <c r="D3012" s="33" t="str">
        <f t="shared" si="903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904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905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900"/>
        <v>10220000</v>
      </c>
      <c r="AA3012" s="13">
        <v>7.0400000000000004E-2</v>
      </c>
      <c r="AB3012" s="21">
        <f t="shared" si="907"/>
        <v>719488</v>
      </c>
      <c r="AC3012" s="130">
        <f t="shared" si="908"/>
        <v>63890.534400000004</v>
      </c>
      <c r="AD3012" s="169">
        <v>8.8800000000000004E-2</v>
      </c>
      <c r="AE3012" s="154" t="str">
        <f t="shared" si="909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916"/>
        <v>477651199.57437885</v>
      </c>
      <c r="AJ3012" s="19">
        <f t="shared" si="917"/>
        <v>56918800.518691957</v>
      </c>
      <c r="AK3012" s="20">
        <f t="shared" si="910"/>
        <v>0.11916394341605475</v>
      </c>
      <c r="AL3012" s="17"/>
      <c r="AM3012" s="17"/>
      <c r="AN3012" s="17"/>
      <c r="AO3012" s="17" t="s">
        <v>186</v>
      </c>
      <c r="AP3012" s="28" t="str">
        <f t="shared" si="911"/>
        <v>CancelCancel</v>
      </c>
      <c r="AQ3012" s="28" t="str">
        <f t="shared" si="912"/>
        <v>CancelCancelJPY</v>
      </c>
      <c r="AR3012" s="206" t="str">
        <f t="shared" si="913"/>
        <v>YAMAHA_Mounter</v>
      </c>
      <c r="AS3012" s="22" t="str">
        <f t="shared" si="914"/>
        <v/>
      </c>
      <c r="AT3012" s="24" t="str">
        <f t="shared" si="915"/>
        <v/>
      </c>
    </row>
    <row r="3013" spans="1:46" s="12" customFormat="1">
      <c r="A3013" s="33" t="str">
        <f t="shared" si="902"/>
        <v>FY 17/18</v>
      </c>
      <c r="B3013" s="152">
        <v>2018</v>
      </c>
      <c r="C3013" s="152">
        <v>1</v>
      </c>
      <c r="D3013" s="33" t="str">
        <f t="shared" si="903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904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905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900"/>
        <v>20440000</v>
      </c>
      <c r="AA3013" s="13">
        <v>7.0400000000000004E-2</v>
      </c>
      <c r="AB3013" s="21">
        <f t="shared" si="907"/>
        <v>1438976</v>
      </c>
      <c r="AC3013" s="130">
        <f t="shared" si="908"/>
        <v>127781.06880000001</v>
      </c>
      <c r="AD3013" s="169">
        <v>8.8800000000000004E-2</v>
      </c>
      <c r="AE3013" s="154" t="str">
        <f t="shared" si="909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916"/>
        <v>477651199.57437885</v>
      </c>
      <c r="AJ3013" s="19">
        <f t="shared" si="917"/>
        <v>56918800.518691957</v>
      </c>
      <c r="AK3013" s="20">
        <f t="shared" si="910"/>
        <v>0.11916394341605475</v>
      </c>
      <c r="AL3013" s="17"/>
      <c r="AM3013" s="17"/>
      <c r="AN3013" s="17"/>
      <c r="AO3013" s="17" t="s">
        <v>186</v>
      </c>
      <c r="AP3013" s="28" t="str">
        <f t="shared" si="911"/>
        <v>CancelCancel</v>
      </c>
      <c r="AQ3013" s="28" t="str">
        <f t="shared" si="912"/>
        <v>CancelCancelJPY</v>
      </c>
      <c r="AR3013" s="206" t="str">
        <f t="shared" si="913"/>
        <v>YAMAHA_Mounter</v>
      </c>
      <c r="AS3013" s="22" t="str">
        <f t="shared" si="914"/>
        <v/>
      </c>
      <c r="AT3013" s="24" t="str">
        <f t="shared" si="915"/>
        <v/>
      </c>
    </row>
    <row r="3014" spans="1:46" s="12" customFormat="1">
      <c r="A3014" s="33" t="str">
        <f t="shared" si="902"/>
        <v>FY 18/19</v>
      </c>
      <c r="B3014" s="152">
        <v>2018</v>
      </c>
      <c r="C3014" s="152">
        <v>7</v>
      </c>
      <c r="D3014" s="33" t="str">
        <f t="shared" si="903"/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si="904"/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905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900"/>
        <v>48000000</v>
      </c>
      <c r="AA3014" s="13">
        <v>7.0400000000000004E-2</v>
      </c>
      <c r="AB3014" s="21">
        <f t="shared" si="907"/>
        <v>3379200</v>
      </c>
      <c r="AC3014" s="130">
        <f t="shared" si="908"/>
        <v>405504</v>
      </c>
      <c r="AD3014" s="169">
        <v>0.12</v>
      </c>
      <c r="AE3014" s="154">
        <f t="shared" si="909"/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916"/>
        <v>477651199.57437885</v>
      </c>
      <c r="AJ3014" s="19">
        <f t="shared" si="917"/>
        <v>56918800.518691957</v>
      </c>
      <c r="AK3014" s="20">
        <f t="shared" si="910"/>
        <v>0.11916394341605475</v>
      </c>
      <c r="AL3014" s="17"/>
      <c r="AM3014" s="17"/>
      <c r="AN3014" s="17"/>
      <c r="AO3014" s="17"/>
      <c r="AP3014" s="28" t="str">
        <f t="shared" si="911"/>
        <v>CancelCancel</v>
      </c>
      <c r="AQ3014" s="28" t="str">
        <f t="shared" si="912"/>
        <v>CancelCancelJPY</v>
      </c>
      <c r="AR3014" s="206" t="str">
        <f t="shared" si="913"/>
        <v>YAMAHA_Mounter</v>
      </c>
      <c r="AS3014" s="22" t="str">
        <f t="shared" si="914"/>
        <v/>
      </c>
      <c r="AT3014" s="24" t="str">
        <f t="shared" si="915"/>
        <v/>
      </c>
    </row>
    <row r="3015" spans="1:46" s="12" customFormat="1">
      <c r="A3015" s="33" t="str">
        <f t="shared" si="902"/>
        <v>FY 18/19</v>
      </c>
      <c r="B3015" s="152">
        <v>2019</v>
      </c>
      <c r="C3015" s="152">
        <v>3</v>
      </c>
      <c r="D3015" s="33" t="str">
        <f t="shared" si="903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904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905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900"/>
        <v>10200000</v>
      </c>
      <c r="AA3015" s="13">
        <v>7.2300000000000003E-2</v>
      </c>
      <c r="AB3015" s="21">
        <f t="shared" si="907"/>
        <v>737460</v>
      </c>
      <c r="AC3015" s="130">
        <f t="shared" si="908"/>
        <v>89896.373999999996</v>
      </c>
      <c r="AD3015" s="169">
        <v>0.12189999999999999</v>
      </c>
      <c r="AE3015" s="154">
        <f t="shared" si="909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16"/>
        <v>32843736.557277881</v>
      </c>
      <c r="AJ3015" s="19">
        <f t="shared" si="917"/>
        <v>3921470.6822663117</v>
      </c>
      <c r="AK3015" s="20">
        <f t="shared" si="910"/>
        <v>0.11939782416131177</v>
      </c>
      <c r="AL3015" s="17"/>
      <c r="AM3015" s="17"/>
      <c r="AN3015" s="17"/>
      <c r="AO3015" s="17"/>
      <c r="AP3015" s="28" t="str">
        <f t="shared" si="911"/>
        <v>20194</v>
      </c>
      <c r="AQ3015" s="28" t="str">
        <f t="shared" si="912"/>
        <v>20194JPY</v>
      </c>
      <c r="AR3015" s="206" t="str">
        <f t="shared" si="913"/>
        <v>YAMAHA_Mounter</v>
      </c>
      <c r="AS3015" s="22">
        <f t="shared" si="914"/>
        <v>1</v>
      </c>
      <c r="AT3015" s="24" t="str">
        <f t="shared" si="915"/>
        <v>0-3 months</v>
      </c>
    </row>
    <row r="3016" spans="1:46" s="12" customFormat="1">
      <c r="A3016" s="33" t="str">
        <f t="shared" si="902"/>
        <v>FY 18/19</v>
      </c>
      <c r="B3016" s="152">
        <v>2019</v>
      </c>
      <c r="C3016" s="152">
        <v>3</v>
      </c>
      <c r="D3016" s="33" t="str">
        <f t="shared" si="903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904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905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900"/>
        <v>10200000</v>
      </c>
      <c r="AA3016" s="13">
        <v>7.2300000000000003E-2</v>
      </c>
      <c r="AB3016" s="21">
        <f t="shared" si="907"/>
        <v>737460</v>
      </c>
      <c r="AC3016" s="130">
        <f t="shared" si="908"/>
        <v>89896.373999999996</v>
      </c>
      <c r="AD3016" s="169">
        <v>0.12189999999999999</v>
      </c>
      <c r="AE3016" s="154">
        <f t="shared" si="909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16"/>
        <v>32843736.557277881</v>
      </c>
      <c r="AJ3016" s="19">
        <f t="shared" si="917"/>
        <v>3921470.6822663117</v>
      </c>
      <c r="AK3016" s="20">
        <f t="shared" si="910"/>
        <v>0.11939782416131177</v>
      </c>
      <c r="AL3016" s="17"/>
      <c r="AM3016" s="17"/>
      <c r="AN3016" s="17"/>
      <c r="AO3016" s="17"/>
      <c r="AP3016" s="28" t="str">
        <f t="shared" si="911"/>
        <v>20194</v>
      </c>
      <c r="AQ3016" s="28" t="str">
        <f t="shared" si="912"/>
        <v>20194JPY</v>
      </c>
      <c r="AR3016" s="206" t="str">
        <f t="shared" si="913"/>
        <v>YAMAHA_Mounter</v>
      </c>
      <c r="AS3016" s="22">
        <f t="shared" si="914"/>
        <v>1</v>
      </c>
      <c r="AT3016" s="24" t="str">
        <f t="shared" si="915"/>
        <v>0-3 months</v>
      </c>
    </row>
    <row r="3017" spans="1:46" s="12" customFormat="1">
      <c r="A3017" s="33" t="str">
        <f t="shared" si="902"/>
        <v>FY 20/21</v>
      </c>
      <c r="B3017" s="152">
        <v>2020</v>
      </c>
      <c r="C3017" s="152">
        <v>7</v>
      </c>
      <c r="D3017" s="33" t="str">
        <f t="shared" si="903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904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905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900"/>
        <v>10800000</v>
      </c>
      <c r="AA3017" s="13">
        <v>7.4899999999999994E-2</v>
      </c>
      <c r="AB3017" s="21">
        <f t="shared" si="907"/>
        <v>808919.99999999988</v>
      </c>
      <c r="AC3017" s="130">
        <f t="shared" si="908"/>
        <v>99658.943999999989</v>
      </c>
      <c r="AD3017" s="169">
        <v>0.1232</v>
      </c>
      <c r="AE3017" s="154">
        <f t="shared" si="909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16"/>
        <v>47907808.356810622</v>
      </c>
      <c r="AJ3017" s="19">
        <f t="shared" si="917"/>
        <v>6027384.8806384448</v>
      </c>
      <c r="AK3017" s="20">
        <f t="shared" si="910"/>
        <v>0.12581216063459488</v>
      </c>
      <c r="AL3017" s="17"/>
      <c r="AM3017" s="17"/>
      <c r="AN3017" s="17"/>
      <c r="AO3017" s="17"/>
      <c r="AP3017" s="28" t="str">
        <f t="shared" si="911"/>
        <v>20209</v>
      </c>
      <c r="AQ3017" s="28" t="str">
        <f t="shared" si="912"/>
        <v>20209JPY</v>
      </c>
      <c r="AR3017" s="206" t="str">
        <f t="shared" si="913"/>
        <v>YAMAHA_Mounter</v>
      </c>
      <c r="AS3017" s="22">
        <f t="shared" si="914"/>
        <v>2</v>
      </c>
      <c r="AT3017" s="24" t="str">
        <f t="shared" si="915"/>
        <v>0-3 months</v>
      </c>
    </row>
    <row r="3018" spans="1:46" s="12" customFormat="1">
      <c r="A3018" s="33" t="str">
        <f t="shared" si="902"/>
        <v>FY 20/21</v>
      </c>
      <c r="B3018" s="152">
        <v>2020</v>
      </c>
      <c r="C3018" s="152">
        <v>7</v>
      </c>
      <c r="D3018" s="33" t="str">
        <f t="shared" si="903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904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905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si="900"/>
        <v>10800000</v>
      </c>
      <c r="AA3018" s="13">
        <v>7.4899999999999994E-2</v>
      </c>
      <c r="AB3018" s="21">
        <f t="shared" si="907"/>
        <v>808919.99999999988</v>
      </c>
      <c r="AC3018" s="130">
        <f t="shared" si="908"/>
        <v>99658.943999999989</v>
      </c>
      <c r="AD3018" s="169">
        <v>0.1232</v>
      </c>
      <c r="AE3018" s="154">
        <f t="shared" si="909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16"/>
        <v>47907808.356810622</v>
      </c>
      <c r="AJ3018" s="19">
        <f t="shared" si="917"/>
        <v>6027384.8806384448</v>
      </c>
      <c r="AK3018" s="20">
        <f t="shared" si="910"/>
        <v>0.12581216063459488</v>
      </c>
      <c r="AL3018" s="17"/>
      <c r="AM3018" s="17"/>
      <c r="AN3018" s="17"/>
      <c r="AO3018" s="17"/>
      <c r="AP3018" s="28" t="str">
        <f t="shared" si="911"/>
        <v>20209</v>
      </c>
      <c r="AQ3018" s="28" t="str">
        <f t="shared" si="912"/>
        <v>20209JPY</v>
      </c>
      <c r="AR3018" s="206" t="str">
        <f t="shared" si="913"/>
        <v>YAMAHA_Mounter</v>
      </c>
      <c r="AS3018" s="22">
        <f t="shared" si="914"/>
        <v>2</v>
      </c>
      <c r="AT3018" s="24" t="str">
        <f t="shared" si="915"/>
        <v>0-3 months</v>
      </c>
    </row>
    <row r="3019" spans="1:46" s="12" customFormat="1">
      <c r="A3019" s="33" t="str">
        <f t="shared" si="902"/>
        <v>FY 20/21</v>
      </c>
      <c r="B3019" s="152">
        <v>2020</v>
      </c>
      <c r="C3019" s="152">
        <v>7</v>
      </c>
      <c r="D3019" s="33" t="str">
        <f t="shared" si="903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904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905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00"/>
        <v>6896000</v>
      </c>
      <c r="AA3019" s="13">
        <v>7.4899999999999994E-2</v>
      </c>
      <c r="AB3019" s="21">
        <f t="shared" si="907"/>
        <v>516510.39999999997</v>
      </c>
      <c r="AC3019" s="130">
        <f t="shared" si="908"/>
        <v>63634.081279999999</v>
      </c>
      <c r="AD3019" s="169">
        <v>0.1232</v>
      </c>
      <c r="AE3019" s="154">
        <f t="shared" si="909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16"/>
        <v>47907808.356810622</v>
      </c>
      <c r="AJ3019" s="19">
        <f t="shared" si="917"/>
        <v>6027384.8806384448</v>
      </c>
      <c r="AK3019" s="20">
        <f t="shared" si="910"/>
        <v>0.12581216063459488</v>
      </c>
      <c r="AL3019" s="17"/>
      <c r="AM3019" s="17"/>
      <c r="AN3019" s="17"/>
      <c r="AO3019" s="17"/>
      <c r="AP3019" s="28" t="str">
        <f t="shared" si="911"/>
        <v>20209</v>
      </c>
      <c r="AQ3019" s="28" t="str">
        <f t="shared" si="912"/>
        <v>20209JPY</v>
      </c>
      <c r="AR3019" s="206" t="str">
        <f t="shared" si="913"/>
        <v>YAMAHA_Mounter</v>
      </c>
      <c r="AS3019" s="22">
        <f t="shared" si="914"/>
        <v>2</v>
      </c>
      <c r="AT3019" s="24" t="str">
        <f t="shared" si="915"/>
        <v>0-3 months</v>
      </c>
    </row>
    <row r="3020" spans="1:46" s="12" customFormat="1">
      <c r="A3020" s="33" t="str">
        <f t="shared" si="902"/>
        <v>FY 20/21</v>
      </c>
      <c r="B3020" s="152">
        <v>2020</v>
      </c>
      <c r="C3020" s="152">
        <v>7</v>
      </c>
      <c r="D3020" s="33" t="str">
        <f t="shared" si="903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904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905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00"/>
        <v>6896000</v>
      </c>
      <c r="AA3020" s="13">
        <v>7.4899999999999994E-2</v>
      </c>
      <c r="AB3020" s="21">
        <f t="shared" si="907"/>
        <v>516510.39999999997</v>
      </c>
      <c r="AC3020" s="130">
        <f t="shared" si="908"/>
        <v>63634.081279999999</v>
      </c>
      <c r="AD3020" s="169">
        <v>0.1232</v>
      </c>
      <c r="AE3020" s="154">
        <f t="shared" si="909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16"/>
        <v>47907808.356810622</v>
      </c>
      <c r="AJ3020" s="19">
        <f t="shared" si="917"/>
        <v>6027384.8806384448</v>
      </c>
      <c r="AK3020" s="20">
        <f t="shared" si="910"/>
        <v>0.12581216063459488</v>
      </c>
      <c r="AL3020" s="17"/>
      <c r="AM3020" s="17"/>
      <c r="AN3020" s="17"/>
      <c r="AO3020" s="17"/>
      <c r="AP3020" s="28" t="str">
        <f t="shared" si="911"/>
        <v>20209</v>
      </c>
      <c r="AQ3020" s="28" t="str">
        <f t="shared" si="912"/>
        <v>20209JPY</v>
      </c>
      <c r="AR3020" s="206" t="str">
        <f t="shared" si="913"/>
        <v>YAMAHA_Mounter</v>
      </c>
      <c r="AS3020" s="22">
        <f t="shared" si="914"/>
        <v>2</v>
      </c>
      <c r="AT3020" s="24" t="str">
        <f t="shared" si="915"/>
        <v>0-3 months</v>
      </c>
    </row>
    <row r="3021" spans="1:46" s="12" customFormat="1">
      <c r="A3021" s="33" t="str">
        <f t="shared" si="902"/>
        <v>FY 20/21</v>
      </c>
      <c r="B3021" s="152">
        <v>2020</v>
      </c>
      <c r="C3021" s="152">
        <v>12</v>
      </c>
      <c r="D3021" s="33" t="str">
        <f t="shared" si="903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904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905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8">IF(W3021="RMB","1.13", "1")</f>
        <v>1</v>
      </c>
      <c r="Z3021" s="18">
        <f t="shared" si="900"/>
        <v>11530000</v>
      </c>
      <c r="AA3021" s="13">
        <v>5.8700000000000002E-2</v>
      </c>
      <c r="AB3021" s="21">
        <f t="shared" si="907"/>
        <v>676811</v>
      </c>
      <c r="AC3021" s="130">
        <f t="shared" si="908"/>
        <v>81217.319999999992</v>
      </c>
      <c r="AD3021" s="169">
        <v>0.12</v>
      </c>
      <c r="AE3021" s="154">
        <f t="shared" si="909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16"/>
        <v>477651199.57437885</v>
      </c>
      <c r="AJ3021" s="19">
        <f t="shared" si="917"/>
        <v>56918800.518691957</v>
      </c>
      <c r="AK3021" s="20">
        <f t="shared" si="910"/>
        <v>0.11916394341605475</v>
      </c>
      <c r="AL3021" s="17"/>
      <c r="AM3021" s="17"/>
      <c r="AN3021" s="17"/>
      <c r="AO3021" s="17"/>
      <c r="AP3021" s="28" t="str">
        <f t="shared" si="911"/>
        <v>CancelCancel</v>
      </c>
      <c r="AQ3021" s="28" t="str">
        <f t="shared" si="912"/>
        <v>CancelCancelJPY</v>
      </c>
      <c r="AR3021" s="206" t="str">
        <f t="shared" si="913"/>
        <v>YAMAHA_Mounter</v>
      </c>
      <c r="AS3021" s="22" t="str">
        <f t="shared" si="914"/>
        <v/>
      </c>
      <c r="AT3021" s="24" t="str">
        <f t="shared" si="915"/>
        <v/>
      </c>
    </row>
    <row r="3022" spans="1:46" s="12" customFormat="1">
      <c r="A3022" s="33" t="str">
        <f t="shared" si="902"/>
        <v>FY 20/21</v>
      </c>
      <c r="B3022" s="152">
        <v>2020</v>
      </c>
      <c r="C3022" s="152">
        <v>12</v>
      </c>
      <c r="D3022" s="33" t="str">
        <f t="shared" si="903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904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905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8"/>
        <v>1</v>
      </c>
      <c r="Z3022" s="18">
        <f t="shared" si="900"/>
        <v>11530000</v>
      </c>
      <c r="AA3022" s="13">
        <v>5.8700000000000002E-2</v>
      </c>
      <c r="AB3022" s="21">
        <f t="shared" si="907"/>
        <v>676811</v>
      </c>
      <c r="AC3022" s="130">
        <f t="shared" si="908"/>
        <v>81217.319999999992</v>
      </c>
      <c r="AD3022" s="169">
        <v>0.12</v>
      </c>
      <c r="AE3022" s="154">
        <f t="shared" si="909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16"/>
        <v>477651199.57437885</v>
      </c>
      <c r="AJ3022" s="19">
        <f t="shared" si="917"/>
        <v>56918800.518691957</v>
      </c>
      <c r="AK3022" s="20">
        <f t="shared" si="910"/>
        <v>0.11916394341605475</v>
      </c>
      <c r="AL3022" s="17"/>
      <c r="AM3022" s="17"/>
      <c r="AN3022" s="17"/>
      <c r="AO3022" s="17"/>
      <c r="AP3022" s="28" t="str">
        <f t="shared" si="911"/>
        <v>CancelCancel</v>
      </c>
      <c r="AQ3022" s="28" t="str">
        <f t="shared" si="912"/>
        <v>CancelCancelJPY</v>
      </c>
      <c r="AR3022" s="206" t="str">
        <f t="shared" si="913"/>
        <v>YAMAHA_Mounter</v>
      </c>
      <c r="AS3022" s="22" t="str">
        <f t="shared" si="914"/>
        <v/>
      </c>
      <c r="AT3022" s="24" t="str">
        <f t="shared" si="915"/>
        <v/>
      </c>
    </row>
    <row r="3023" spans="1:46" s="12" customFormat="1">
      <c r="A3023" s="33" t="str">
        <f t="shared" si="902"/>
        <v>FY 20/21</v>
      </c>
      <c r="B3023" s="152">
        <v>2020</v>
      </c>
      <c r="C3023" s="152">
        <v>12</v>
      </c>
      <c r="D3023" s="33" t="str">
        <f t="shared" si="903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904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905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8"/>
        <v>1</v>
      </c>
      <c r="Z3023" s="18">
        <f t="shared" si="900"/>
        <v>11530000</v>
      </c>
      <c r="AA3023" s="13">
        <v>5.8700000000000002E-2</v>
      </c>
      <c r="AB3023" s="21">
        <f t="shared" si="907"/>
        <v>676811</v>
      </c>
      <c r="AC3023" s="130">
        <f t="shared" si="908"/>
        <v>81217.319999999992</v>
      </c>
      <c r="AD3023" s="169">
        <v>0.12</v>
      </c>
      <c r="AE3023" s="154">
        <f t="shared" si="909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16"/>
        <v>477651199.57437885</v>
      </c>
      <c r="AJ3023" s="19">
        <f t="shared" si="917"/>
        <v>56918800.518691957</v>
      </c>
      <c r="AK3023" s="20">
        <f t="shared" si="910"/>
        <v>0.11916394341605475</v>
      </c>
      <c r="AL3023" s="17"/>
      <c r="AM3023" s="17"/>
      <c r="AN3023" s="17"/>
      <c r="AO3023" s="17"/>
      <c r="AP3023" s="28" t="str">
        <f t="shared" si="911"/>
        <v>CancelCancel</v>
      </c>
      <c r="AQ3023" s="28" t="str">
        <f t="shared" si="912"/>
        <v>CancelCancelJPY</v>
      </c>
      <c r="AR3023" s="206" t="str">
        <f t="shared" si="913"/>
        <v>YAMAHA_Mounter</v>
      </c>
      <c r="AS3023" s="22" t="str">
        <f t="shared" si="914"/>
        <v/>
      </c>
      <c r="AT3023" s="24" t="str">
        <f t="shared" si="915"/>
        <v/>
      </c>
    </row>
    <row r="3024" spans="1:46" s="12" customFormat="1">
      <c r="A3024" s="33" t="str">
        <f t="shared" si="902"/>
        <v>FY 20/21</v>
      </c>
      <c r="B3024" s="152">
        <v>2020</v>
      </c>
      <c r="C3024" s="152">
        <v>12</v>
      </c>
      <c r="D3024" s="33" t="str">
        <f t="shared" si="903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904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905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8"/>
        <v>1</v>
      </c>
      <c r="Z3024" s="18">
        <f t="shared" si="900"/>
        <v>11530000</v>
      </c>
      <c r="AA3024" s="13">
        <v>5.8700000000000002E-2</v>
      </c>
      <c r="AB3024" s="21">
        <f t="shared" si="907"/>
        <v>676811</v>
      </c>
      <c r="AC3024" s="130">
        <f t="shared" si="908"/>
        <v>81217.319999999992</v>
      </c>
      <c r="AD3024" s="169">
        <v>0.12</v>
      </c>
      <c r="AE3024" s="154">
        <f t="shared" si="909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16"/>
        <v>477651199.57437885</v>
      </c>
      <c r="AJ3024" s="19">
        <f t="shared" si="917"/>
        <v>56918800.518691957</v>
      </c>
      <c r="AK3024" s="20">
        <f t="shared" si="910"/>
        <v>0.11916394341605475</v>
      </c>
      <c r="AL3024" s="17"/>
      <c r="AM3024" s="17"/>
      <c r="AN3024" s="17"/>
      <c r="AO3024" s="17"/>
      <c r="AP3024" s="28" t="str">
        <f t="shared" si="911"/>
        <v>CancelCancel</v>
      </c>
      <c r="AQ3024" s="28" t="str">
        <f t="shared" si="912"/>
        <v>CancelCancelJPY</v>
      </c>
      <c r="AR3024" s="206" t="str">
        <f t="shared" si="913"/>
        <v>YAMAHA_Mounter</v>
      </c>
      <c r="AS3024" s="22" t="str">
        <f t="shared" si="914"/>
        <v/>
      </c>
      <c r="AT3024" s="24" t="str">
        <f t="shared" si="915"/>
        <v/>
      </c>
    </row>
    <row r="3025" spans="1:46" s="12" customFormat="1">
      <c r="A3025" s="33" t="str">
        <f t="shared" si="902"/>
        <v>FY 20/21</v>
      </c>
      <c r="B3025" s="152">
        <v>2020</v>
      </c>
      <c r="C3025" s="152">
        <v>12</v>
      </c>
      <c r="D3025" s="33" t="str">
        <f t="shared" si="903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904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905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8"/>
        <v>1</v>
      </c>
      <c r="Z3025" s="18">
        <f t="shared" si="900"/>
        <v>7500000</v>
      </c>
      <c r="AA3025" s="13">
        <v>5.8700000000000002E-2</v>
      </c>
      <c r="AB3025" s="21">
        <f t="shared" si="907"/>
        <v>440250</v>
      </c>
      <c r="AC3025" s="130">
        <f t="shared" si="908"/>
        <v>52830</v>
      </c>
      <c r="AD3025" s="169">
        <v>0.12</v>
      </c>
      <c r="AE3025" s="154">
        <f t="shared" si="909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16"/>
        <v>477651199.57437885</v>
      </c>
      <c r="AJ3025" s="19">
        <f t="shared" si="917"/>
        <v>56918800.518691957</v>
      </c>
      <c r="AK3025" s="20">
        <f t="shared" si="910"/>
        <v>0.11916394341605475</v>
      </c>
      <c r="AL3025" s="17"/>
      <c r="AM3025" s="17"/>
      <c r="AN3025" s="17"/>
      <c r="AO3025" s="17"/>
      <c r="AP3025" s="28" t="str">
        <f t="shared" si="911"/>
        <v>CancelCancel</v>
      </c>
      <c r="AQ3025" s="28" t="str">
        <f t="shared" si="912"/>
        <v>CancelCancelJPY</v>
      </c>
      <c r="AR3025" s="206" t="str">
        <f t="shared" si="913"/>
        <v>YAMAHA_Mounter</v>
      </c>
      <c r="AS3025" s="22" t="str">
        <f t="shared" si="914"/>
        <v/>
      </c>
      <c r="AT3025" s="24" t="str">
        <f t="shared" si="915"/>
        <v/>
      </c>
    </row>
    <row r="3026" spans="1:46" s="12" customFormat="1">
      <c r="A3026" s="33" t="str">
        <f t="shared" si="902"/>
        <v>FY 20/21</v>
      </c>
      <c r="B3026" s="152">
        <v>2020</v>
      </c>
      <c r="C3026" s="152">
        <v>12</v>
      </c>
      <c r="D3026" s="33" t="str">
        <f t="shared" si="903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904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905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8"/>
        <v>1</v>
      </c>
      <c r="Z3026" s="18">
        <f t="shared" si="900"/>
        <v>7500000</v>
      </c>
      <c r="AA3026" s="13">
        <v>5.8700000000000002E-2</v>
      </c>
      <c r="AB3026" s="21">
        <f t="shared" si="907"/>
        <v>440250</v>
      </c>
      <c r="AC3026" s="130">
        <f t="shared" si="908"/>
        <v>52830</v>
      </c>
      <c r="AD3026" s="169">
        <v>0.12</v>
      </c>
      <c r="AE3026" s="154">
        <f t="shared" si="909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16"/>
        <v>477651199.57437885</v>
      </c>
      <c r="AJ3026" s="19">
        <f t="shared" si="917"/>
        <v>56918800.518691957</v>
      </c>
      <c r="AK3026" s="20">
        <f t="shared" si="910"/>
        <v>0.11916394341605475</v>
      </c>
      <c r="AL3026" s="17"/>
      <c r="AM3026" s="17"/>
      <c r="AN3026" s="17"/>
      <c r="AO3026" s="17"/>
      <c r="AP3026" s="28" t="str">
        <f t="shared" si="911"/>
        <v>CancelCancel</v>
      </c>
      <c r="AQ3026" s="28" t="str">
        <f t="shared" si="912"/>
        <v>CancelCancelJPY</v>
      </c>
      <c r="AR3026" s="206" t="str">
        <f t="shared" si="913"/>
        <v>YAMAHA_Mounter</v>
      </c>
      <c r="AS3026" s="22" t="str">
        <f t="shared" si="914"/>
        <v/>
      </c>
      <c r="AT3026" s="24" t="str">
        <f t="shared" si="915"/>
        <v/>
      </c>
    </row>
    <row r="3027" spans="1:46" s="12" customFormat="1">
      <c r="A3027" s="33" t="str">
        <f t="shared" si="902"/>
        <v>FY 20/21</v>
      </c>
      <c r="B3027" s="152">
        <v>2020</v>
      </c>
      <c r="C3027" s="152">
        <v>12</v>
      </c>
      <c r="D3027" s="33" t="str">
        <f t="shared" si="903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904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905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8"/>
        <v>1</v>
      </c>
      <c r="Z3027" s="18">
        <f t="shared" si="900"/>
        <v>7500000</v>
      </c>
      <c r="AA3027" s="13">
        <v>5.8700000000000002E-2</v>
      </c>
      <c r="AB3027" s="21">
        <f t="shared" si="907"/>
        <v>440250</v>
      </c>
      <c r="AC3027" s="130">
        <f t="shared" si="908"/>
        <v>52830</v>
      </c>
      <c r="AD3027" s="169">
        <v>0.12</v>
      </c>
      <c r="AE3027" s="154">
        <f t="shared" si="909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16"/>
        <v>477651199.57437885</v>
      </c>
      <c r="AJ3027" s="19">
        <f t="shared" si="917"/>
        <v>56918800.518691957</v>
      </c>
      <c r="AK3027" s="20">
        <f t="shared" si="910"/>
        <v>0.11916394341605475</v>
      </c>
      <c r="AL3027" s="17"/>
      <c r="AM3027" s="17"/>
      <c r="AN3027" s="17"/>
      <c r="AO3027" s="17"/>
      <c r="AP3027" s="28" t="str">
        <f t="shared" si="911"/>
        <v>CancelCancel</v>
      </c>
      <c r="AQ3027" s="28" t="str">
        <f t="shared" si="912"/>
        <v>CancelCancelJPY</v>
      </c>
      <c r="AR3027" s="206" t="str">
        <f t="shared" si="913"/>
        <v>YAMAHA_Mounter</v>
      </c>
      <c r="AS3027" s="22" t="str">
        <f t="shared" si="914"/>
        <v/>
      </c>
      <c r="AT3027" s="24" t="str">
        <f t="shared" si="915"/>
        <v/>
      </c>
    </row>
    <row r="3028" spans="1:46" s="12" customFormat="1">
      <c r="A3028" s="33" t="str">
        <f t="shared" si="902"/>
        <v>FY 20/21</v>
      </c>
      <c r="B3028" s="152">
        <v>2020</v>
      </c>
      <c r="C3028" s="152">
        <v>12</v>
      </c>
      <c r="D3028" s="33" t="str">
        <f t="shared" si="903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904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905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8"/>
        <v>1</v>
      </c>
      <c r="Z3028" s="18">
        <f t="shared" si="900"/>
        <v>7500000</v>
      </c>
      <c r="AA3028" s="13">
        <v>5.8700000000000002E-2</v>
      </c>
      <c r="AB3028" s="21">
        <f t="shared" si="907"/>
        <v>440250</v>
      </c>
      <c r="AC3028" s="130">
        <f t="shared" si="908"/>
        <v>52830</v>
      </c>
      <c r="AD3028" s="169">
        <v>0.12</v>
      </c>
      <c r="AE3028" s="154">
        <f t="shared" si="909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16"/>
        <v>477651199.57437885</v>
      </c>
      <c r="AJ3028" s="19">
        <f t="shared" si="917"/>
        <v>56918800.518691957</v>
      </c>
      <c r="AK3028" s="20">
        <f t="shared" si="910"/>
        <v>0.11916394341605475</v>
      </c>
      <c r="AL3028" s="17"/>
      <c r="AM3028" s="17"/>
      <c r="AN3028" s="17"/>
      <c r="AO3028" s="17"/>
      <c r="AP3028" s="28" t="str">
        <f t="shared" si="911"/>
        <v>CancelCancel</v>
      </c>
      <c r="AQ3028" s="28" t="str">
        <f t="shared" si="912"/>
        <v>CancelCancelJPY</v>
      </c>
      <c r="AR3028" s="206" t="str">
        <f t="shared" si="913"/>
        <v>YAMAHA_Mounter</v>
      </c>
      <c r="AS3028" s="22" t="str">
        <f t="shared" si="914"/>
        <v/>
      </c>
      <c r="AT3028" s="24" t="str">
        <f t="shared" si="915"/>
        <v/>
      </c>
    </row>
    <row r="3029" spans="1:46" s="12" customFormat="1">
      <c r="A3029" s="33" t="str">
        <f t="shared" si="902"/>
        <v>FY 20/21</v>
      </c>
      <c r="B3029" s="152">
        <v>2021</v>
      </c>
      <c r="C3029" s="152">
        <v>2</v>
      </c>
      <c r="D3029" s="33" t="str">
        <f t="shared" si="903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904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905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8"/>
        <v>1</v>
      </c>
      <c r="Z3029" s="18">
        <f t="shared" si="900"/>
        <v>10500000</v>
      </c>
      <c r="AA3029" s="13">
        <v>7.2800000000000004E-2</v>
      </c>
      <c r="AB3029" s="21">
        <f t="shared" si="907"/>
        <v>764400</v>
      </c>
      <c r="AC3029" s="130">
        <f t="shared" si="908"/>
        <v>76975.08</v>
      </c>
      <c r="AD3029" s="169">
        <v>0.1007</v>
      </c>
      <c r="AE3029" s="154">
        <f t="shared" si="909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16"/>
        <v>63006605.696460173</v>
      </c>
      <c r="AJ3029" s="19">
        <f t="shared" si="917"/>
        <v>8897485.660753984</v>
      </c>
      <c r="AK3029" s="20">
        <f t="shared" si="910"/>
        <v>0.141215124388995</v>
      </c>
      <c r="AL3029" s="17"/>
      <c r="AM3029" s="17"/>
      <c r="AN3029" s="17"/>
      <c r="AO3029" s="17"/>
      <c r="AP3029" s="28" t="str">
        <f t="shared" si="911"/>
        <v>20215</v>
      </c>
      <c r="AQ3029" s="28" t="str">
        <f t="shared" si="912"/>
        <v>20215JPY</v>
      </c>
      <c r="AR3029" s="206" t="str">
        <f t="shared" si="913"/>
        <v>YAMAHA_Mounter</v>
      </c>
      <c r="AS3029" s="22">
        <f t="shared" si="914"/>
        <v>3</v>
      </c>
      <c r="AT3029" s="24" t="str">
        <f t="shared" si="915"/>
        <v>0-3 months</v>
      </c>
    </row>
    <row r="3030" spans="1:46" s="12" customFormat="1">
      <c r="A3030" s="33" t="str">
        <f t="shared" si="902"/>
        <v>FY 21/22</v>
      </c>
      <c r="B3030" s="152">
        <v>2021</v>
      </c>
      <c r="C3030" s="152">
        <v>4</v>
      </c>
      <c r="D3030" s="33" t="str">
        <f t="shared" si="903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904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si="905"/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8"/>
        <v>1</v>
      </c>
      <c r="Z3030" s="18">
        <f t="shared" ref="Z3030:Z3093" si="919">IF(X3030="","",X3030*MAX(O3030,N3030))</f>
        <v>11530000</v>
      </c>
      <c r="AA3030" s="13">
        <v>6.54E-2</v>
      </c>
      <c r="AB3030" s="21">
        <f t="shared" si="907"/>
        <v>754062</v>
      </c>
      <c r="AC3030" s="130">
        <f t="shared" si="908"/>
        <v>57459.524400000002</v>
      </c>
      <c r="AD3030" s="169">
        <v>7.6200000000000004E-2</v>
      </c>
      <c r="AE3030" s="154">
        <f t="shared" si="909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16"/>
        <v>46600814.041769907</v>
      </c>
      <c r="AJ3030" s="19">
        <f t="shared" si="917"/>
        <v>5956366.3435927071</v>
      </c>
      <c r="AK3030" s="20">
        <f t="shared" si="910"/>
        <v>0.1278167874546958</v>
      </c>
      <c r="AL3030" s="17"/>
      <c r="AM3030" s="17"/>
      <c r="AN3030" s="17"/>
      <c r="AO3030" s="17"/>
      <c r="AP3030" s="28" t="str">
        <f t="shared" si="911"/>
        <v>20224</v>
      </c>
      <c r="AQ3030" s="28" t="str">
        <f t="shared" si="912"/>
        <v>20224JPY</v>
      </c>
      <c r="AR3030" s="206" t="str">
        <f t="shared" si="913"/>
        <v>YAMAHA_Mounter</v>
      </c>
      <c r="AS3030" s="22">
        <f t="shared" si="914"/>
        <v>12</v>
      </c>
      <c r="AT3030" s="24" t="str">
        <f t="shared" si="915"/>
        <v>&gt; 6 months</v>
      </c>
    </row>
    <row r="3031" spans="1:46" s="12" customFormat="1">
      <c r="A3031" s="33" t="str">
        <f t="shared" si="902"/>
        <v>FY 21/22</v>
      </c>
      <c r="B3031" s="152">
        <v>2021</v>
      </c>
      <c r="C3031" s="152">
        <v>4</v>
      </c>
      <c r="D3031" s="33" t="str">
        <f t="shared" si="903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904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05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8"/>
        <v>1</v>
      </c>
      <c r="Z3031" s="18">
        <f t="shared" si="919"/>
        <v>7500000</v>
      </c>
      <c r="AA3031" s="13">
        <v>6.54E-2</v>
      </c>
      <c r="AB3031" s="21">
        <f t="shared" si="907"/>
        <v>490500</v>
      </c>
      <c r="AC3031" s="130">
        <f t="shared" si="908"/>
        <v>37376.1</v>
      </c>
      <c r="AD3031" s="169">
        <v>7.6200000000000004E-2</v>
      </c>
      <c r="AE3031" s="154">
        <f t="shared" si="909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16"/>
        <v>46600814.041769907</v>
      </c>
      <c r="AJ3031" s="19">
        <f t="shared" si="917"/>
        <v>5956366.3435927071</v>
      </c>
      <c r="AK3031" s="20">
        <f t="shared" si="910"/>
        <v>0.1278167874546958</v>
      </c>
      <c r="AL3031" s="17"/>
      <c r="AM3031" s="17"/>
      <c r="AN3031" s="17"/>
      <c r="AO3031" s="17"/>
      <c r="AP3031" s="28" t="str">
        <f t="shared" si="911"/>
        <v>20224</v>
      </c>
      <c r="AQ3031" s="28" t="str">
        <f t="shared" si="912"/>
        <v>20224JPY</v>
      </c>
      <c r="AR3031" s="206" t="str">
        <f t="shared" si="913"/>
        <v>YAMAHA_Mounter</v>
      </c>
      <c r="AS3031" s="22">
        <f t="shared" si="914"/>
        <v>12</v>
      </c>
      <c r="AT3031" s="24" t="str">
        <f t="shared" si="915"/>
        <v>&gt; 6 months</v>
      </c>
    </row>
    <row r="3032" spans="1:46" s="12" customFormat="1">
      <c r="A3032" s="33" t="str">
        <f t="shared" si="902"/>
        <v>FY 21/22</v>
      </c>
      <c r="B3032" s="152">
        <v>2021</v>
      </c>
      <c r="C3032" s="152">
        <v>4</v>
      </c>
      <c r="D3032" s="33" t="str">
        <f t="shared" si="903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904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05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8"/>
        <v>1</v>
      </c>
      <c r="Z3032" s="18">
        <f t="shared" si="919"/>
        <v>11530000</v>
      </c>
      <c r="AA3032" s="13">
        <v>5.8700000000000002E-2</v>
      </c>
      <c r="AB3032" s="21">
        <f t="shared" si="907"/>
        <v>676811</v>
      </c>
      <c r="AC3032" s="130">
        <f t="shared" si="908"/>
        <v>51572.998200000002</v>
      </c>
      <c r="AD3032" s="169">
        <v>7.6200000000000004E-2</v>
      </c>
      <c r="AE3032" s="154">
        <f t="shared" si="909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16"/>
        <v>36480247.665929198</v>
      </c>
      <c r="AJ3032" s="19">
        <f t="shared" si="917"/>
        <v>5330996.6372757526</v>
      </c>
      <c r="AK3032" s="20">
        <f t="shared" si="910"/>
        <v>0.14613378412599562</v>
      </c>
      <c r="AL3032" s="17"/>
      <c r="AM3032" s="17"/>
      <c r="AN3032" s="17"/>
      <c r="AO3032" s="17"/>
      <c r="AP3032" s="28" t="str">
        <f t="shared" si="911"/>
        <v>20227</v>
      </c>
      <c r="AQ3032" s="28" t="str">
        <f t="shared" si="912"/>
        <v>20227JPY</v>
      </c>
      <c r="AR3032" s="206" t="str">
        <f t="shared" si="913"/>
        <v>YAMAHA_Mounter</v>
      </c>
      <c r="AS3032" s="22">
        <f t="shared" si="914"/>
        <v>15</v>
      </c>
      <c r="AT3032" s="24" t="str">
        <f t="shared" si="915"/>
        <v>&gt; 6 months</v>
      </c>
    </row>
    <row r="3033" spans="1:46" s="12" customFormat="1">
      <c r="A3033" s="33" t="str">
        <f t="shared" si="902"/>
        <v>FY 21/22</v>
      </c>
      <c r="B3033" s="152">
        <v>2021</v>
      </c>
      <c r="C3033" s="152">
        <v>4</v>
      </c>
      <c r="D3033" s="33" t="str">
        <f t="shared" si="903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904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05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8"/>
        <v>1</v>
      </c>
      <c r="Z3033" s="18">
        <f t="shared" si="919"/>
        <v>7500000</v>
      </c>
      <c r="AA3033" s="13">
        <v>5.8700000000000002E-2</v>
      </c>
      <c r="AB3033" s="21">
        <f t="shared" si="907"/>
        <v>440250</v>
      </c>
      <c r="AC3033" s="130">
        <f t="shared" si="908"/>
        <v>33547.050000000003</v>
      </c>
      <c r="AD3033" s="169">
        <v>7.6200000000000004E-2</v>
      </c>
      <c r="AE3033" s="154">
        <f t="shared" si="909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16"/>
        <v>36480247.665929198</v>
      </c>
      <c r="AJ3033" s="19">
        <f t="shared" si="917"/>
        <v>5330996.6372757526</v>
      </c>
      <c r="AK3033" s="20">
        <f t="shared" si="910"/>
        <v>0.14613378412599562</v>
      </c>
      <c r="AL3033" s="17"/>
      <c r="AM3033" s="17"/>
      <c r="AN3033" s="17"/>
      <c r="AO3033" s="17"/>
      <c r="AP3033" s="28" t="str">
        <f t="shared" si="911"/>
        <v>20227</v>
      </c>
      <c r="AQ3033" s="28" t="str">
        <f t="shared" si="912"/>
        <v>20227JPY</v>
      </c>
      <c r="AR3033" s="206" t="str">
        <f t="shared" si="913"/>
        <v>YAMAHA_Mounter</v>
      </c>
      <c r="AS3033" s="22">
        <f t="shared" si="914"/>
        <v>15</v>
      </c>
      <c r="AT3033" s="24" t="str">
        <f t="shared" si="915"/>
        <v>&gt; 6 months</v>
      </c>
    </row>
    <row r="3034" spans="1:46" s="12" customFormat="1">
      <c r="A3034" s="33" t="str">
        <f t="shared" si="902"/>
        <v>FY 23/24</v>
      </c>
      <c r="B3034" s="152">
        <v>2023</v>
      </c>
      <c r="C3034" s="152">
        <v>10</v>
      </c>
      <c r="D3034" s="33" t="str">
        <f t="shared" si="903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904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05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9"/>
        <v>11800000</v>
      </c>
      <c r="AA3034" s="13">
        <v>5.6300000000000003E-2</v>
      </c>
      <c r="AB3034" s="21">
        <f t="shared" si="907"/>
        <v>664340</v>
      </c>
      <c r="AC3034" s="130">
        <f t="shared" si="908"/>
        <v>79720.800000000003</v>
      </c>
      <c r="AD3034" s="169">
        <v>0.12</v>
      </c>
      <c r="AE3034" s="154">
        <f t="shared" si="909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16"/>
        <v>477651199.57437885</v>
      </c>
      <c r="AJ3034" s="19">
        <f t="shared" si="917"/>
        <v>56918800.518691957</v>
      </c>
      <c r="AK3034" s="20">
        <f t="shared" si="910"/>
        <v>0.11916394341605475</v>
      </c>
      <c r="AL3034" s="17"/>
      <c r="AM3034" s="17"/>
      <c r="AN3034" s="17"/>
      <c r="AO3034" s="17"/>
      <c r="AP3034" s="28" t="str">
        <f t="shared" si="911"/>
        <v>CancelCancel</v>
      </c>
      <c r="AQ3034" s="28" t="str">
        <f t="shared" si="912"/>
        <v>CancelCancelJPY</v>
      </c>
      <c r="AR3034" s="206" t="str">
        <f t="shared" si="913"/>
        <v>YAMAHA_Mounter</v>
      </c>
      <c r="AS3034" s="22" t="str">
        <f t="shared" si="914"/>
        <v/>
      </c>
      <c r="AT3034" s="24" t="str">
        <f t="shared" si="915"/>
        <v/>
      </c>
    </row>
    <row r="3035" spans="1:46" s="12" customFormat="1">
      <c r="A3035" s="33" t="str">
        <f t="shared" si="902"/>
        <v>FY 23/24</v>
      </c>
      <c r="B3035" s="152">
        <v>2023</v>
      </c>
      <c r="C3035" s="152">
        <v>10</v>
      </c>
      <c r="D3035" s="33" t="str">
        <f t="shared" si="903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904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05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9"/>
        <v>11800000</v>
      </c>
      <c r="AA3035" s="13">
        <v>5.6300000000000003E-2</v>
      </c>
      <c r="AB3035" s="21">
        <f t="shared" si="907"/>
        <v>664340</v>
      </c>
      <c r="AC3035" s="130">
        <f t="shared" si="908"/>
        <v>79720.800000000003</v>
      </c>
      <c r="AD3035" s="169">
        <v>0.12</v>
      </c>
      <c r="AE3035" s="154">
        <f t="shared" si="909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16"/>
        <v>477651199.57437885</v>
      </c>
      <c r="AJ3035" s="19">
        <f t="shared" si="917"/>
        <v>56918800.518691957</v>
      </c>
      <c r="AK3035" s="20">
        <f t="shared" si="910"/>
        <v>0.11916394341605475</v>
      </c>
      <c r="AL3035" s="17"/>
      <c r="AM3035" s="17"/>
      <c r="AN3035" s="17"/>
      <c r="AO3035" s="17"/>
      <c r="AP3035" s="28" t="str">
        <f t="shared" si="911"/>
        <v>CancelCancel</v>
      </c>
      <c r="AQ3035" s="28" t="str">
        <f t="shared" si="912"/>
        <v>CancelCancelJPY</v>
      </c>
      <c r="AR3035" s="206" t="str">
        <f t="shared" si="913"/>
        <v>YAMAHA_Mounter</v>
      </c>
      <c r="AS3035" s="22" t="str">
        <f t="shared" si="914"/>
        <v/>
      </c>
      <c r="AT3035" s="24" t="str">
        <f t="shared" si="915"/>
        <v/>
      </c>
    </row>
    <row r="3036" spans="1:46" s="12" customFormat="1">
      <c r="A3036" s="33" t="str">
        <f t="shared" si="902"/>
        <v>cancel</v>
      </c>
      <c r="B3036" s="152"/>
      <c r="C3036" s="152" t="s">
        <v>186</v>
      </c>
      <c r="D3036" s="33" t="str">
        <f t="shared" si="903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904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05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20">IF(W3036="RMB","1.13", "1")</f>
        <v>1</v>
      </c>
      <c r="Z3036" s="18">
        <f t="shared" si="919"/>
        <v>12800000</v>
      </c>
      <c r="AA3036" s="13">
        <v>7.6100000000000001E-2</v>
      </c>
      <c r="AB3036" s="21">
        <f t="shared" si="907"/>
        <v>974080</v>
      </c>
      <c r="AC3036" s="130">
        <f t="shared" si="908"/>
        <v>116889.59999999999</v>
      </c>
      <c r="AD3036" s="169">
        <v>0.12</v>
      </c>
      <c r="AE3036" s="154">
        <f t="shared" si="909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16"/>
        <v>477651199.57437885</v>
      </c>
      <c r="AJ3036" s="19">
        <f t="shared" si="917"/>
        <v>56918800.518691957</v>
      </c>
      <c r="AK3036" s="20">
        <f t="shared" si="910"/>
        <v>0.11916394341605475</v>
      </c>
      <c r="AL3036" s="17" t="s">
        <v>186</v>
      </c>
      <c r="AM3036" s="17"/>
      <c r="AN3036" s="17"/>
      <c r="AO3036" s="17"/>
      <c r="AP3036" s="28" t="str">
        <f t="shared" si="911"/>
        <v>CancelCancel</v>
      </c>
      <c r="AQ3036" s="28" t="str">
        <f t="shared" si="912"/>
        <v>CancelCancelJPY</v>
      </c>
      <c r="AR3036" s="206" t="str">
        <f t="shared" si="913"/>
        <v>YAMAHA_Mounter</v>
      </c>
      <c r="AS3036" s="22" t="str">
        <f t="shared" si="914"/>
        <v/>
      </c>
      <c r="AT3036" s="24" t="str">
        <f t="shared" si="915"/>
        <v/>
      </c>
    </row>
    <row r="3037" spans="1:46" s="12" customFormat="1">
      <c r="A3037" s="33" t="str">
        <f t="shared" si="902"/>
        <v>cancel</v>
      </c>
      <c r="B3037" s="152"/>
      <c r="C3037" s="152" t="s">
        <v>186</v>
      </c>
      <c r="D3037" s="33" t="str">
        <f t="shared" si="903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904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05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20"/>
        <v>1</v>
      </c>
      <c r="Z3037" s="18">
        <f t="shared" si="919"/>
        <v>12800000</v>
      </c>
      <c r="AA3037" s="13">
        <v>7.6100000000000001E-2</v>
      </c>
      <c r="AB3037" s="21">
        <f t="shared" si="907"/>
        <v>974080</v>
      </c>
      <c r="AC3037" s="130">
        <f t="shared" si="908"/>
        <v>116889.59999999999</v>
      </c>
      <c r="AD3037" s="169">
        <v>0.12</v>
      </c>
      <c r="AE3037" s="154">
        <f t="shared" si="909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16"/>
        <v>477651199.57437885</v>
      </c>
      <c r="AJ3037" s="19">
        <f t="shared" si="917"/>
        <v>56918800.518691957</v>
      </c>
      <c r="AK3037" s="20">
        <f t="shared" si="910"/>
        <v>0.11916394341605475</v>
      </c>
      <c r="AL3037" s="17"/>
      <c r="AM3037" s="17"/>
      <c r="AN3037" s="17"/>
      <c r="AO3037" s="17"/>
      <c r="AP3037" s="28" t="str">
        <f t="shared" si="911"/>
        <v>CancelCancel</v>
      </c>
      <c r="AQ3037" s="28" t="str">
        <f t="shared" si="912"/>
        <v>CancelCancelJPY</v>
      </c>
      <c r="AR3037" s="206" t="str">
        <f t="shared" si="913"/>
        <v>YAMAHA_Mounter</v>
      </c>
      <c r="AS3037" s="22" t="str">
        <f t="shared" si="914"/>
        <v/>
      </c>
      <c r="AT3037" s="24" t="str">
        <f t="shared" si="915"/>
        <v/>
      </c>
    </row>
    <row r="3038" spans="1:46" s="12" customFormat="1">
      <c r="A3038" s="33" t="str">
        <f t="shared" si="902"/>
        <v>cancel</v>
      </c>
      <c r="B3038" s="152"/>
      <c r="C3038" s="152" t="s">
        <v>186</v>
      </c>
      <c r="D3038" s="33" t="str">
        <f t="shared" si="903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904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05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20"/>
        <v>1</v>
      </c>
      <c r="Z3038" s="18">
        <f t="shared" si="919"/>
        <v>7348000</v>
      </c>
      <c r="AA3038" s="13">
        <v>7.6100000000000001E-2</v>
      </c>
      <c r="AB3038" s="21">
        <f t="shared" si="907"/>
        <v>559182.80000000005</v>
      </c>
      <c r="AC3038" s="130">
        <f t="shared" si="908"/>
        <v>67101.936000000002</v>
      </c>
      <c r="AD3038" s="169">
        <v>0.12</v>
      </c>
      <c r="AE3038" s="154">
        <f t="shared" si="909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16"/>
        <v>477651199.57437885</v>
      </c>
      <c r="AJ3038" s="19">
        <f t="shared" si="917"/>
        <v>56918800.518691957</v>
      </c>
      <c r="AK3038" s="20">
        <f t="shared" si="910"/>
        <v>0.11916394341605475</v>
      </c>
      <c r="AL3038" s="17"/>
      <c r="AM3038" s="17"/>
      <c r="AN3038" s="17"/>
      <c r="AO3038" s="17"/>
      <c r="AP3038" s="28" t="str">
        <f t="shared" si="911"/>
        <v>CancelCancel</v>
      </c>
      <c r="AQ3038" s="28" t="str">
        <f t="shared" si="912"/>
        <v>CancelCancelJPY</v>
      </c>
      <c r="AR3038" s="206" t="str">
        <f t="shared" si="913"/>
        <v>YAMAHA_Mounter</v>
      </c>
      <c r="AS3038" s="22" t="str">
        <f t="shared" si="914"/>
        <v/>
      </c>
      <c r="AT3038" s="24" t="str">
        <f t="shared" si="915"/>
        <v/>
      </c>
    </row>
    <row r="3039" spans="1:46" s="12" customFormat="1">
      <c r="A3039" s="33" t="str">
        <f t="shared" si="902"/>
        <v>cancel</v>
      </c>
      <c r="B3039" s="152"/>
      <c r="C3039" s="152" t="s">
        <v>186</v>
      </c>
      <c r="D3039" s="33" t="str">
        <f t="shared" si="903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904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05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20"/>
        <v>1</v>
      </c>
      <c r="Z3039" s="18">
        <f t="shared" si="919"/>
        <v>7348000</v>
      </c>
      <c r="AA3039" s="13">
        <v>7.6100000000000001E-2</v>
      </c>
      <c r="AB3039" s="21">
        <f t="shared" si="907"/>
        <v>559182.80000000005</v>
      </c>
      <c r="AC3039" s="130">
        <f t="shared" si="908"/>
        <v>67101.936000000002</v>
      </c>
      <c r="AD3039" s="169">
        <v>0.12</v>
      </c>
      <c r="AE3039" s="154">
        <f t="shared" si="909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16"/>
        <v>477651199.57437885</v>
      </c>
      <c r="AJ3039" s="19">
        <f t="shared" si="917"/>
        <v>56918800.518691957</v>
      </c>
      <c r="AK3039" s="20">
        <f t="shared" si="910"/>
        <v>0.11916394341605475</v>
      </c>
      <c r="AL3039" s="17"/>
      <c r="AM3039" s="17"/>
      <c r="AN3039" s="17"/>
      <c r="AO3039" s="17"/>
      <c r="AP3039" s="28" t="str">
        <f t="shared" si="911"/>
        <v>CancelCancel</v>
      </c>
      <c r="AQ3039" s="28" t="str">
        <f t="shared" si="912"/>
        <v>CancelCancelJPY</v>
      </c>
      <c r="AR3039" s="206" t="str">
        <f t="shared" si="913"/>
        <v>YAMAHA_Mounter</v>
      </c>
      <c r="AS3039" s="22" t="str">
        <f t="shared" si="914"/>
        <v/>
      </c>
      <c r="AT3039" s="24" t="str">
        <f t="shared" si="915"/>
        <v/>
      </c>
    </row>
    <row r="3040" spans="1:46" s="12" customFormat="1">
      <c r="A3040" s="33" t="str">
        <f t="shared" si="902"/>
        <v>cancel</v>
      </c>
      <c r="B3040" s="152"/>
      <c r="C3040" s="152" t="s">
        <v>186</v>
      </c>
      <c r="D3040" s="33" t="str">
        <f t="shared" si="903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904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05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20"/>
        <v>1</v>
      </c>
      <c r="Z3040" s="18">
        <f t="shared" si="919"/>
        <v>15000000</v>
      </c>
      <c r="AA3040" s="13">
        <v>7.4499999999999997E-2</v>
      </c>
      <c r="AB3040" s="21">
        <f t="shared" si="907"/>
        <v>1117500</v>
      </c>
      <c r="AC3040" s="130">
        <f t="shared" si="908"/>
        <v>134100</v>
      </c>
      <c r="AD3040" s="169">
        <v>0.12</v>
      </c>
      <c r="AE3040" s="154">
        <f t="shared" si="909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16"/>
        <v>477651199.57437885</v>
      </c>
      <c r="AJ3040" s="19">
        <f t="shared" si="917"/>
        <v>56918800.518691957</v>
      </c>
      <c r="AK3040" s="20">
        <f t="shared" si="910"/>
        <v>0.11916394341605475</v>
      </c>
      <c r="AL3040" s="17"/>
      <c r="AM3040" s="17"/>
      <c r="AN3040" s="17"/>
      <c r="AO3040" s="17"/>
      <c r="AP3040" s="28" t="str">
        <f t="shared" si="911"/>
        <v>CancelCancel</v>
      </c>
      <c r="AQ3040" s="28" t="str">
        <f t="shared" si="912"/>
        <v>CancelCancelJPY</v>
      </c>
      <c r="AR3040" s="206" t="str">
        <f t="shared" si="913"/>
        <v>YAMAHA_Mounter</v>
      </c>
      <c r="AS3040" s="22" t="str">
        <f t="shared" si="914"/>
        <v/>
      </c>
      <c r="AT3040" s="24" t="str">
        <f t="shared" si="915"/>
        <v/>
      </c>
    </row>
    <row r="3041" spans="1:46" s="12" customFormat="1">
      <c r="A3041" s="33" t="str">
        <f t="shared" si="902"/>
        <v>cancel</v>
      </c>
      <c r="B3041" s="152"/>
      <c r="C3041" s="152" t="s">
        <v>186</v>
      </c>
      <c r="D3041" s="33" t="str">
        <f t="shared" si="903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904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05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20"/>
        <v>1</v>
      </c>
      <c r="Z3041" s="18">
        <f t="shared" si="919"/>
        <v>11530000</v>
      </c>
      <c r="AA3041" s="13">
        <v>7.4499999999999997E-2</v>
      </c>
      <c r="AB3041" s="21">
        <f t="shared" si="907"/>
        <v>858985</v>
      </c>
      <c r="AC3041" s="130">
        <f t="shared" si="908"/>
        <v>103078.2</v>
      </c>
      <c r="AD3041" s="169">
        <v>0.12</v>
      </c>
      <c r="AE3041" s="154">
        <f t="shared" si="909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16"/>
        <v>477651199.57437885</v>
      </c>
      <c r="AJ3041" s="19">
        <f t="shared" si="917"/>
        <v>56918800.518691957</v>
      </c>
      <c r="AK3041" s="20">
        <f t="shared" si="910"/>
        <v>0.11916394341605475</v>
      </c>
      <c r="AL3041" s="17"/>
      <c r="AM3041" s="17"/>
      <c r="AN3041" s="17"/>
      <c r="AO3041" s="17"/>
      <c r="AP3041" s="28" t="str">
        <f t="shared" si="911"/>
        <v>CancelCancel</v>
      </c>
      <c r="AQ3041" s="28" t="str">
        <f t="shared" si="912"/>
        <v>CancelCancelJPY</v>
      </c>
      <c r="AR3041" s="206" t="str">
        <f t="shared" si="913"/>
        <v>YAMAHA_Mounter</v>
      </c>
      <c r="AS3041" s="22" t="str">
        <f t="shared" si="914"/>
        <v/>
      </c>
      <c r="AT3041" s="24" t="str">
        <f t="shared" si="915"/>
        <v/>
      </c>
    </row>
    <row r="3042" spans="1:46" s="12" customFormat="1">
      <c r="A3042" s="33" t="str">
        <f t="shared" si="902"/>
        <v>cancel</v>
      </c>
      <c r="B3042" s="152"/>
      <c r="C3042" s="152" t="s">
        <v>186</v>
      </c>
      <c r="D3042" s="33" t="str">
        <f t="shared" si="903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904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05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20"/>
        <v>1</v>
      </c>
      <c r="Z3042" s="18">
        <f t="shared" si="919"/>
        <v>11530000</v>
      </c>
      <c r="AA3042" s="13">
        <v>7.4499999999999997E-2</v>
      </c>
      <c r="AB3042" s="21">
        <f t="shared" si="907"/>
        <v>858985</v>
      </c>
      <c r="AC3042" s="130">
        <f t="shared" si="908"/>
        <v>103078.2</v>
      </c>
      <c r="AD3042" s="169">
        <v>0.12</v>
      </c>
      <c r="AE3042" s="154">
        <f t="shared" si="909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16"/>
        <v>477651199.57437885</v>
      </c>
      <c r="AJ3042" s="19">
        <f t="shared" si="917"/>
        <v>56918800.518691957</v>
      </c>
      <c r="AK3042" s="20">
        <f t="shared" si="910"/>
        <v>0.11916394341605475</v>
      </c>
      <c r="AL3042" s="17"/>
      <c r="AM3042" s="17"/>
      <c r="AN3042" s="17"/>
      <c r="AO3042" s="17"/>
      <c r="AP3042" s="28" t="str">
        <f t="shared" si="911"/>
        <v>CancelCancel</v>
      </c>
      <c r="AQ3042" s="28" t="str">
        <f t="shared" si="912"/>
        <v>CancelCancelJPY</v>
      </c>
      <c r="AR3042" s="206" t="str">
        <f t="shared" si="913"/>
        <v>YAMAHA_Mounter</v>
      </c>
      <c r="AS3042" s="22" t="str">
        <f t="shared" si="914"/>
        <v/>
      </c>
      <c r="AT3042" s="24" t="str">
        <f t="shared" si="915"/>
        <v/>
      </c>
    </row>
    <row r="3043" spans="1:46" s="12" customFormat="1">
      <c r="A3043" s="33" t="str">
        <f t="shared" si="902"/>
        <v>cancel</v>
      </c>
      <c r="B3043" s="152"/>
      <c r="C3043" s="152" t="s">
        <v>186</v>
      </c>
      <c r="D3043" s="33" t="str">
        <f t="shared" si="903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904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05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20"/>
        <v>1</v>
      </c>
      <c r="Z3043" s="18">
        <f t="shared" si="919"/>
        <v>7500000</v>
      </c>
      <c r="AA3043" s="13">
        <v>7.4499999999999997E-2</v>
      </c>
      <c r="AB3043" s="21">
        <f t="shared" si="907"/>
        <v>558750</v>
      </c>
      <c r="AC3043" s="130">
        <f t="shared" si="908"/>
        <v>67050</v>
      </c>
      <c r="AD3043" s="169">
        <v>0.12</v>
      </c>
      <c r="AE3043" s="154">
        <f t="shared" si="909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16"/>
        <v>477651199.57437885</v>
      </c>
      <c r="AJ3043" s="19">
        <f t="shared" si="917"/>
        <v>56918800.518691957</v>
      </c>
      <c r="AK3043" s="20">
        <f t="shared" si="910"/>
        <v>0.11916394341605475</v>
      </c>
      <c r="AL3043" s="17"/>
      <c r="AM3043" s="17"/>
      <c r="AN3043" s="17"/>
      <c r="AO3043" s="17"/>
      <c r="AP3043" s="28" t="str">
        <f t="shared" si="911"/>
        <v>CancelCancel</v>
      </c>
      <c r="AQ3043" s="28" t="str">
        <f t="shared" si="912"/>
        <v>CancelCancelJPY</v>
      </c>
      <c r="AR3043" s="206" t="str">
        <f t="shared" si="913"/>
        <v>YAMAHA_Mounter</v>
      </c>
      <c r="AS3043" s="22" t="str">
        <f t="shared" si="914"/>
        <v/>
      </c>
      <c r="AT3043" s="24" t="str">
        <f t="shared" si="915"/>
        <v/>
      </c>
    </row>
    <row r="3044" spans="1:46" s="12" customFormat="1">
      <c r="A3044" s="33" t="str">
        <f t="shared" si="902"/>
        <v>cancel</v>
      </c>
      <c r="B3044" s="152"/>
      <c r="C3044" s="152" t="s">
        <v>186</v>
      </c>
      <c r="D3044" s="33" t="str">
        <f t="shared" si="903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904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05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20"/>
        <v>1</v>
      </c>
      <c r="Z3044" s="18">
        <f t="shared" si="919"/>
        <v>7500000</v>
      </c>
      <c r="AA3044" s="13">
        <v>7.4499999999999997E-2</v>
      </c>
      <c r="AB3044" s="21">
        <f t="shared" si="907"/>
        <v>558750</v>
      </c>
      <c r="AC3044" s="130">
        <f t="shared" si="908"/>
        <v>67050</v>
      </c>
      <c r="AD3044" s="169">
        <v>0.12</v>
      </c>
      <c r="AE3044" s="154">
        <f t="shared" si="909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16"/>
        <v>477651199.57437885</v>
      </c>
      <c r="AJ3044" s="19">
        <f t="shared" si="917"/>
        <v>56918800.518691957</v>
      </c>
      <c r="AK3044" s="20">
        <f t="shared" si="910"/>
        <v>0.11916394341605475</v>
      </c>
      <c r="AL3044" s="17"/>
      <c r="AM3044" s="17"/>
      <c r="AN3044" s="17"/>
      <c r="AO3044" s="17"/>
      <c r="AP3044" s="28" t="str">
        <f t="shared" si="911"/>
        <v>CancelCancel</v>
      </c>
      <c r="AQ3044" s="28" t="str">
        <f t="shared" si="912"/>
        <v>CancelCancelJPY</v>
      </c>
      <c r="AR3044" s="206" t="str">
        <f t="shared" si="913"/>
        <v>YAMAHA_Mounter</v>
      </c>
      <c r="AS3044" s="22" t="str">
        <f t="shared" si="914"/>
        <v/>
      </c>
      <c r="AT3044" s="24" t="str">
        <f t="shared" si="915"/>
        <v/>
      </c>
    </row>
    <row r="3045" spans="1:46" s="12" customFormat="1">
      <c r="A3045" s="33" t="str">
        <f t="shared" si="902"/>
        <v>FY 23/24</v>
      </c>
      <c r="B3045" s="23">
        <v>2024</v>
      </c>
      <c r="C3045" s="152">
        <v>1</v>
      </c>
      <c r="D3045" s="33" t="str">
        <f t="shared" si="903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904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05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9"/>
        <v>970000</v>
      </c>
      <c r="AA3045" s="22">
        <v>1.0900000000000001</v>
      </c>
      <c r="AB3045" s="21">
        <f t="shared" si="907"/>
        <v>935663.71681415942</v>
      </c>
      <c r="AC3045" s="25">
        <f t="shared" si="908"/>
        <v>72233.238938053109</v>
      </c>
      <c r="AD3045" s="169">
        <v>7.7200000000000005E-2</v>
      </c>
      <c r="AE3045" s="26">
        <f t="shared" si="909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16"/>
        <v>10524262.405309737</v>
      </c>
      <c r="AJ3045" s="27">
        <f t="shared" si="917"/>
        <v>1479050.9527127435</v>
      </c>
      <c r="AK3045" s="28">
        <f t="shared" si="910"/>
        <v>0.14053725532028996</v>
      </c>
      <c r="AL3045" s="24"/>
      <c r="AM3045" s="24"/>
      <c r="AN3045" s="24"/>
      <c r="AO3045" s="24"/>
      <c r="AP3045" s="28" t="str">
        <f t="shared" si="911"/>
        <v>20242</v>
      </c>
      <c r="AQ3045" s="28" t="str">
        <f t="shared" si="912"/>
        <v>20242RMB</v>
      </c>
      <c r="AR3045" s="206" t="str">
        <f t="shared" si="913"/>
        <v>YAMAHA_Mounter</v>
      </c>
      <c r="AS3045" s="22">
        <f t="shared" si="914"/>
        <v>1</v>
      </c>
      <c r="AT3045" s="24" t="str">
        <f t="shared" si="915"/>
        <v>0-3 months</v>
      </c>
    </row>
    <row r="3046" spans="1:46" s="12" customFormat="1">
      <c r="A3046" s="33" t="str">
        <f t="shared" si="902"/>
        <v>FY 23/24</v>
      </c>
      <c r="B3046" s="23">
        <v>2024</v>
      </c>
      <c r="C3046" s="152">
        <v>1</v>
      </c>
      <c r="D3046" s="33" t="str">
        <f t="shared" si="903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904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05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9"/>
        <v>970000</v>
      </c>
      <c r="AA3046" s="22">
        <v>1.0900000000000001</v>
      </c>
      <c r="AB3046" s="21">
        <f t="shared" si="907"/>
        <v>935663.71681415942</v>
      </c>
      <c r="AC3046" s="25">
        <f t="shared" si="908"/>
        <v>72233.238938053109</v>
      </c>
      <c r="AD3046" s="169">
        <v>7.7200000000000005E-2</v>
      </c>
      <c r="AE3046" s="26">
        <f t="shared" si="909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16"/>
        <v>10524262.405309737</v>
      </c>
      <c r="AJ3046" s="27">
        <f t="shared" si="917"/>
        <v>1479050.9527127435</v>
      </c>
      <c r="AK3046" s="28">
        <f t="shared" si="910"/>
        <v>0.14053725532028996</v>
      </c>
      <c r="AL3046" s="24"/>
      <c r="AM3046" s="24"/>
      <c r="AN3046" s="24"/>
      <c r="AO3046" s="24"/>
      <c r="AP3046" s="28" t="str">
        <f t="shared" si="911"/>
        <v>20242</v>
      </c>
      <c r="AQ3046" s="28" t="str">
        <f t="shared" si="912"/>
        <v>20242RMB</v>
      </c>
      <c r="AR3046" s="206" t="str">
        <f t="shared" si="913"/>
        <v>YAMAHA_Mounter</v>
      </c>
      <c r="AS3046" s="22">
        <f t="shared" si="914"/>
        <v>1</v>
      </c>
      <c r="AT3046" s="24" t="str">
        <f t="shared" si="915"/>
        <v>0-3 months</v>
      </c>
    </row>
    <row r="3047" spans="1:46" s="12" customFormat="1">
      <c r="A3047" s="33" t="str">
        <f t="shared" si="902"/>
        <v>FY 18/19</v>
      </c>
      <c r="B3047" s="152">
        <v>2018</v>
      </c>
      <c r="C3047" s="152">
        <v>7</v>
      </c>
      <c r="D3047" s="33" t="str">
        <f t="shared" si="903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904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05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9"/>
        <v>21500000</v>
      </c>
      <c r="AA3047" s="13">
        <v>7.2099999999999997E-2</v>
      </c>
      <c r="AB3047" s="21">
        <f t="shared" si="907"/>
        <v>1550150</v>
      </c>
      <c r="AC3047" s="130">
        <f t="shared" si="908"/>
        <v>252364.42</v>
      </c>
      <c r="AD3047" s="169">
        <v>0.1628</v>
      </c>
      <c r="AE3047" s="154">
        <f t="shared" si="909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16"/>
        <v>26754147.763010349</v>
      </c>
      <c r="AJ3047" s="19">
        <f t="shared" si="917"/>
        <v>3429137.9965357962</v>
      </c>
      <c r="AK3047" s="20">
        <f t="shared" si="910"/>
        <v>0.12817220069617921</v>
      </c>
      <c r="AL3047" s="17"/>
      <c r="AM3047" s="17"/>
      <c r="AN3047" s="17"/>
      <c r="AO3047" s="17"/>
      <c r="AP3047" s="28" t="str">
        <f t="shared" si="911"/>
        <v>20188</v>
      </c>
      <c r="AQ3047" s="28" t="str">
        <f t="shared" si="912"/>
        <v>20188JPY</v>
      </c>
      <c r="AR3047" s="206" t="str">
        <f t="shared" si="913"/>
        <v>YAMAHA_Mounter</v>
      </c>
      <c r="AS3047" s="22">
        <f t="shared" si="914"/>
        <v>1</v>
      </c>
      <c r="AT3047" s="24" t="str">
        <f t="shared" si="915"/>
        <v>0-3 months</v>
      </c>
    </row>
    <row r="3048" spans="1:46" s="12" customFormat="1">
      <c r="A3048" s="33" t="str">
        <f t="shared" si="902"/>
        <v>FY 17/18</v>
      </c>
      <c r="B3048" s="152">
        <v>2018</v>
      </c>
      <c r="C3048" s="152">
        <v>3</v>
      </c>
      <c r="D3048" s="33" t="str">
        <f t="shared" si="903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904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05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9"/>
        <v>38500000</v>
      </c>
      <c r="AA3048" s="13">
        <v>7.3400000000000007E-2</v>
      </c>
      <c r="AB3048" s="21">
        <f t="shared" si="907"/>
        <v>2825900.0000000005</v>
      </c>
      <c r="AC3048" s="130">
        <f t="shared" si="908"/>
        <v>453274.36000000004</v>
      </c>
      <c r="AD3048" s="169">
        <v>0.16039999999999999</v>
      </c>
      <c r="AE3048" s="154">
        <f t="shared" si="909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16"/>
        <v>34109166.105589926</v>
      </c>
      <c r="AJ3048" s="19">
        <f t="shared" si="917"/>
        <v>4642032.7199573703</v>
      </c>
      <c r="AK3048" s="20">
        <f t="shared" si="910"/>
        <v>0.13609340977692849</v>
      </c>
      <c r="AL3048" s="17"/>
      <c r="AM3048" s="17"/>
      <c r="AN3048" s="17"/>
      <c r="AO3048" s="17"/>
      <c r="AP3048" s="28" t="str">
        <f t="shared" si="911"/>
        <v>20185</v>
      </c>
      <c r="AQ3048" s="28" t="str">
        <f t="shared" si="912"/>
        <v>20185JPY</v>
      </c>
      <c r="AR3048" s="206" t="str">
        <f t="shared" si="913"/>
        <v>YAMAHA_Mounter</v>
      </c>
      <c r="AS3048" s="22">
        <f t="shared" si="914"/>
        <v>2</v>
      </c>
      <c r="AT3048" s="24" t="str">
        <f t="shared" si="915"/>
        <v>0-3 months</v>
      </c>
    </row>
    <row r="3049" spans="1:46" s="12" customFormat="1">
      <c r="A3049" s="33" t="str">
        <f t="shared" si="902"/>
        <v>FY 17/18</v>
      </c>
      <c r="B3049" s="152">
        <v>2018</v>
      </c>
      <c r="C3049" s="152">
        <v>3</v>
      </c>
      <c r="D3049" s="33" t="str">
        <f t="shared" si="903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904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05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9"/>
        <v>28875000</v>
      </c>
      <c r="AA3049" s="13">
        <v>7.2099999999999997E-2</v>
      </c>
      <c r="AB3049" s="21">
        <f t="shared" si="907"/>
        <v>2081887.5</v>
      </c>
      <c r="AC3049" s="130">
        <f t="shared" si="908"/>
        <v>249826.5</v>
      </c>
      <c r="AD3049" s="169">
        <v>0.12</v>
      </c>
      <c r="AE3049" s="154" t="str">
        <f t="shared" si="909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16"/>
        <v>477651199.57437885</v>
      </c>
      <c r="AJ3049" s="19">
        <f t="shared" si="917"/>
        <v>56918800.518691957</v>
      </c>
      <c r="AK3049" s="20">
        <f t="shared" si="910"/>
        <v>0.11916394341605475</v>
      </c>
      <c r="AL3049" s="17"/>
      <c r="AM3049" s="17"/>
      <c r="AN3049" s="17"/>
      <c r="AO3049" s="17"/>
      <c r="AP3049" s="28" t="str">
        <f t="shared" si="911"/>
        <v>CancelCancel</v>
      </c>
      <c r="AQ3049" s="28" t="str">
        <f t="shared" si="912"/>
        <v>CancelCancelJPY</v>
      </c>
      <c r="AR3049" s="206" t="str">
        <f t="shared" si="913"/>
        <v>YAMAHA_Mounter</v>
      </c>
      <c r="AS3049" s="22" t="str">
        <f t="shared" si="914"/>
        <v/>
      </c>
      <c r="AT3049" s="24" t="str">
        <f t="shared" si="915"/>
        <v/>
      </c>
    </row>
    <row r="3050" spans="1:46" s="12" customFormat="1">
      <c r="A3050" s="33" t="str">
        <f t="shared" si="902"/>
        <v>FY 17/18</v>
      </c>
      <c r="B3050" s="152">
        <v>2018</v>
      </c>
      <c r="C3050" s="152">
        <v>3</v>
      </c>
      <c r="D3050" s="33" t="str">
        <f t="shared" si="903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904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05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9"/>
        <v>9625000</v>
      </c>
      <c r="AA3050" s="13">
        <v>7.22E-2</v>
      </c>
      <c r="AB3050" s="21">
        <f t="shared" si="907"/>
        <v>694925</v>
      </c>
      <c r="AC3050" s="130">
        <f t="shared" si="908"/>
        <v>83391</v>
      </c>
      <c r="AD3050" s="169">
        <v>0.12</v>
      </c>
      <c r="AE3050" s="154" t="str">
        <f t="shared" si="909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16"/>
        <v>477651199.57437885</v>
      </c>
      <c r="AJ3050" s="19">
        <f t="shared" si="917"/>
        <v>56918800.518691957</v>
      </c>
      <c r="AK3050" s="20">
        <f t="shared" si="910"/>
        <v>0.11916394341605475</v>
      </c>
      <c r="AL3050" s="17"/>
      <c r="AM3050" s="17"/>
      <c r="AN3050" s="17"/>
      <c r="AO3050" s="17"/>
      <c r="AP3050" s="28" t="str">
        <f t="shared" si="911"/>
        <v>CancelCancel</v>
      </c>
      <c r="AQ3050" s="28" t="str">
        <f t="shared" si="912"/>
        <v>CancelCancelJPY</v>
      </c>
      <c r="AR3050" s="206" t="str">
        <f t="shared" si="913"/>
        <v>YAMAHA_Mounter</v>
      </c>
      <c r="AS3050" s="22" t="str">
        <f t="shared" si="914"/>
        <v/>
      </c>
      <c r="AT3050" s="24" t="str">
        <f t="shared" si="915"/>
        <v/>
      </c>
    </row>
    <row r="3051" spans="1:46" s="12" customFormat="1">
      <c r="A3051" s="33" t="str">
        <f t="shared" si="902"/>
        <v>FY 20/21</v>
      </c>
      <c r="B3051" s="152">
        <v>2020</v>
      </c>
      <c r="C3051" s="152">
        <v>11</v>
      </c>
      <c r="D3051" s="33" t="str">
        <f t="shared" si="903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904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05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9"/>
        <v>945000</v>
      </c>
      <c r="AA3051" s="13">
        <v>1.2</v>
      </c>
      <c r="AB3051" s="21">
        <f t="shared" si="907"/>
        <v>1003539.8230088496</v>
      </c>
      <c r="AC3051" s="130">
        <f t="shared" si="908"/>
        <v>117915.92920353982</v>
      </c>
      <c r="AD3051" s="169">
        <v>0.11749999999999999</v>
      </c>
      <c r="AE3051" s="154">
        <f t="shared" si="909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16"/>
        <v>57778307.282035396</v>
      </c>
      <c r="AJ3051" s="19">
        <f t="shared" si="917"/>
        <v>7259860.7225420559</v>
      </c>
      <c r="AK3051" s="20">
        <f t="shared" si="910"/>
        <v>0.12565028406083667</v>
      </c>
      <c r="AL3051" s="17"/>
      <c r="AM3051" s="17"/>
      <c r="AN3051" s="17"/>
      <c r="AO3051" s="17"/>
      <c r="AP3051" s="28" t="str">
        <f t="shared" si="911"/>
        <v>20213</v>
      </c>
      <c r="AQ3051" s="28" t="str">
        <f t="shared" si="912"/>
        <v>20213RMB</v>
      </c>
      <c r="AR3051" s="206" t="str">
        <f t="shared" si="913"/>
        <v>YAMAHA_Mounter</v>
      </c>
      <c r="AS3051" s="22">
        <f t="shared" si="914"/>
        <v>4</v>
      </c>
      <c r="AT3051" s="24" t="str">
        <f t="shared" si="915"/>
        <v>4-6 months</v>
      </c>
    </row>
    <row r="3052" spans="1:46" s="12" customFormat="1">
      <c r="A3052" s="33" t="str">
        <f t="shared" ref="A3052:A3115" si="921">IF(C3052="cancel","cancel",IFERROR(IF(D3052="Q4","FY "&amp;RIGHT(B3052,2)-1&amp;"/"&amp;RIGHT(B3052,2),"FY "&amp;RIGHT(B3052,2)&amp;"/"&amp;RIGHT(B3052,2)+1),""))</f>
        <v>FY 20/21</v>
      </c>
      <c r="B3052" s="152">
        <v>2020</v>
      </c>
      <c r="C3052" s="152">
        <v>11</v>
      </c>
      <c r="D3052" s="33" t="str">
        <f t="shared" ref="D3052:D3115" si="922">IF(B3052="","",IF(AND(C3052&gt;=10,C3052&lt;=12),"Q3",IF(AND(C3052&gt;=1,C3052&lt;=3),"Q4",IF(AND(C3052&gt;=7,C3052&lt;=9),"Q2",IF(AND(C3052&gt;=4,C3052&lt;=6),"Q1")))))</f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ref="I3052:I3115" si="923">IFERROR(IF(F3052="","",IF(F3052="TBA","TBA",IF(F3052="Cancel","Cancel",IF(AND(G3052&gt;=10,G3052&lt;=12),"Q3",IF(AND(G3052&gt;=1,G3052&lt;=3),"Q4",IF(AND(G3052&gt;=7,G3052&lt;=9),"Q2",IF(AND(G3052&gt;=4,G3052&lt;=6),"Q1"))))))),"")</f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ref="P3052:P3115" si="924">IF(M3052="","",IF(AND(N3052&gt;0,L3052&lt;&gt;""),"MAIN UNIT",IF(AND(O3052&gt;0,L3052&lt;&gt;""),"SERVICE/ PARTS","C66 SERVICE/OTHERS")))</f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9"/>
        <v>945000</v>
      </c>
      <c r="AA3052" s="13">
        <v>1.2</v>
      </c>
      <c r="AB3052" s="21">
        <f t="shared" ref="AB3052:AB3115" si="925">IF(AND(R3052&lt;&gt;"C66",R3052&lt;&gt;""),Z3052/Y3052*AA3052,"")</f>
        <v>1003539.8230088496</v>
      </c>
      <c r="AC3052" s="130">
        <f t="shared" ref="AC3052:AC3115" si="926">IF(R3052&lt;&gt;"",AB3052*AD3052,"")</f>
        <v>117915.92920353982</v>
      </c>
      <c r="AD3052" s="169">
        <v>0.11749999999999999</v>
      </c>
      <c r="AE3052" s="154">
        <f t="shared" ref="AE3052:AE3115" si="927">IF(Q3052="","",IF(Q3052="Yes",1,0))</f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16"/>
        <v>57778307.282035396</v>
      </c>
      <c r="AJ3052" s="19">
        <f t="shared" si="917"/>
        <v>7259860.7225420559</v>
      </c>
      <c r="AK3052" s="20">
        <f t="shared" ref="AK3052:AK3115" si="928">IF(AJ3052&gt;0,AJ3052/AI3052,"")</f>
        <v>0.12565028406083667</v>
      </c>
      <c r="AL3052" s="17"/>
      <c r="AM3052" s="17"/>
      <c r="AN3052" s="17"/>
      <c r="AO3052" s="17"/>
      <c r="AP3052" s="28" t="str">
        <f t="shared" ref="AP3052:AP3115" si="929">IF(F3052="","",F3052&amp;G3052)</f>
        <v>20213</v>
      </c>
      <c r="AQ3052" s="28" t="str">
        <f t="shared" ref="AQ3052:AQ3115" si="930">IF(W3052="","",F3052&amp;G3052&amp;W3052)</f>
        <v>20213RMB</v>
      </c>
      <c r="AR3052" s="206" t="str">
        <f t="shared" ref="AR3052:AR3115" si="931">IFERROR(IF(AND(M3052="YAMAHA", R3052="C28"), "YAMAHA_Non_Mounter", IF(AND(M3052="YAMAHA", R3052="C49"), "YAMAHA_Mounter", M3052)),"")</f>
        <v>YAMAHA_Mounter</v>
      </c>
      <c r="AS3052" s="22">
        <f t="shared" ref="AS3052:AS3115" si="932">IFERROR(IF(OR(G3052="TBA", G3052=""), "", DATEDIF(DATE(B3052, C3052, 1), DATE(F3052, G3052, 1), "M")),"")</f>
        <v>4</v>
      </c>
      <c r="AT3052" s="24" t="str">
        <f t="shared" ref="AT3052:AT3115" si="933">IF(ISNUMBER(AS3052), IF(AS3052&gt;=0, IF(AS3052&lt;=3, "0-3 months", IF(AS3052&lt;=6, "4-6 months", "&gt; 6 months"))), "")</f>
        <v>4-6 months</v>
      </c>
    </row>
    <row r="3053" spans="1:46" s="12" customFormat="1">
      <c r="A3053" s="33" t="str">
        <f t="shared" si="921"/>
        <v>FY 23/24</v>
      </c>
      <c r="B3053" s="152">
        <v>2023</v>
      </c>
      <c r="C3053" s="152">
        <v>7</v>
      </c>
      <c r="D3053" s="33" t="str">
        <f t="shared" si="922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923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24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9"/>
        <v>860000</v>
      </c>
      <c r="AA3053" s="13">
        <v>1.0920000000000001</v>
      </c>
      <c r="AB3053" s="21">
        <f t="shared" si="925"/>
        <v>831079.64601769927</v>
      </c>
      <c r="AC3053" s="130">
        <f t="shared" si="926"/>
        <v>92083.624778761077</v>
      </c>
      <c r="AD3053" s="169">
        <v>0.1108</v>
      </c>
      <c r="AE3053" s="154">
        <f t="shared" si="927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16"/>
        <v>22953677.784070797</v>
      </c>
      <c r="AJ3053" s="19">
        <f t="shared" si="917"/>
        <v>4168706.6744155753</v>
      </c>
      <c r="AK3053" s="20">
        <f t="shared" si="928"/>
        <v>0.18161388835511752</v>
      </c>
      <c r="AL3053" s="17"/>
      <c r="AM3053" s="17"/>
      <c r="AN3053" s="17"/>
      <c r="AO3053" s="17"/>
      <c r="AP3053" s="28" t="str">
        <f t="shared" si="929"/>
        <v>20238</v>
      </c>
      <c r="AQ3053" s="28" t="str">
        <f t="shared" si="930"/>
        <v>20238RMB</v>
      </c>
      <c r="AR3053" s="206" t="str">
        <f t="shared" si="931"/>
        <v>YAMAHA_Mounter</v>
      </c>
      <c r="AS3053" s="22">
        <f t="shared" si="932"/>
        <v>1</v>
      </c>
      <c r="AT3053" s="24" t="str">
        <f t="shared" si="933"/>
        <v>0-3 months</v>
      </c>
    </row>
    <row r="3054" spans="1:46" s="12" customFormat="1">
      <c r="A3054" s="33" t="str">
        <f t="shared" si="921"/>
        <v>FY 19/20</v>
      </c>
      <c r="B3054" s="152">
        <v>2019</v>
      </c>
      <c r="C3054" s="152">
        <v>12</v>
      </c>
      <c r="D3054" s="33" t="str">
        <f t="shared" si="922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923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24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9"/>
        <v>602800</v>
      </c>
      <c r="AA3054" s="13">
        <v>1.1100000000000001</v>
      </c>
      <c r="AB3054" s="21">
        <f t="shared" si="925"/>
        <v>592130.97345132753</v>
      </c>
      <c r="AC3054" s="130">
        <f t="shared" si="926"/>
        <v>82839.123185840726</v>
      </c>
      <c r="AD3054" s="169">
        <v>0.1399</v>
      </c>
      <c r="AE3054" s="154">
        <f t="shared" si="927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16"/>
        <v>11620538.477876106</v>
      </c>
      <c r="AJ3054" s="19">
        <f t="shared" si="917"/>
        <v>1598596.3145221241</v>
      </c>
      <c r="AK3054" s="20">
        <f t="shared" si="928"/>
        <v>0.13756645766163331</v>
      </c>
      <c r="AL3054" s="17"/>
      <c r="AM3054" s="17"/>
      <c r="AN3054" s="17"/>
      <c r="AO3054" s="17"/>
      <c r="AP3054" s="28" t="str">
        <f t="shared" si="929"/>
        <v>20201</v>
      </c>
      <c r="AQ3054" s="28" t="str">
        <f t="shared" si="930"/>
        <v>20201RMB</v>
      </c>
      <c r="AR3054" s="206" t="str">
        <f t="shared" si="931"/>
        <v>YAMAHA_Mounter</v>
      </c>
      <c r="AS3054" s="22">
        <f t="shared" si="932"/>
        <v>1</v>
      </c>
      <c r="AT3054" s="24" t="str">
        <f t="shared" si="933"/>
        <v>0-3 months</v>
      </c>
    </row>
    <row r="3055" spans="1:46" s="12" customFormat="1">
      <c r="A3055" s="33" t="str">
        <f t="shared" si="921"/>
        <v>FY 22/23</v>
      </c>
      <c r="B3055" s="152">
        <v>2023</v>
      </c>
      <c r="C3055" s="152">
        <v>2</v>
      </c>
      <c r="D3055" s="33" t="str">
        <f t="shared" si="922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923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24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9"/>
        <v>415000</v>
      </c>
      <c r="AA3055" s="13">
        <v>1.1299999999999999</v>
      </c>
      <c r="AB3055" s="21">
        <f t="shared" si="925"/>
        <v>415000</v>
      </c>
      <c r="AC3055" s="130">
        <f t="shared" si="926"/>
        <v>30212</v>
      </c>
      <c r="AD3055" s="169">
        <v>7.2800000000000004E-2</v>
      </c>
      <c r="AE3055" s="154">
        <f t="shared" si="927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16"/>
        <v>33543315.897345133</v>
      </c>
      <c r="AJ3055" s="19">
        <f t="shared" si="917"/>
        <v>4706169.3252984071</v>
      </c>
      <c r="AK3055" s="20">
        <f t="shared" si="928"/>
        <v>0.14030125523967318</v>
      </c>
      <c r="AL3055" s="17"/>
      <c r="AM3055" s="17"/>
      <c r="AN3055" s="17"/>
      <c r="AO3055" s="17"/>
      <c r="AP3055" s="28" t="str">
        <f t="shared" si="929"/>
        <v>20233</v>
      </c>
      <c r="AQ3055" s="28" t="str">
        <f t="shared" si="930"/>
        <v>20233RMB</v>
      </c>
      <c r="AR3055" s="206" t="str">
        <f t="shared" si="931"/>
        <v>YAMAHA_Mounter</v>
      </c>
      <c r="AS3055" s="22">
        <f t="shared" si="932"/>
        <v>1</v>
      </c>
      <c r="AT3055" s="24" t="str">
        <f t="shared" si="933"/>
        <v>0-3 months</v>
      </c>
    </row>
    <row r="3056" spans="1:46" s="12" customFormat="1">
      <c r="A3056" s="33" t="str">
        <f t="shared" si="921"/>
        <v>FY 19/20</v>
      </c>
      <c r="B3056" s="152">
        <v>2019</v>
      </c>
      <c r="C3056" s="152">
        <v>8</v>
      </c>
      <c r="D3056" s="33" t="str">
        <f t="shared" si="922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923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24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9"/>
        <v>720000</v>
      </c>
      <c r="AA3056" s="13">
        <v>1.135</v>
      </c>
      <c r="AB3056" s="21">
        <f t="shared" si="925"/>
        <v>723185.84070796461</v>
      </c>
      <c r="AC3056" s="130">
        <f t="shared" si="926"/>
        <v>88807.221238938058</v>
      </c>
      <c r="AD3056" s="169">
        <v>0.12280000000000001</v>
      </c>
      <c r="AE3056" s="154">
        <f t="shared" si="927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16"/>
        <v>21386017.707964607</v>
      </c>
      <c r="AJ3056" s="19">
        <f t="shared" si="917"/>
        <v>2238764.3265707968</v>
      </c>
      <c r="AK3056" s="20">
        <f t="shared" si="928"/>
        <v>0.10468355339185161</v>
      </c>
      <c r="AL3056" s="17"/>
      <c r="AM3056" s="17"/>
      <c r="AN3056" s="17"/>
      <c r="AO3056" s="17"/>
      <c r="AP3056" s="28" t="str">
        <f t="shared" si="929"/>
        <v>20198</v>
      </c>
      <c r="AQ3056" s="28" t="str">
        <f t="shared" si="930"/>
        <v>20198RMB</v>
      </c>
      <c r="AR3056" s="206" t="str">
        <f t="shared" si="931"/>
        <v>YAMAHA_Mounter</v>
      </c>
      <c r="AS3056" s="22">
        <f t="shared" si="932"/>
        <v>0</v>
      </c>
      <c r="AT3056" s="24" t="str">
        <f t="shared" si="933"/>
        <v>0-3 months</v>
      </c>
    </row>
    <row r="3057" spans="1:46" s="12" customFormat="1">
      <c r="A3057" s="33" t="str">
        <f t="shared" si="921"/>
        <v>FY 19/20</v>
      </c>
      <c r="B3057" s="152">
        <v>2019</v>
      </c>
      <c r="C3057" s="152">
        <v>8</v>
      </c>
      <c r="D3057" s="33" t="str">
        <f t="shared" si="922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923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24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9"/>
        <v>720000</v>
      </c>
      <c r="AA3057" s="13">
        <v>1.135</v>
      </c>
      <c r="AB3057" s="21">
        <f t="shared" si="925"/>
        <v>723185.84070796461</v>
      </c>
      <c r="AC3057" s="130">
        <f t="shared" si="926"/>
        <v>88807.221238938058</v>
      </c>
      <c r="AD3057" s="169">
        <v>0.12280000000000001</v>
      </c>
      <c r="AE3057" s="154">
        <f t="shared" si="927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16"/>
        <v>21386017.707964607</v>
      </c>
      <c r="AJ3057" s="19">
        <f t="shared" si="917"/>
        <v>2238764.3265707968</v>
      </c>
      <c r="AK3057" s="20">
        <f t="shared" si="928"/>
        <v>0.10468355339185161</v>
      </c>
      <c r="AL3057" s="17"/>
      <c r="AM3057" s="17"/>
      <c r="AN3057" s="17"/>
      <c r="AO3057" s="17"/>
      <c r="AP3057" s="28" t="str">
        <f t="shared" si="929"/>
        <v>20198</v>
      </c>
      <c r="AQ3057" s="28" t="str">
        <f t="shared" si="930"/>
        <v>20198RMB</v>
      </c>
      <c r="AR3057" s="206" t="str">
        <f t="shared" si="931"/>
        <v>YAMAHA_Mounter</v>
      </c>
      <c r="AS3057" s="22">
        <f t="shared" si="932"/>
        <v>0</v>
      </c>
      <c r="AT3057" s="24" t="str">
        <f t="shared" si="933"/>
        <v>0-3 months</v>
      </c>
    </row>
    <row r="3058" spans="1:46" s="12" customFormat="1">
      <c r="A3058" s="33" t="str">
        <f t="shared" si="921"/>
        <v>FY 19/20</v>
      </c>
      <c r="B3058" s="152">
        <v>2019</v>
      </c>
      <c r="C3058" s="152">
        <v>8</v>
      </c>
      <c r="D3058" s="33" t="str">
        <f t="shared" si="922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923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24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9"/>
        <v>720000</v>
      </c>
      <c r="AA3058" s="13">
        <v>1.135</v>
      </c>
      <c r="AB3058" s="21">
        <f t="shared" si="925"/>
        <v>723185.84070796461</v>
      </c>
      <c r="AC3058" s="130">
        <f t="shared" si="926"/>
        <v>88807.221238938058</v>
      </c>
      <c r="AD3058" s="169">
        <v>0.12280000000000001</v>
      </c>
      <c r="AE3058" s="154">
        <f t="shared" si="927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16"/>
        <v>21386017.707964607</v>
      </c>
      <c r="AJ3058" s="19">
        <f t="shared" si="917"/>
        <v>2238764.3265707968</v>
      </c>
      <c r="AK3058" s="20">
        <f t="shared" si="928"/>
        <v>0.10468355339185161</v>
      </c>
      <c r="AL3058" s="17"/>
      <c r="AM3058" s="17"/>
      <c r="AN3058" s="17"/>
      <c r="AO3058" s="17"/>
      <c r="AP3058" s="28" t="str">
        <f t="shared" si="929"/>
        <v>20198</v>
      </c>
      <c r="AQ3058" s="28" t="str">
        <f t="shared" si="930"/>
        <v>20198RMB</v>
      </c>
      <c r="AR3058" s="206" t="str">
        <f t="shared" si="931"/>
        <v>YAMAHA_Mounter</v>
      </c>
      <c r="AS3058" s="22">
        <f t="shared" si="932"/>
        <v>0</v>
      </c>
      <c r="AT3058" s="24" t="str">
        <f t="shared" si="933"/>
        <v>0-3 months</v>
      </c>
    </row>
    <row r="3059" spans="1:46" s="12" customFormat="1">
      <c r="A3059" s="33" t="str">
        <f t="shared" si="921"/>
        <v>FY 19/20</v>
      </c>
      <c r="B3059" s="152">
        <v>2019</v>
      </c>
      <c r="C3059" s="152">
        <v>11</v>
      </c>
      <c r="D3059" s="33" t="str">
        <f t="shared" si="922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923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24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9"/>
        <v>10220000</v>
      </c>
      <c r="AA3059" s="13">
        <v>7.2900000000000006E-2</v>
      </c>
      <c r="AB3059" s="21">
        <f t="shared" si="925"/>
        <v>745038.00000000012</v>
      </c>
      <c r="AC3059" s="130">
        <f t="shared" si="926"/>
        <v>100133.10720000001</v>
      </c>
      <c r="AD3059" s="169">
        <v>0.13439999999999999</v>
      </c>
      <c r="AE3059" s="154">
        <f t="shared" si="927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16"/>
        <v>27318180.088495575</v>
      </c>
      <c r="AJ3059" s="19">
        <f t="shared" si="917"/>
        <v>3014099.212353982</v>
      </c>
      <c r="AK3059" s="20">
        <f t="shared" si="928"/>
        <v>0.11033308963444827</v>
      </c>
      <c r="AL3059" s="17"/>
      <c r="AM3059" s="17"/>
      <c r="AN3059" s="17"/>
      <c r="AO3059" s="17"/>
      <c r="AP3059" s="28" t="str">
        <f t="shared" si="929"/>
        <v>201912</v>
      </c>
      <c r="AQ3059" s="28" t="str">
        <f t="shared" si="930"/>
        <v>201912JPY</v>
      </c>
      <c r="AR3059" s="206" t="str">
        <f t="shared" si="931"/>
        <v>YAMAHA_Mounter</v>
      </c>
      <c r="AS3059" s="22">
        <f t="shared" si="932"/>
        <v>1</v>
      </c>
      <c r="AT3059" s="24" t="str">
        <f t="shared" si="933"/>
        <v>0-3 months</v>
      </c>
    </row>
    <row r="3060" spans="1:46" s="12" customFormat="1">
      <c r="A3060" s="33" t="str">
        <f t="shared" si="921"/>
        <v>FY 19/20</v>
      </c>
      <c r="B3060" s="152">
        <v>2019</v>
      </c>
      <c r="C3060" s="152">
        <v>11</v>
      </c>
      <c r="D3060" s="33" t="str">
        <f t="shared" si="922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923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24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9"/>
        <v>12640000</v>
      </c>
      <c r="AA3060" s="13">
        <v>7.2900000000000006E-2</v>
      </c>
      <c r="AB3060" s="21">
        <f t="shared" si="925"/>
        <v>921456.00000000012</v>
      </c>
      <c r="AC3060" s="130">
        <f t="shared" si="926"/>
        <v>123843.68640000001</v>
      </c>
      <c r="AD3060" s="169">
        <v>0.13439999999999999</v>
      </c>
      <c r="AE3060" s="154">
        <f t="shared" si="927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16"/>
        <v>27318180.088495575</v>
      </c>
      <c r="AJ3060" s="19">
        <f t="shared" si="917"/>
        <v>3014099.212353982</v>
      </c>
      <c r="AK3060" s="20">
        <f t="shared" si="928"/>
        <v>0.11033308963444827</v>
      </c>
      <c r="AL3060" s="17"/>
      <c r="AM3060" s="17"/>
      <c r="AN3060" s="17"/>
      <c r="AO3060" s="17"/>
      <c r="AP3060" s="28" t="str">
        <f t="shared" si="929"/>
        <v>201912</v>
      </c>
      <c r="AQ3060" s="28" t="str">
        <f t="shared" si="930"/>
        <v>201912JPY</v>
      </c>
      <c r="AR3060" s="206" t="str">
        <f t="shared" si="931"/>
        <v>YAMAHA_Mounter</v>
      </c>
      <c r="AS3060" s="22">
        <f t="shared" si="932"/>
        <v>1</v>
      </c>
      <c r="AT3060" s="24" t="str">
        <f t="shared" si="933"/>
        <v>0-3 months</v>
      </c>
    </row>
    <row r="3061" spans="1:46" s="12" customFormat="1">
      <c r="A3061" s="33" t="str">
        <f t="shared" si="921"/>
        <v>FY 19/20</v>
      </c>
      <c r="B3061" s="152">
        <v>2019</v>
      </c>
      <c r="C3061" s="152">
        <v>11</v>
      </c>
      <c r="D3061" s="33" t="str">
        <f t="shared" si="922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923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24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9"/>
        <v>12640000</v>
      </c>
      <c r="AA3061" s="13">
        <v>7.2900000000000006E-2</v>
      </c>
      <c r="AB3061" s="21">
        <f t="shared" si="925"/>
        <v>921456.00000000012</v>
      </c>
      <c r="AC3061" s="130">
        <f t="shared" si="926"/>
        <v>123843.68640000001</v>
      </c>
      <c r="AD3061" s="169">
        <v>0.13439999999999999</v>
      </c>
      <c r="AE3061" s="154">
        <f t="shared" si="927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16"/>
        <v>27318180.088495575</v>
      </c>
      <c r="AJ3061" s="19">
        <f t="shared" si="917"/>
        <v>3014099.212353982</v>
      </c>
      <c r="AK3061" s="20">
        <f t="shared" si="928"/>
        <v>0.11033308963444827</v>
      </c>
      <c r="AL3061" s="17"/>
      <c r="AM3061" s="17"/>
      <c r="AN3061" s="17"/>
      <c r="AO3061" s="17"/>
      <c r="AP3061" s="28" t="str">
        <f t="shared" si="929"/>
        <v>201912</v>
      </c>
      <c r="AQ3061" s="28" t="str">
        <f t="shared" si="930"/>
        <v>201912JPY</v>
      </c>
      <c r="AR3061" s="206" t="str">
        <f t="shared" si="931"/>
        <v>YAMAHA_Mounter</v>
      </c>
      <c r="AS3061" s="22">
        <f t="shared" si="932"/>
        <v>1</v>
      </c>
      <c r="AT3061" s="24" t="str">
        <f t="shared" si="933"/>
        <v>0-3 months</v>
      </c>
    </row>
    <row r="3062" spans="1:46" s="12" customFormat="1">
      <c r="A3062" s="33" t="str">
        <f t="shared" si="921"/>
        <v>FY 19/20</v>
      </c>
      <c r="B3062" s="152">
        <v>2019</v>
      </c>
      <c r="C3062" s="152">
        <v>11</v>
      </c>
      <c r="D3062" s="33" t="str">
        <f t="shared" si="922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923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24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9"/>
        <v>9900000</v>
      </c>
      <c r="AA3062" s="13">
        <v>7.2700000000000001E-2</v>
      </c>
      <c r="AB3062" s="21">
        <f t="shared" si="925"/>
        <v>719730</v>
      </c>
      <c r="AC3062" s="130">
        <f t="shared" si="926"/>
        <v>84568.274999999994</v>
      </c>
      <c r="AD3062" s="169">
        <v>0.11749999999999999</v>
      </c>
      <c r="AE3062" s="154">
        <f t="shared" si="927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16"/>
        <v>14005204.685000001</v>
      </c>
      <c r="AJ3062" s="19">
        <f t="shared" si="917"/>
        <v>1436995.246084</v>
      </c>
      <c r="AK3062" s="20">
        <f t="shared" si="928"/>
        <v>0.10260437304590525</v>
      </c>
      <c r="AL3062" s="17"/>
      <c r="AM3062" s="17"/>
      <c r="AN3062" s="17"/>
      <c r="AO3062" s="17"/>
      <c r="AP3062" s="28" t="str">
        <f t="shared" si="929"/>
        <v>20202</v>
      </c>
      <c r="AQ3062" s="28" t="str">
        <f t="shared" si="930"/>
        <v>20202JPY</v>
      </c>
      <c r="AR3062" s="206" t="str">
        <f t="shared" si="931"/>
        <v>YAMAHA_Mounter</v>
      </c>
      <c r="AS3062" s="22">
        <f t="shared" si="932"/>
        <v>3</v>
      </c>
      <c r="AT3062" s="24" t="str">
        <f t="shared" si="933"/>
        <v>0-3 months</v>
      </c>
    </row>
    <row r="3063" spans="1:46" s="12" customFormat="1">
      <c r="A3063" s="33" t="str">
        <f t="shared" si="921"/>
        <v>FY 19/20</v>
      </c>
      <c r="B3063" s="152">
        <v>2019</v>
      </c>
      <c r="C3063" s="152">
        <v>11</v>
      </c>
      <c r="D3063" s="33" t="str">
        <f t="shared" si="922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923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24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9"/>
        <v>12600000</v>
      </c>
      <c r="AA3063" s="13">
        <v>7.2700000000000001E-2</v>
      </c>
      <c r="AB3063" s="21">
        <f t="shared" si="925"/>
        <v>916020</v>
      </c>
      <c r="AC3063" s="130">
        <f t="shared" si="926"/>
        <v>107632.34999999999</v>
      </c>
      <c r="AD3063" s="169">
        <v>0.11749999999999999</v>
      </c>
      <c r="AE3063" s="154">
        <f t="shared" si="927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16"/>
        <v>14005204.685000001</v>
      </c>
      <c r="AJ3063" s="19">
        <f t="shared" si="917"/>
        <v>1436995.246084</v>
      </c>
      <c r="AK3063" s="20">
        <f t="shared" si="928"/>
        <v>0.10260437304590525</v>
      </c>
      <c r="AL3063" s="17"/>
      <c r="AM3063" s="17"/>
      <c r="AN3063" s="17"/>
      <c r="AO3063" s="17"/>
      <c r="AP3063" s="28" t="str">
        <f t="shared" si="929"/>
        <v>20202</v>
      </c>
      <c r="AQ3063" s="28" t="str">
        <f t="shared" si="930"/>
        <v>20202JPY</v>
      </c>
      <c r="AR3063" s="206" t="str">
        <f t="shared" si="931"/>
        <v>YAMAHA_Mounter</v>
      </c>
      <c r="AS3063" s="22">
        <f t="shared" si="932"/>
        <v>3</v>
      </c>
      <c r="AT3063" s="24" t="str">
        <f t="shared" si="933"/>
        <v>0-3 months</v>
      </c>
    </row>
    <row r="3064" spans="1:46" s="12" customFormat="1">
      <c r="A3064" s="33" t="str">
        <f t="shared" si="921"/>
        <v>FY 19/20</v>
      </c>
      <c r="B3064" s="152">
        <v>2019</v>
      </c>
      <c r="C3064" s="152">
        <v>11</v>
      </c>
      <c r="D3064" s="33" t="str">
        <f t="shared" si="922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923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24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9"/>
        <v>12600000</v>
      </c>
      <c r="AA3064" s="13">
        <v>7.2700000000000001E-2</v>
      </c>
      <c r="AB3064" s="21">
        <f t="shared" si="925"/>
        <v>916020</v>
      </c>
      <c r="AC3064" s="130">
        <f t="shared" si="926"/>
        <v>107632.34999999999</v>
      </c>
      <c r="AD3064" s="169">
        <v>0.11749999999999999</v>
      </c>
      <c r="AE3064" s="154">
        <f t="shared" si="927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16"/>
        <v>14005204.685000001</v>
      </c>
      <c r="AJ3064" s="19">
        <f t="shared" si="917"/>
        <v>1436995.246084</v>
      </c>
      <c r="AK3064" s="20">
        <f t="shared" si="928"/>
        <v>0.10260437304590525</v>
      </c>
      <c r="AL3064" s="17"/>
      <c r="AM3064" s="17"/>
      <c r="AN3064" s="17"/>
      <c r="AO3064" s="17"/>
      <c r="AP3064" s="28" t="str">
        <f t="shared" si="929"/>
        <v>20202</v>
      </c>
      <c r="AQ3064" s="28" t="str">
        <f t="shared" si="930"/>
        <v>20202JPY</v>
      </c>
      <c r="AR3064" s="206" t="str">
        <f t="shared" si="931"/>
        <v>YAMAHA_Mounter</v>
      </c>
      <c r="AS3064" s="22">
        <f t="shared" si="932"/>
        <v>3</v>
      </c>
      <c r="AT3064" s="24" t="str">
        <f t="shared" si="933"/>
        <v>0-3 months</v>
      </c>
    </row>
    <row r="3065" spans="1:46" s="12" customFormat="1">
      <c r="A3065" s="33" t="str">
        <f t="shared" si="921"/>
        <v>FY 19/20</v>
      </c>
      <c r="B3065" s="152">
        <v>2019</v>
      </c>
      <c r="C3065" s="152">
        <v>11</v>
      </c>
      <c r="D3065" s="33" t="str">
        <f t="shared" si="922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923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24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9"/>
        <v>12600000</v>
      </c>
      <c r="AA3065" s="13">
        <v>7.2700000000000001E-2</v>
      </c>
      <c r="AB3065" s="21">
        <f t="shared" si="925"/>
        <v>916020</v>
      </c>
      <c r="AC3065" s="130">
        <f t="shared" si="926"/>
        <v>107632.34999999999</v>
      </c>
      <c r="AD3065" s="169">
        <v>0.11749999999999999</v>
      </c>
      <c r="AE3065" s="154">
        <f t="shared" si="927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16"/>
        <v>14005204.685000001</v>
      </c>
      <c r="AJ3065" s="19">
        <f t="shared" si="917"/>
        <v>1436995.246084</v>
      </c>
      <c r="AK3065" s="20">
        <f t="shared" si="928"/>
        <v>0.10260437304590525</v>
      </c>
      <c r="AL3065" s="17"/>
      <c r="AM3065" s="17"/>
      <c r="AN3065" s="17"/>
      <c r="AO3065" s="17"/>
      <c r="AP3065" s="28" t="str">
        <f t="shared" si="929"/>
        <v>20202</v>
      </c>
      <c r="AQ3065" s="28" t="str">
        <f t="shared" si="930"/>
        <v>20202JPY</v>
      </c>
      <c r="AR3065" s="206" t="str">
        <f t="shared" si="931"/>
        <v>YAMAHA_Mounter</v>
      </c>
      <c r="AS3065" s="22">
        <f t="shared" si="932"/>
        <v>3</v>
      </c>
      <c r="AT3065" s="24" t="str">
        <f t="shared" si="933"/>
        <v>0-3 months</v>
      </c>
    </row>
    <row r="3066" spans="1:46" s="12" customFormat="1">
      <c r="A3066" s="33" t="str">
        <f t="shared" si="921"/>
        <v>FY 21/22</v>
      </c>
      <c r="B3066" s="152">
        <v>2021</v>
      </c>
      <c r="C3066" s="152">
        <v>5</v>
      </c>
      <c r="D3066" s="33" t="str">
        <f t="shared" si="922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923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24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9"/>
        <v>8000000</v>
      </c>
      <c r="AA3066" s="13">
        <v>7.2800000000000004E-2</v>
      </c>
      <c r="AB3066" s="21">
        <f t="shared" si="925"/>
        <v>582400</v>
      </c>
      <c r="AC3066" s="130">
        <f t="shared" si="926"/>
        <v>93533.440000000002</v>
      </c>
      <c r="AD3066" s="169">
        <v>0.16059999999999999</v>
      </c>
      <c r="AE3066" s="154">
        <f t="shared" si="927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16"/>
        <v>63006605.696460173</v>
      </c>
      <c r="AJ3066" s="19">
        <f t="shared" si="917"/>
        <v>8897485.660753984</v>
      </c>
      <c r="AK3066" s="20">
        <f t="shared" si="928"/>
        <v>0.141215124388995</v>
      </c>
      <c r="AL3066" s="17"/>
      <c r="AM3066" s="17"/>
      <c r="AN3066" s="17"/>
      <c r="AO3066" s="17"/>
      <c r="AP3066" s="28" t="str">
        <f t="shared" si="929"/>
        <v>20215</v>
      </c>
      <c r="AQ3066" s="28" t="str">
        <f t="shared" si="930"/>
        <v>20215JPY</v>
      </c>
      <c r="AR3066" s="206" t="str">
        <f t="shared" si="931"/>
        <v>YAMAHA_Mounter</v>
      </c>
      <c r="AS3066" s="22">
        <f t="shared" si="932"/>
        <v>0</v>
      </c>
      <c r="AT3066" s="24" t="str">
        <f t="shared" si="933"/>
        <v>0-3 months</v>
      </c>
    </row>
    <row r="3067" spans="1:46" s="12" customFormat="1">
      <c r="A3067" s="33" t="str">
        <f t="shared" si="921"/>
        <v>FY 21/22</v>
      </c>
      <c r="B3067" s="152">
        <v>2021</v>
      </c>
      <c r="C3067" s="152">
        <v>5</v>
      </c>
      <c r="D3067" s="33" t="str">
        <f t="shared" si="922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923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24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9"/>
        <v>8000000</v>
      </c>
      <c r="AA3067" s="13">
        <v>7.2800000000000004E-2</v>
      </c>
      <c r="AB3067" s="21">
        <f t="shared" si="925"/>
        <v>582400</v>
      </c>
      <c r="AC3067" s="130">
        <f t="shared" si="926"/>
        <v>93533.440000000002</v>
      </c>
      <c r="AD3067" s="169">
        <v>0.16059999999999999</v>
      </c>
      <c r="AE3067" s="154">
        <f t="shared" si="927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16"/>
        <v>63006605.696460173</v>
      </c>
      <c r="AJ3067" s="19">
        <f t="shared" si="917"/>
        <v>8897485.660753984</v>
      </c>
      <c r="AK3067" s="20">
        <f t="shared" si="928"/>
        <v>0.141215124388995</v>
      </c>
      <c r="AL3067" s="17"/>
      <c r="AM3067" s="17"/>
      <c r="AN3067" s="17"/>
      <c r="AO3067" s="17"/>
      <c r="AP3067" s="28" t="str">
        <f t="shared" si="929"/>
        <v>20215</v>
      </c>
      <c r="AQ3067" s="28" t="str">
        <f t="shared" si="930"/>
        <v>20215JPY</v>
      </c>
      <c r="AR3067" s="206" t="str">
        <f t="shared" si="931"/>
        <v>YAMAHA_Mounter</v>
      </c>
      <c r="AS3067" s="22">
        <f t="shared" si="932"/>
        <v>0</v>
      </c>
      <c r="AT3067" s="24" t="str">
        <f t="shared" si="933"/>
        <v>0-3 months</v>
      </c>
    </row>
    <row r="3068" spans="1:46" s="12" customFormat="1">
      <c r="A3068" s="33" t="str">
        <f t="shared" si="921"/>
        <v>cancel</v>
      </c>
      <c r="B3068" s="152"/>
      <c r="C3068" s="152" t="s">
        <v>186</v>
      </c>
      <c r="D3068" s="33" t="str">
        <f t="shared" si="922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923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24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9"/>
        <v>10000000</v>
      </c>
      <c r="AA3068" s="13">
        <v>7.2999999999999995E-2</v>
      </c>
      <c r="AB3068" s="21">
        <f t="shared" si="925"/>
        <v>730000</v>
      </c>
      <c r="AC3068" s="130">
        <f t="shared" si="926"/>
        <v>87600</v>
      </c>
      <c r="AD3068" s="169">
        <v>0.12</v>
      </c>
      <c r="AE3068" s="154">
        <f t="shared" si="927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16"/>
        <v>477651199.57437885</v>
      </c>
      <c r="AJ3068" s="19">
        <f t="shared" si="917"/>
        <v>56918800.518691957</v>
      </c>
      <c r="AK3068" s="20">
        <f t="shared" si="928"/>
        <v>0.11916394341605475</v>
      </c>
      <c r="AL3068" s="17"/>
      <c r="AM3068" s="17"/>
      <c r="AN3068" s="17"/>
      <c r="AO3068" s="17"/>
      <c r="AP3068" s="28" t="str">
        <f t="shared" si="929"/>
        <v>CancelCancel</v>
      </c>
      <c r="AQ3068" s="28" t="str">
        <f t="shared" si="930"/>
        <v>CancelCancelJPY</v>
      </c>
      <c r="AR3068" s="206" t="str">
        <f t="shared" si="931"/>
        <v>YAMAHA_Mounter</v>
      </c>
      <c r="AS3068" s="22" t="str">
        <f t="shared" si="932"/>
        <v/>
      </c>
      <c r="AT3068" s="24" t="str">
        <f t="shared" si="933"/>
        <v/>
      </c>
    </row>
    <row r="3069" spans="1:46" s="12" customFormat="1">
      <c r="A3069" s="33" t="str">
        <f t="shared" si="921"/>
        <v>cancel</v>
      </c>
      <c r="B3069" s="152"/>
      <c r="C3069" s="152" t="s">
        <v>186</v>
      </c>
      <c r="D3069" s="33" t="str">
        <f t="shared" si="922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923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24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9"/>
        <v>10000000</v>
      </c>
      <c r="AA3069" s="13">
        <v>7.2999999999999995E-2</v>
      </c>
      <c r="AB3069" s="21">
        <f t="shared" si="925"/>
        <v>730000</v>
      </c>
      <c r="AC3069" s="130">
        <f t="shared" si="926"/>
        <v>87600</v>
      </c>
      <c r="AD3069" s="169">
        <v>0.12</v>
      </c>
      <c r="AE3069" s="154">
        <f t="shared" si="927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16"/>
        <v>477651199.57437885</v>
      </c>
      <c r="AJ3069" s="19">
        <f t="shared" si="917"/>
        <v>56918800.518691957</v>
      </c>
      <c r="AK3069" s="20">
        <f t="shared" si="928"/>
        <v>0.11916394341605475</v>
      </c>
      <c r="AL3069" s="17"/>
      <c r="AM3069" s="17"/>
      <c r="AN3069" s="17"/>
      <c r="AO3069" s="17"/>
      <c r="AP3069" s="28" t="str">
        <f t="shared" si="929"/>
        <v>CancelCancel</v>
      </c>
      <c r="AQ3069" s="28" t="str">
        <f t="shared" si="930"/>
        <v>CancelCancelJPY</v>
      </c>
      <c r="AR3069" s="206" t="str">
        <f t="shared" si="931"/>
        <v>YAMAHA_Mounter</v>
      </c>
      <c r="AS3069" s="22" t="str">
        <f t="shared" si="932"/>
        <v/>
      </c>
      <c r="AT3069" s="24" t="str">
        <f t="shared" si="933"/>
        <v/>
      </c>
    </row>
    <row r="3070" spans="1:46" s="12" customFormat="1">
      <c r="A3070" s="33" t="str">
        <f t="shared" si="921"/>
        <v>cancel</v>
      </c>
      <c r="B3070" s="152"/>
      <c r="C3070" s="152" t="s">
        <v>186</v>
      </c>
      <c r="D3070" s="33" t="str">
        <f t="shared" si="922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923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24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9"/>
        <v>10000000</v>
      </c>
      <c r="AA3070" s="13">
        <v>7.2999999999999995E-2</v>
      </c>
      <c r="AB3070" s="21">
        <f t="shared" si="925"/>
        <v>730000</v>
      </c>
      <c r="AC3070" s="130">
        <f t="shared" si="926"/>
        <v>87600</v>
      </c>
      <c r="AD3070" s="169">
        <v>0.12</v>
      </c>
      <c r="AE3070" s="154">
        <f t="shared" si="927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16"/>
        <v>477651199.57437885</v>
      </c>
      <c r="AJ3070" s="19">
        <f t="shared" si="917"/>
        <v>56918800.518691957</v>
      </c>
      <c r="AK3070" s="20">
        <f t="shared" si="928"/>
        <v>0.11916394341605475</v>
      </c>
      <c r="AL3070" s="17"/>
      <c r="AM3070" s="17"/>
      <c r="AN3070" s="17"/>
      <c r="AO3070" s="17"/>
      <c r="AP3070" s="28" t="str">
        <f t="shared" si="929"/>
        <v>CancelCancel</v>
      </c>
      <c r="AQ3070" s="28" t="str">
        <f t="shared" si="930"/>
        <v>CancelCancelJPY</v>
      </c>
      <c r="AR3070" s="206" t="str">
        <f t="shared" si="931"/>
        <v>YAMAHA_Mounter</v>
      </c>
      <c r="AS3070" s="22" t="str">
        <f t="shared" si="932"/>
        <v/>
      </c>
      <c r="AT3070" s="24" t="str">
        <f t="shared" si="933"/>
        <v/>
      </c>
    </row>
    <row r="3071" spans="1:46" s="12" customFormat="1">
      <c r="A3071" s="33" t="str">
        <f t="shared" si="921"/>
        <v>cancel</v>
      </c>
      <c r="B3071" s="152"/>
      <c r="C3071" s="152" t="s">
        <v>186</v>
      </c>
      <c r="D3071" s="33" t="str">
        <f t="shared" si="922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923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24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9"/>
        <v>12650000</v>
      </c>
      <c r="AA3071" s="13">
        <v>7.3499999999999996E-2</v>
      </c>
      <c r="AB3071" s="21">
        <f t="shared" si="925"/>
        <v>929775</v>
      </c>
      <c r="AC3071" s="130">
        <f t="shared" si="926"/>
        <v>111573</v>
      </c>
      <c r="AD3071" s="169">
        <v>0.12</v>
      </c>
      <c r="AE3071" s="154">
        <f t="shared" si="927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16"/>
        <v>477651199.57437885</v>
      </c>
      <c r="AJ3071" s="19">
        <f t="shared" si="917"/>
        <v>56918800.518691957</v>
      </c>
      <c r="AK3071" s="20">
        <f t="shared" si="928"/>
        <v>0.11916394341605475</v>
      </c>
      <c r="AL3071" s="17"/>
      <c r="AM3071" s="17"/>
      <c r="AN3071" s="17"/>
      <c r="AO3071" s="17"/>
      <c r="AP3071" s="28" t="str">
        <f t="shared" si="929"/>
        <v>CancelCancel</v>
      </c>
      <c r="AQ3071" s="28" t="str">
        <f t="shared" si="930"/>
        <v>CancelCancelJPY</v>
      </c>
      <c r="AR3071" s="206" t="str">
        <f t="shared" si="931"/>
        <v>YAMAHA_Mounter</v>
      </c>
      <c r="AS3071" s="22" t="str">
        <f t="shared" si="932"/>
        <v/>
      </c>
      <c r="AT3071" s="24" t="str">
        <f t="shared" si="933"/>
        <v/>
      </c>
    </row>
    <row r="3072" spans="1:46" s="12" customFormat="1">
      <c r="A3072" s="33" t="str">
        <f t="shared" si="921"/>
        <v>cancel</v>
      </c>
      <c r="B3072" s="152"/>
      <c r="C3072" s="152" t="s">
        <v>186</v>
      </c>
      <c r="D3072" s="33" t="str">
        <f t="shared" si="922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923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24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9"/>
        <v>12650000</v>
      </c>
      <c r="AA3072" s="13">
        <v>7.3499999999999996E-2</v>
      </c>
      <c r="AB3072" s="21">
        <f t="shared" si="925"/>
        <v>929775</v>
      </c>
      <c r="AC3072" s="130">
        <f t="shared" si="926"/>
        <v>111573</v>
      </c>
      <c r="AD3072" s="169">
        <v>0.12</v>
      </c>
      <c r="AE3072" s="154">
        <f t="shared" si="927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16"/>
        <v>477651199.57437885</v>
      </c>
      <c r="AJ3072" s="19">
        <f t="shared" si="917"/>
        <v>56918800.518691957</v>
      </c>
      <c r="AK3072" s="20">
        <f t="shared" si="928"/>
        <v>0.11916394341605475</v>
      </c>
      <c r="AL3072" s="17"/>
      <c r="AM3072" s="17"/>
      <c r="AN3072" s="17"/>
      <c r="AO3072" s="17"/>
      <c r="AP3072" s="28" t="str">
        <f t="shared" si="929"/>
        <v>CancelCancel</v>
      </c>
      <c r="AQ3072" s="28" t="str">
        <f t="shared" si="930"/>
        <v>CancelCancelJPY</v>
      </c>
      <c r="AR3072" s="206" t="str">
        <f t="shared" si="931"/>
        <v>YAMAHA_Mounter</v>
      </c>
      <c r="AS3072" s="22" t="str">
        <f t="shared" si="932"/>
        <v/>
      </c>
      <c r="AT3072" s="24" t="str">
        <f t="shared" si="933"/>
        <v/>
      </c>
    </row>
    <row r="3073" spans="1:46" s="12" customFormat="1">
      <c r="A3073" s="33" t="str">
        <f t="shared" si="921"/>
        <v>cancel</v>
      </c>
      <c r="B3073" s="152"/>
      <c r="C3073" s="152" t="s">
        <v>186</v>
      </c>
      <c r="D3073" s="33" t="str">
        <f t="shared" si="922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923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24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9"/>
        <v>12650000</v>
      </c>
      <c r="AA3073" s="13">
        <v>7.3499999999999996E-2</v>
      </c>
      <c r="AB3073" s="21">
        <f t="shared" si="925"/>
        <v>929775</v>
      </c>
      <c r="AC3073" s="130">
        <f t="shared" si="926"/>
        <v>111573</v>
      </c>
      <c r="AD3073" s="169">
        <v>0.12</v>
      </c>
      <c r="AE3073" s="154">
        <f t="shared" si="927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16"/>
        <v>477651199.57437885</v>
      </c>
      <c r="AJ3073" s="19">
        <f t="shared" si="917"/>
        <v>56918800.518691957</v>
      </c>
      <c r="AK3073" s="20">
        <f t="shared" si="928"/>
        <v>0.11916394341605475</v>
      </c>
      <c r="AL3073" s="17"/>
      <c r="AM3073" s="17"/>
      <c r="AN3073" s="17"/>
      <c r="AO3073" s="17"/>
      <c r="AP3073" s="28" t="str">
        <f t="shared" si="929"/>
        <v>CancelCancel</v>
      </c>
      <c r="AQ3073" s="28" t="str">
        <f t="shared" si="930"/>
        <v>CancelCancelJPY</v>
      </c>
      <c r="AR3073" s="206" t="str">
        <f t="shared" si="931"/>
        <v>YAMAHA_Mounter</v>
      </c>
      <c r="AS3073" s="22" t="str">
        <f t="shared" si="932"/>
        <v/>
      </c>
      <c r="AT3073" s="24" t="str">
        <f t="shared" si="933"/>
        <v/>
      </c>
    </row>
    <row r="3074" spans="1:46" s="12" customFormat="1">
      <c r="A3074" s="33" t="str">
        <f t="shared" si="921"/>
        <v>cancel</v>
      </c>
      <c r="B3074" s="152"/>
      <c r="C3074" s="152" t="s">
        <v>186</v>
      </c>
      <c r="D3074" s="33" t="str">
        <f t="shared" si="922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923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24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9"/>
        <v>12650000</v>
      </c>
      <c r="AA3074" s="13">
        <v>7.3499999999999996E-2</v>
      </c>
      <c r="AB3074" s="21">
        <f t="shared" si="925"/>
        <v>929775</v>
      </c>
      <c r="AC3074" s="130">
        <f t="shared" si="926"/>
        <v>111573</v>
      </c>
      <c r="AD3074" s="169">
        <v>0.12</v>
      </c>
      <c r="AE3074" s="154">
        <f t="shared" si="927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34">IF(P3074="C66 SERVICE","",SUMIFS(AB:AB,F:F,F3074,G:G,G3074,E:E,E3074))</f>
        <v>477651199.57437885</v>
      </c>
      <c r="AJ3074" s="19">
        <f t="shared" ref="AJ3074:AJ3137" si="935">IF(P3074="C66 SERVICE","",SUMIFS(AC:AC,F:F,F3074,G:G,G3074,E:E,E3074))</f>
        <v>56918800.518691957</v>
      </c>
      <c r="AK3074" s="20">
        <f t="shared" si="928"/>
        <v>0.11916394341605475</v>
      </c>
      <c r="AL3074" s="17"/>
      <c r="AM3074" s="17"/>
      <c r="AN3074" s="17"/>
      <c r="AO3074" s="17"/>
      <c r="AP3074" s="28" t="str">
        <f t="shared" si="929"/>
        <v>CancelCancel</v>
      </c>
      <c r="AQ3074" s="28" t="str">
        <f t="shared" si="930"/>
        <v>CancelCancelJPY</v>
      </c>
      <c r="AR3074" s="206" t="str">
        <f t="shared" si="931"/>
        <v>YAMAHA_Mounter</v>
      </c>
      <c r="AS3074" s="22" t="str">
        <f t="shared" si="932"/>
        <v/>
      </c>
      <c r="AT3074" s="24" t="str">
        <f t="shared" si="933"/>
        <v/>
      </c>
    </row>
    <row r="3075" spans="1:46" s="12" customFormat="1">
      <c r="A3075" s="33" t="str">
        <f t="shared" si="921"/>
        <v>cancel</v>
      </c>
      <c r="B3075" s="152"/>
      <c r="C3075" s="152" t="s">
        <v>186</v>
      </c>
      <c r="D3075" s="33" t="str">
        <f t="shared" si="922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923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24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9"/>
        <v>12650000</v>
      </c>
      <c r="AA3075" s="13">
        <v>7.3499999999999996E-2</v>
      </c>
      <c r="AB3075" s="21">
        <f t="shared" si="925"/>
        <v>929775</v>
      </c>
      <c r="AC3075" s="130">
        <f t="shared" si="926"/>
        <v>111573</v>
      </c>
      <c r="AD3075" s="169">
        <v>0.12</v>
      </c>
      <c r="AE3075" s="154">
        <f t="shared" si="927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34"/>
        <v>477651199.57437885</v>
      </c>
      <c r="AJ3075" s="19">
        <f t="shared" si="935"/>
        <v>56918800.518691957</v>
      </c>
      <c r="AK3075" s="20">
        <f t="shared" si="928"/>
        <v>0.11916394341605475</v>
      </c>
      <c r="AL3075" s="17"/>
      <c r="AM3075" s="17"/>
      <c r="AN3075" s="17"/>
      <c r="AO3075" s="17"/>
      <c r="AP3075" s="28" t="str">
        <f t="shared" si="929"/>
        <v>CancelCancel</v>
      </c>
      <c r="AQ3075" s="28" t="str">
        <f t="shared" si="930"/>
        <v>CancelCancelJPY</v>
      </c>
      <c r="AR3075" s="206" t="str">
        <f t="shared" si="931"/>
        <v>YAMAHA_Mounter</v>
      </c>
      <c r="AS3075" s="22" t="str">
        <f t="shared" si="932"/>
        <v/>
      </c>
      <c r="AT3075" s="24" t="str">
        <f t="shared" si="933"/>
        <v/>
      </c>
    </row>
    <row r="3076" spans="1:46" s="12" customFormat="1">
      <c r="A3076" s="33" t="str">
        <f t="shared" si="921"/>
        <v>cancel</v>
      </c>
      <c r="B3076" s="152"/>
      <c r="C3076" s="152" t="s">
        <v>186</v>
      </c>
      <c r="D3076" s="33" t="str">
        <f t="shared" si="922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923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24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9"/>
        <v>12650000</v>
      </c>
      <c r="AA3076" s="13">
        <v>7.3499999999999996E-2</v>
      </c>
      <c r="AB3076" s="21">
        <f t="shared" si="925"/>
        <v>929775</v>
      </c>
      <c r="AC3076" s="130">
        <f t="shared" si="926"/>
        <v>111573</v>
      </c>
      <c r="AD3076" s="169">
        <v>0.12</v>
      </c>
      <c r="AE3076" s="154">
        <f t="shared" si="927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34"/>
        <v>477651199.57437885</v>
      </c>
      <c r="AJ3076" s="19">
        <f t="shared" si="935"/>
        <v>56918800.518691957</v>
      </c>
      <c r="AK3076" s="20">
        <f t="shared" si="928"/>
        <v>0.11916394341605475</v>
      </c>
      <c r="AL3076" s="17"/>
      <c r="AM3076" s="17"/>
      <c r="AN3076" s="17"/>
      <c r="AO3076" s="17"/>
      <c r="AP3076" s="28" t="str">
        <f t="shared" si="929"/>
        <v>CancelCancel</v>
      </c>
      <c r="AQ3076" s="28" t="str">
        <f t="shared" si="930"/>
        <v>CancelCancelJPY</v>
      </c>
      <c r="AR3076" s="206" t="str">
        <f t="shared" si="931"/>
        <v>YAMAHA_Mounter</v>
      </c>
      <c r="AS3076" s="22" t="str">
        <f t="shared" si="932"/>
        <v/>
      </c>
      <c r="AT3076" s="24" t="str">
        <f t="shared" si="933"/>
        <v/>
      </c>
    </row>
    <row r="3077" spans="1:46" s="12" customFormat="1">
      <c r="A3077" s="33" t="str">
        <f t="shared" si="921"/>
        <v>cancel</v>
      </c>
      <c r="B3077" s="152"/>
      <c r="C3077" s="152" t="s">
        <v>186</v>
      </c>
      <c r="D3077" s="33" t="str">
        <f t="shared" si="922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923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24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9"/>
        <v>12650000</v>
      </c>
      <c r="AA3077" s="13">
        <v>7.3499999999999996E-2</v>
      </c>
      <c r="AB3077" s="21">
        <f t="shared" si="925"/>
        <v>929775</v>
      </c>
      <c r="AC3077" s="130">
        <f t="shared" si="926"/>
        <v>111573</v>
      </c>
      <c r="AD3077" s="169">
        <v>0.12</v>
      </c>
      <c r="AE3077" s="154">
        <f t="shared" si="927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34"/>
        <v>477651199.57437885</v>
      </c>
      <c r="AJ3077" s="19">
        <f t="shared" si="935"/>
        <v>56918800.518691957</v>
      </c>
      <c r="AK3077" s="20">
        <f t="shared" si="928"/>
        <v>0.11916394341605475</v>
      </c>
      <c r="AL3077" s="17"/>
      <c r="AM3077" s="17"/>
      <c r="AN3077" s="17"/>
      <c r="AO3077" s="17"/>
      <c r="AP3077" s="28" t="str">
        <f t="shared" si="929"/>
        <v>CancelCancel</v>
      </c>
      <c r="AQ3077" s="28" t="str">
        <f t="shared" si="930"/>
        <v>CancelCancelJPY</v>
      </c>
      <c r="AR3077" s="206" t="str">
        <f t="shared" si="931"/>
        <v>YAMAHA_Mounter</v>
      </c>
      <c r="AS3077" s="22" t="str">
        <f t="shared" si="932"/>
        <v/>
      </c>
      <c r="AT3077" s="24" t="str">
        <f t="shared" si="933"/>
        <v/>
      </c>
    </row>
    <row r="3078" spans="1:46" s="12" customFormat="1">
      <c r="A3078" s="33" t="str">
        <f t="shared" si="921"/>
        <v>cancel</v>
      </c>
      <c r="B3078" s="152"/>
      <c r="C3078" s="152" t="s">
        <v>186</v>
      </c>
      <c r="D3078" s="33" t="str">
        <f t="shared" si="922"/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si="923"/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24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9"/>
        <v>12650000</v>
      </c>
      <c r="AA3078" s="13">
        <v>7.3499999999999996E-2</v>
      </c>
      <c r="AB3078" s="21">
        <f t="shared" si="925"/>
        <v>929775</v>
      </c>
      <c r="AC3078" s="130">
        <f t="shared" si="926"/>
        <v>111573</v>
      </c>
      <c r="AD3078" s="169">
        <v>0.12</v>
      </c>
      <c r="AE3078" s="154">
        <f t="shared" si="927"/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34"/>
        <v>477651199.57437885</v>
      </c>
      <c r="AJ3078" s="19">
        <f t="shared" si="935"/>
        <v>56918800.518691957</v>
      </c>
      <c r="AK3078" s="20">
        <f t="shared" si="928"/>
        <v>0.11916394341605475</v>
      </c>
      <c r="AL3078" s="17"/>
      <c r="AM3078" s="17"/>
      <c r="AN3078" s="17"/>
      <c r="AO3078" s="17"/>
      <c r="AP3078" s="28" t="str">
        <f t="shared" si="929"/>
        <v>CancelCancel</v>
      </c>
      <c r="AQ3078" s="28" t="str">
        <f t="shared" si="930"/>
        <v>CancelCancelJPY</v>
      </c>
      <c r="AR3078" s="206" t="str">
        <f t="shared" si="931"/>
        <v>YAMAHA_Mounter</v>
      </c>
      <c r="AS3078" s="22" t="str">
        <f t="shared" si="932"/>
        <v/>
      </c>
      <c r="AT3078" s="24" t="str">
        <f t="shared" si="933"/>
        <v/>
      </c>
    </row>
    <row r="3079" spans="1:46" s="12" customFormat="1">
      <c r="A3079" s="33" t="str">
        <f t="shared" si="921"/>
        <v>cancel</v>
      </c>
      <c r="B3079" s="152"/>
      <c r="C3079" s="152" t="s">
        <v>186</v>
      </c>
      <c r="D3079" s="33" t="str">
        <f t="shared" si="922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23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24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9"/>
        <v>12650000</v>
      </c>
      <c r="AA3079" s="13">
        <v>7.3499999999999996E-2</v>
      </c>
      <c r="AB3079" s="21">
        <f t="shared" si="925"/>
        <v>929775</v>
      </c>
      <c r="AC3079" s="130">
        <f t="shared" si="926"/>
        <v>111573</v>
      </c>
      <c r="AD3079" s="169">
        <v>0.12</v>
      </c>
      <c r="AE3079" s="154">
        <f t="shared" si="927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34"/>
        <v>477651199.57437885</v>
      </c>
      <c r="AJ3079" s="19">
        <f t="shared" si="935"/>
        <v>56918800.518691957</v>
      </c>
      <c r="AK3079" s="20">
        <f t="shared" si="928"/>
        <v>0.11916394341605475</v>
      </c>
      <c r="AL3079" s="17"/>
      <c r="AM3079" s="17"/>
      <c r="AN3079" s="17"/>
      <c r="AO3079" s="17"/>
      <c r="AP3079" s="28" t="str">
        <f t="shared" si="929"/>
        <v>CancelCancel</v>
      </c>
      <c r="AQ3079" s="28" t="str">
        <f t="shared" si="930"/>
        <v>CancelCancelJPY</v>
      </c>
      <c r="AR3079" s="206" t="str">
        <f t="shared" si="931"/>
        <v>YAMAHA_Mounter</v>
      </c>
      <c r="AS3079" s="22" t="str">
        <f t="shared" si="932"/>
        <v/>
      </c>
      <c r="AT3079" s="24" t="str">
        <f t="shared" si="933"/>
        <v/>
      </c>
    </row>
    <row r="3080" spans="1:46" s="12" customFormat="1">
      <c r="A3080" s="33" t="str">
        <f t="shared" si="921"/>
        <v>cancel</v>
      </c>
      <c r="B3080" s="152"/>
      <c r="C3080" s="152" t="s">
        <v>186</v>
      </c>
      <c r="D3080" s="33" t="str">
        <f t="shared" si="922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23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24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9"/>
        <v>12650000</v>
      </c>
      <c r="AA3080" s="13">
        <v>7.3499999999999996E-2</v>
      </c>
      <c r="AB3080" s="21">
        <f t="shared" si="925"/>
        <v>929775</v>
      </c>
      <c r="AC3080" s="130">
        <f t="shared" si="926"/>
        <v>111573</v>
      </c>
      <c r="AD3080" s="169">
        <v>0.12</v>
      </c>
      <c r="AE3080" s="154">
        <f t="shared" si="927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34"/>
        <v>477651199.57437885</v>
      </c>
      <c r="AJ3080" s="19">
        <f t="shared" si="935"/>
        <v>56918800.518691957</v>
      </c>
      <c r="AK3080" s="20">
        <f t="shared" si="928"/>
        <v>0.11916394341605475</v>
      </c>
      <c r="AL3080" s="17"/>
      <c r="AM3080" s="17"/>
      <c r="AN3080" s="17"/>
      <c r="AO3080" s="17"/>
      <c r="AP3080" s="28" t="str">
        <f t="shared" si="929"/>
        <v>CancelCancel</v>
      </c>
      <c r="AQ3080" s="28" t="str">
        <f t="shared" si="930"/>
        <v>CancelCancelJPY</v>
      </c>
      <c r="AR3080" s="206" t="str">
        <f t="shared" si="931"/>
        <v>YAMAHA_Mounter</v>
      </c>
      <c r="AS3080" s="22" t="str">
        <f t="shared" si="932"/>
        <v/>
      </c>
      <c r="AT3080" s="24" t="str">
        <f t="shared" si="933"/>
        <v/>
      </c>
    </row>
    <row r="3081" spans="1:46" s="12" customFormat="1">
      <c r="A3081" s="33" t="str">
        <f t="shared" si="921"/>
        <v>cancel</v>
      </c>
      <c r="B3081" s="152"/>
      <c r="C3081" s="152" t="s">
        <v>186</v>
      </c>
      <c r="D3081" s="33" t="str">
        <f t="shared" si="922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23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24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9"/>
        <v>12650000</v>
      </c>
      <c r="AA3081" s="13">
        <v>7.3499999999999996E-2</v>
      </c>
      <c r="AB3081" s="21">
        <f t="shared" si="925"/>
        <v>929775</v>
      </c>
      <c r="AC3081" s="130">
        <f t="shared" si="926"/>
        <v>111573</v>
      </c>
      <c r="AD3081" s="169">
        <v>0.12</v>
      </c>
      <c r="AE3081" s="154">
        <f t="shared" si="927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34"/>
        <v>477651199.57437885</v>
      </c>
      <c r="AJ3081" s="19">
        <f t="shared" si="935"/>
        <v>56918800.518691957</v>
      </c>
      <c r="AK3081" s="20">
        <f t="shared" si="928"/>
        <v>0.11916394341605475</v>
      </c>
      <c r="AL3081" s="17"/>
      <c r="AM3081" s="17"/>
      <c r="AN3081" s="17"/>
      <c r="AO3081" s="17"/>
      <c r="AP3081" s="28" t="str">
        <f t="shared" si="929"/>
        <v>CancelCancel</v>
      </c>
      <c r="AQ3081" s="28" t="str">
        <f t="shared" si="930"/>
        <v>CancelCancelJPY</v>
      </c>
      <c r="AR3081" s="206" t="str">
        <f t="shared" si="931"/>
        <v>YAMAHA_Mounter</v>
      </c>
      <c r="AS3081" s="22" t="str">
        <f t="shared" si="932"/>
        <v/>
      </c>
      <c r="AT3081" s="24" t="str">
        <f t="shared" si="933"/>
        <v/>
      </c>
    </row>
    <row r="3082" spans="1:46" s="12" customFormat="1">
      <c r="A3082" s="33" t="str">
        <f t="shared" si="921"/>
        <v>cancel</v>
      </c>
      <c r="B3082" s="152"/>
      <c r="C3082" s="152" t="s">
        <v>186</v>
      </c>
      <c r="D3082" s="33" t="str">
        <f t="shared" si="922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23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24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si="919"/>
        <v>12650000</v>
      </c>
      <c r="AA3082" s="13">
        <v>7.3499999999999996E-2</v>
      </c>
      <c r="AB3082" s="21">
        <f t="shared" si="925"/>
        <v>929775</v>
      </c>
      <c r="AC3082" s="130">
        <f t="shared" si="926"/>
        <v>111573</v>
      </c>
      <c r="AD3082" s="169">
        <v>0.12</v>
      </c>
      <c r="AE3082" s="154">
        <f t="shared" si="927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34"/>
        <v>477651199.57437885</v>
      </c>
      <c r="AJ3082" s="19">
        <f t="shared" si="935"/>
        <v>56918800.518691957</v>
      </c>
      <c r="AK3082" s="20">
        <f t="shared" si="928"/>
        <v>0.11916394341605475</v>
      </c>
      <c r="AL3082" s="17"/>
      <c r="AM3082" s="17"/>
      <c r="AN3082" s="17"/>
      <c r="AO3082" s="17"/>
      <c r="AP3082" s="28" t="str">
        <f t="shared" si="929"/>
        <v>CancelCancel</v>
      </c>
      <c r="AQ3082" s="28" t="str">
        <f t="shared" si="930"/>
        <v>CancelCancelJPY</v>
      </c>
      <c r="AR3082" s="206" t="str">
        <f t="shared" si="931"/>
        <v>YAMAHA_Mounter</v>
      </c>
      <c r="AS3082" s="22" t="str">
        <f t="shared" si="932"/>
        <v/>
      </c>
      <c r="AT3082" s="24" t="str">
        <f t="shared" si="933"/>
        <v/>
      </c>
    </row>
    <row r="3083" spans="1:46" s="12" customFormat="1">
      <c r="A3083" s="33" t="str">
        <f t="shared" si="921"/>
        <v>FY 22/23</v>
      </c>
      <c r="B3083" s="152">
        <v>2023</v>
      </c>
      <c r="C3083" s="152">
        <v>1</v>
      </c>
      <c r="D3083" s="33" t="str">
        <f t="shared" si="922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23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24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19"/>
        <v>1225000</v>
      </c>
      <c r="AA3083" s="13">
        <v>1.1299999999999999</v>
      </c>
      <c r="AB3083" s="21">
        <f t="shared" si="925"/>
        <v>1225000</v>
      </c>
      <c r="AC3083" s="130">
        <f t="shared" si="926"/>
        <v>124460</v>
      </c>
      <c r="AD3083" s="169">
        <v>0.1016</v>
      </c>
      <c r="AE3083" s="154">
        <f t="shared" si="927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34"/>
        <v>33543315.897345133</v>
      </c>
      <c r="AJ3083" s="19">
        <f t="shared" si="935"/>
        <v>4706169.3252984071</v>
      </c>
      <c r="AK3083" s="20">
        <f t="shared" si="928"/>
        <v>0.14030125523967318</v>
      </c>
      <c r="AL3083" s="17"/>
      <c r="AM3083" s="17"/>
      <c r="AN3083" s="17"/>
      <c r="AO3083" s="17"/>
      <c r="AP3083" s="28" t="str">
        <f t="shared" si="929"/>
        <v>20233</v>
      </c>
      <c r="AQ3083" s="28" t="str">
        <f t="shared" si="930"/>
        <v>20233RMB</v>
      </c>
      <c r="AR3083" s="206" t="str">
        <f t="shared" si="931"/>
        <v>YAMAHA_Mounter</v>
      </c>
      <c r="AS3083" s="22">
        <f t="shared" si="932"/>
        <v>2</v>
      </c>
      <c r="AT3083" s="24" t="str">
        <f t="shared" si="933"/>
        <v>0-3 months</v>
      </c>
    </row>
    <row r="3084" spans="1:46" s="12" customFormat="1">
      <c r="A3084" s="33" t="str">
        <f t="shared" si="921"/>
        <v>FY 22/23</v>
      </c>
      <c r="B3084" s="152">
        <v>2023</v>
      </c>
      <c r="C3084" s="152">
        <v>1</v>
      </c>
      <c r="D3084" s="33" t="str">
        <f t="shared" si="922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23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24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19"/>
        <v>1225000</v>
      </c>
      <c r="AA3084" s="13">
        <v>1.1299999999999999</v>
      </c>
      <c r="AB3084" s="21">
        <f t="shared" si="925"/>
        <v>1225000</v>
      </c>
      <c r="AC3084" s="130">
        <f t="shared" si="926"/>
        <v>124460</v>
      </c>
      <c r="AD3084" s="169">
        <v>0.1016</v>
      </c>
      <c r="AE3084" s="154">
        <f t="shared" si="927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34"/>
        <v>33543315.897345133</v>
      </c>
      <c r="AJ3084" s="19">
        <f t="shared" si="935"/>
        <v>4706169.3252984071</v>
      </c>
      <c r="AK3084" s="20">
        <f t="shared" si="928"/>
        <v>0.14030125523967318</v>
      </c>
      <c r="AL3084" s="17"/>
      <c r="AM3084" s="17"/>
      <c r="AN3084" s="17"/>
      <c r="AO3084" s="17"/>
      <c r="AP3084" s="28" t="str">
        <f t="shared" si="929"/>
        <v>20233</v>
      </c>
      <c r="AQ3084" s="28" t="str">
        <f t="shared" si="930"/>
        <v>20233RMB</v>
      </c>
      <c r="AR3084" s="206" t="str">
        <f t="shared" si="931"/>
        <v>YAMAHA_Mounter</v>
      </c>
      <c r="AS3084" s="22">
        <f t="shared" si="932"/>
        <v>2</v>
      </c>
      <c r="AT3084" s="24" t="str">
        <f t="shared" si="933"/>
        <v>0-3 months</v>
      </c>
    </row>
    <row r="3085" spans="1:46" s="12" customFormat="1">
      <c r="A3085" s="33" t="str">
        <f t="shared" si="921"/>
        <v>FY 22/23</v>
      </c>
      <c r="B3085" s="152">
        <v>2023</v>
      </c>
      <c r="C3085" s="152">
        <v>1</v>
      </c>
      <c r="D3085" s="33" t="str">
        <f t="shared" si="922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23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24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19"/>
        <v>1225000</v>
      </c>
      <c r="AA3085" s="13">
        <v>1.1299999999999999</v>
      </c>
      <c r="AB3085" s="21">
        <f t="shared" si="925"/>
        <v>1225000</v>
      </c>
      <c r="AC3085" s="130">
        <f t="shared" si="926"/>
        <v>124460</v>
      </c>
      <c r="AD3085" s="169">
        <v>0.1016</v>
      </c>
      <c r="AE3085" s="154">
        <f t="shared" si="927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34"/>
        <v>33543315.897345133</v>
      </c>
      <c r="AJ3085" s="19">
        <f t="shared" si="935"/>
        <v>4706169.3252984071</v>
      </c>
      <c r="AK3085" s="20">
        <f t="shared" si="928"/>
        <v>0.14030125523967318</v>
      </c>
      <c r="AL3085" s="17"/>
      <c r="AM3085" s="17"/>
      <c r="AN3085" s="17"/>
      <c r="AO3085" s="17"/>
      <c r="AP3085" s="28" t="str">
        <f t="shared" si="929"/>
        <v>20233</v>
      </c>
      <c r="AQ3085" s="28" t="str">
        <f t="shared" si="930"/>
        <v>20233RMB</v>
      </c>
      <c r="AR3085" s="206" t="str">
        <f t="shared" si="931"/>
        <v>YAMAHA_Mounter</v>
      </c>
      <c r="AS3085" s="22">
        <f t="shared" si="932"/>
        <v>2</v>
      </c>
      <c r="AT3085" s="24" t="str">
        <f t="shared" si="933"/>
        <v>0-3 months</v>
      </c>
    </row>
    <row r="3086" spans="1:46" s="12" customFormat="1">
      <c r="A3086" s="33" t="str">
        <f t="shared" si="921"/>
        <v>FY 22/23</v>
      </c>
      <c r="B3086" s="152">
        <v>2023</v>
      </c>
      <c r="C3086" s="152">
        <v>1</v>
      </c>
      <c r="D3086" s="33" t="str">
        <f t="shared" si="922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23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24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19"/>
        <v>1225000</v>
      </c>
      <c r="AA3086" s="13">
        <v>1.1399999999999999</v>
      </c>
      <c r="AB3086" s="21">
        <f t="shared" si="925"/>
        <v>1235840.7079646017</v>
      </c>
      <c r="AC3086" s="130">
        <f t="shared" si="926"/>
        <v>125561.41592920353</v>
      </c>
      <c r="AD3086" s="169">
        <v>0.1016</v>
      </c>
      <c r="AE3086" s="154">
        <f t="shared" si="927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34"/>
        <v>30573205.452778768</v>
      </c>
      <c r="AJ3086" s="19">
        <f t="shared" si="935"/>
        <v>3790930.1683151261</v>
      </c>
      <c r="AK3086" s="20">
        <f t="shared" si="928"/>
        <v>0.12399518179964254</v>
      </c>
      <c r="AL3086" s="17"/>
      <c r="AM3086" s="17"/>
      <c r="AN3086" s="17"/>
      <c r="AO3086" s="17"/>
      <c r="AP3086" s="28" t="str">
        <f t="shared" si="929"/>
        <v>20234</v>
      </c>
      <c r="AQ3086" s="28" t="str">
        <f t="shared" si="930"/>
        <v>20234RMB</v>
      </c>
      <c r="AR3086" s="206" t="str">
        <f t="shared" si="931"/>
        <v>YAMAHA_Mounter</v>
      </c>
      <c r="AS3086" s="22">
        <f t="shared" si="932"/>
        <v>3</v>
      </c>
      <c r="AT3086" s="24" t="str">
        <f t="shared" si="933"/>
        <v>0-3 months</v>
      </c>
    </row>
    <row r="3087" spans="1:46" s="12" customFormat="1">
      <c r="A3087" s="33" t="str">
        <f t="shared" si="921"/>
        <v>FY 24/25</v>
      </c>
      <c r="B3087" s="23">
        <v>2024</v>
      </c>
      <c r="C3087" s="23">
        <v>6</v>
      </c>
      <c r="D3087" s="33" t="str">
        <f t="shared" si="922"/>
        <v>Q1</v>
      </c>
      <c r="E3087" s="33" t="str">
        <f t="shared" ref="E3087:E3092" si="936">IF(G3087="Cancel","Cancel",IF(G3087="TBA","TBA",IFERROR(IF(I3087="Q4","FY "&amp;RIGHT(F3087,2)-1&amp;"/"&amp;RIGHT(F3087,2),"FY "&amp;RIGHT(F3087,2)&amp;"/"&amp;RIGHT(F3087,2)+1),"")))</f>
        <v>FY 24/25</v>
      </c>
      <c r="F3087" s="23">
        <v>2024</v>
      </c>
      <c r="G3087" s="152">
        <v>9</v>
      </c>
      <c r="H3087" s="29"/>
      <c r="I3087" s="202" t="str">
        <f t="shared" si="923"/>
        <v>Q2</v>
      </c>
      <c r="J3087" s="188" t="s">
        <v>3477</v>
      </c>
      <c r="K3087" s="29" t="s">
        <v>1606</v>
      </c>
      <c r="L3087" s="17" t="s">
        <v>68</v>
      </c>
      <c r="M3087" s="13" t="s">
        <v>61</v>
      </c>
      <c r="N3087" s="13">
        <v>1</v>
      </c>
      <c r="O3087" s="22"/>
      <c r="P3087" s="33" t="str">
        <f t="shared" si="924"/>
        <v>MAIN UNIT</v>
      </c>
      <c r="Q3087" s="22" t="s">
        <v>62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127</v>
      </c>
      <c r="W3087" s="22" t="s">
        <v>110</v>
      </c>
      <c r="X3087" s="104">
        <v>7415000</v>
      </c>
      <c r="Y3087" s="195" t="str">
        <f t="shared" ref="Y3087:Y3092" si="937">IF(W3087="","",IF(W3087="RMB","1.13", "1"))</f>
        <v>1</v>
      </c>
      <c r="Z3087" s="196">
        <f t="shared" si="919"/>
        <v>7415000</v>
      </c>
      <c r="AA3087" s="22">
        <v>5.5100000000000003E-2</v>
      </c>
      <c r="AB3087" s="197">
        <f t="shared" si="925"/>
        <v>408566.5</v>
      </c>
      <c r="AC3087" s="198">
        <f t="shared" si="926"/>
        <v>24963.41315</v>
      </c>
      <c r="AD3087" s="170">
        <v>6.1100000000000002E-2</v>
      </c>
      <c r="AE3087" s="199">
        <f t="shared" si="927"/>
        <v>0</v>
      </c>
      <c r="AF3087" s="199" t="str">
        <f>IF(AND(COUNTIFS($J$18:J3087,J3087)=1,AE3087=1),1,"")</f>
        <v/>
      </c>
      <c r="AG3087" s="199" t="str">
        <f>IF(C3087="","",IF(AND(COUNTIFS($J$18:J3087,J3087)=1,C3087&lt;&gt;""),1,""))</f>
        <v/>
      </c>
      <c r="AH3087" s="199" t="str">
        <f>IF(G3087="","",IF(AND(COUNTIFS($J$18:J3087,J3087)=1,G3087&lt;&gt;""),1,""))</f>
        <v/>
      </c>
      <c r="AI3087" s="200">
        <f t="shared" si="934"/>
        <v>35931087.732566379</v>
      </c>
      <c r="AJ3087" s="200">
        <f t="shared" si="935"/>
        <v>4346699.6584161064</v>
      </c>
      <c r="AK3087" s="201">
        <f t="shared" si="928"/>
        <v>0.12097322771769156</v>
      </c>
      <c r="AL3087" s="24"/>
      <c r="AM3087" s="24"/>
      <c r="AN3087" s="24"/>
      <c r="AO3087" s="24"/>
      <c r="AP3087" s="105" t="str">
        <f t="shared" si="929"/>
        <v>20249</v>
      </c>
      <c r="AQ3087" s="28" t="str">
        <f t="shared" si="930"/>
        <v>20249JPY</v>
      </c>
      <c r="AR3087" s="206" t="str">
        <f t="shared" si="931"/>
        <v>YAMAHA_Mounter</v>
      </c>
      <c r="AS3087" s="22">
        <f t="shared" si="932"/>
        <v>3</v>
      </c>
      <c r="AT3087" s="24" t="str">
        <f t="shared" si="933"/>
        <v>0-3 months</v>
      </c>
    </row>
    <row r="3088" spans="1:46" s="12" customFormat="1">
      <c r="A3088" s="33" t="str">
        <f t="shared" si="921"/>
        <v>FY 24/25</v>
      </c>
      <c r="B3088" s="23">
        <v>2024</v>
      </c>
      <c r="C3088" s="23">
        <v>6</v>
      </c>
      <c r="D3088" s="33" t="str">
        <f t="shared" si="922"/>
        <v>Q1</v>
      </c>
      <c r="E3088" s="33" t="str">
        <f t="shared" si="936"/>
        <v>FY 24/25</v>
      </c>
      <c r="F3088" s="23">
        <v>2024</v>
      </c>
      <c r="G3088" s="152">
        <v>9</v>
      </c>
      <c r="H3088" s="29"/>
      <c r="I3088" s="202" t="str">
        <f t="shared" si="923"/>
        <v>Q2</v>
      </c>
      <c r="J3088" s="188" t="s">
        <v>3477</v>
      </c>
      <c r="K3088" s="29" t="s">
        <v>1606</v>
      </c>
      <c r="L3088" s="17" t="s">
        <v>68</v>
      </c>
      <c r="M3088" s="13" t="s">
        <v>61</v>
      </c>
      <c r="N3088" s="13">
        <v>1</v>
      </c>
      <c r="O3088" s="22"/>
      <c r="P3088" s="33" t="str">
        <f t="shared" si="924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79</v>
      </c>
      <c r="V3088" s="22" t="s">
        <v>127</v>
      </c>
      <c r="W3088" s="22" t="s">
        <v>110</v>
      </c>
      <c r="X3088" s="104">
        <v>7415000</v>
      </c>
      <c r="Y3088" s="195" t="str">
        <f t="shared" si="937"/>
        <v>1</v>
      </c>
      <c r="Z3088" s="196">
        <f t="shared" si="919"/>
        <v>7415000</v>
      </c>
      <c r="AA3088" s="22">
        <v>5.5100000000000003E-2</v>
      </c>
      <c r="AB3088" s="197">
        <f t="shared" si="925"/>
        <v>408566.5</v>
      </c>
      <c r="AC3088" s="198">
        <f t="shared" si="926"/>
        <v>24963.41315</v>
      </c>
      <c r="AD3088" s="170">
        <v>6.1100000000000002E-2</v>
      </c>
      <c r="AE3088" s="199">
        <f t="shared" si="927"/>
        <v>0</v>
      </c>
      <c r="AF3088" s="199" t="str">
        <f>IF(AND(COUNTIFS($J$18:J3088,J3088)=1,AE3088=1),1,"")</f>
        <v/>
      </c>
      <c r="AG3088" s="199" t="str">
        <f>IF(C3088="","",IF(AND(COUNTIFS($J$18:J3088,J3088)=1,C3088&lt;&gt;""),1,""))</f>
        <v/>
      </c>
      <c r="AH3088" s="199" t="str">
        <f>IF(G3088="","",IF(AND(COUNTIFS($J$18:J3088,J3088)=1,G3088&lt;&gt;""),1,""))</f>
        <v/>
      </c>
      <c r="AI3088" s="200">
        <f t="shared" si="934"/>
        <v>35931087.732566379</v>
      </c>
      <c r="AJ3088" s="200">
        <f t="shared" si="935"/>
        <v>4346699.6584161064</v>
      </c>
      <c r="AK3088" s="201">
        <f t="shared" si="928"/>
        <v>0.12097322771769156</v>
      </c>
      <c r="AL3088" s="24"/>
      <c r="AM3088" s="24"/>
      <c r="AN3088" s="24"/>
      <c r="AO3088" s="24"/>
      <c r="AP3088" s="105" t="str">
        <f t="shared" si="929"/>
        <v>20249</v>
      </c>
      <c r="AQ3088" s="28" t="str">
        <f t="shared" si="930"/>
        <v>20249JPY</v>
      </c>
      <c r="AR3088" s="206" t="str">
        <f t="shared" si="931"/>
        <v>YAMAHA_Mounter</v>
      </c>
      <c r="AS3088" s="22">
        <f t="shared" si="932"/>
        <v>3</v>
      </c>
      <c r="AT3088" s="24" t="str">
        <f t="shared" si="933"/>
        <v>0-3 months</v>
      </c>
    </row>
    <row r="3089" spans="1:46" s="12" customFormat="1">
      <c r="A3089" s="33" t="str">
        <f t="shared" si="921"/>
        <v>FY 24/25</v>
      </c>
      <c r="B3089" s="23">
        <v>2024</v>
      </c>
      <c r="C3089" s="23">
        <v>6</v>
      </c>
      <c r="D3089" s="33" t="str">
        <f t="shared" si="922"/>
        <v>Q1</v>
      </c>
      <c r="E3089" s="33" t="str">
        <f t="shared" si="936"/>
        <v>FY 24/25</v>
      </c>
      <c r="F3089" s="23">
        <v>2024</v>
      </c>
      <c r="G3089" s="152">
        <v>9</v>
      </c>
      <c r="H3089" s="29"/>
      <c r="I3089" s="202" t="str">
        <f t="shared" si="923"/>
        <v>Q2</v>
      </c>
      <c r="J3089" s="188" t="s">
        <v>3477</v>
      </c>
      <c r="K3089" s="29" t="s">
        <v>1606</v>
      </c>
      <c r="L3089" s="17" t="s">
        <v>93</v>
      </c>
      <c r="M3089" s="13" t="s">
        <v>61</v>
      </c>
      <c r="N3089" s="13">
        <v>1</v>
      </c>
      <c r="O3089" s="22"/>
      <c r="P3089" s="33" t="str">
        <f t="shared" si="924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127</v>
      </c>
      <c r="W3089" s="22" t="s">
        <v>110</v>
      </c>
      <c r="X3089" s="104">
        <v>12100000</v>
      </c>
      <c r="Y3089" s="195" t="str">
        <f t="shared" si="937"/>
        <v>1</v>
      </c>
      <c r="Z3089" s="196">
        <f t="shared" si="919"/>
        <v>12100000</v>
      </c>
      <c r="AA3089" s="22">
        <v>5.5100000000000003E-2</v>
      </c>
      <c r="AB3089" s="197">
        <f t="shared" si="925"/>
        <v>666710</v>
      </c>
      <c r="AC3089" s="198">
        <f t="shared" si="926"/>
        <v>40735.981</v>
      </c>
      <c r="AD3089" s="170">
        <v>6.1100000000000002E-2</v>
      </c>
      <c r="AE3089" s="199">
        <f t="shared" si="927"/>
        <v>0</v>
      </c>
      <c r="AF3089" s="199" t="str">
        <f>IF(AND(COUNTIFS($J$18:J3089,J3089)=1,AE3089=1),1,"")</f>
        <v/>
      </c>
      <c r="AG3089" s="199" t="str">
        <f>IF(C3089="","",IF(AND(COUNTIFS($J$18:J3089,J3089)=1,C3089&lt;&gt;""),1,""))</f>
        <v/>
      </c>
      <c r="AH3089" s="199" t="str">
        <f>IF(G3089="","",IF(AND(COUNTIFS($J$18:J3089,J3089)=1,G3089&lt;&gt;""),1,""))</f>
        <v/>
      </c>
      <c r="AI3089" s="200">
        <f t="shared" si="934"/>
        <v>35931087.732566379</v>
      </c>
      <c r="AJ3089" s="200">
        <f t="shared" si="935"/>
        <v>4346699.6584161064</v>
      </c>
      <c r="AK3089" s="201">
        <f t="shared" si="928"/>
        <v>0.12097322771769156</v>
      </c>
      <c r="AL3089" s="24"/>
      <c r="AM3089" s="24"/>
      <c r="AN3089" s="24"/>
      <c r="AO3089" s="24"/>
      <c r="AP3089" s="105" t="str">
        <f t="shared" si="929"/>
        <v>20249</v>
      </c>
      <c r="AQ3089" s="28" t="str">
        <f t="shared" si="930"/>
        <v>20249JPY</v>
      </c>
      <c r="AR3089" s="206" t="str">
        <f t="shared" si="931"/>
        <v>YAMAHA_Mounter</v>
      </c>
      <c r="AS3089" s="22">
        <f t="shared" si="932"/>
        <v>3</v>
      </c>
      <c r="AT3089" s="24" t="str">
        <f t="shared" si="933"/>
        <v>0-3 months</v>
      </c>
    </row>
    <row r="3090" spans="1:46" s="12" customFormat="1">
      <c r="A3090" s="33" t="str">
        <f t="shared" si="921"/>
        <v>FY 24/25</v>
      </c>
      <c r="B3090" s="23">
        <v>2024</v>
      </c>
      <c r="C3090" s="23">
        <v>6</v>
      </c>
      <c r="D3090" s="33" t="str">
        <f t="shared" si="922"/>
        <v>Q1</v>
      </c>
      <c r="E3090" s="33" t="str">
        <f t="shared" si="936"/>
        <v>FY 24/25</v>
      </c>
      <c r="F3090" s="23">
        <v>2024</v>
      </c>
      <c r="G3090" s="152">
        <v>9</v>
      </c>
      <c r="H3090" s="29"/>
      <c r="I3090" s="202" t="str">
        <f t="shared" si="923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24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37"/>
        <v>1</v>
      </c>
      <c r="Z3090" s="196">
        <f t="shared" si="919"/>
        <v>12100000</v>
      </c>
      <c r="AA3090" s="22">
        <v>5.5100000000000003E-2</v>
      </c>
      <c r="AB3090" s="197">
        <f t="shared" si="925"/>
        <v>666710</v>
      </c>
      <c r="AC3090" s="198">
        <f t="shared" si="926"/>
        <v>40735.981</v>
      </c>
      <c r="AD3090" s="170">
        <v>6.1100000000000002E-2</v>
      </c>
      <c r="AE3090" s="199">
        <f t="shared" si="927"/>
        <v>0</v>
      </c>
      <c r="AF3090" s="199" t="str">
        <f>IF(AND(COUNTIFS($J$18:J3090,J3090)=1,AE3090=1),1,"")</f>
        <v/>
      </c>
      <c r="AG3090" s="199" t="str">
        <f>IF(C3090="","",IF(AND(COUNTIFS($J$18:J3090,J3090)=1,C3090&lt;&gt;""),1,""))</f>
        <v/>
      </c>
      <c r="AH3090" s="199" t="str">
        <f>IF(G3090="","",IF(AND(COUNTIFS($J$18:J3090,J3090)=1,G3090&lt;&gt;""),1,""))</f>
        <v/>
      </c>
      <c r="AI3090" s="200">
        <f t="shared" si="934"/>
        <v>35931087.732566379</v>
      </c>
      <c r="AJ3090" s="200">
        <f t="shared" si="935"/>
        <v>4346699.6584161064</v>
      </c>
      <c r="AK3090" s="201">
        <f t="shared" si="928"/>
        <v>0.12097322771769156</v>
      </c>
      <c r="AL3090" s="24"/>
      <c r="AM3090" s="24"/>
      <c r="AN3090" s="24"/>
      <c r="AO3090" s="24"/>
      <c r="AP3090" s="105" t="str">
        <f t="shared" si="929"/>
        <v>20249</v>
      </c>
      <c r="AQ3090" s="28" t="str">
        <f t="shared" si="930"/>
        <v>20249JPY</v>
      </c>
      <c r="AR3090" s="206" t="str">
        <f t="shared" si="931"/>
        <v>YAMAHA_Mounter</v>
      </c>
      <c r="AS3090" s="22">
        <f t="shared" si="932"/>
        <v>3</v>
      </c>
      <c r="AT3090" s="24" t="str">
        <f t="shared" si="933"/>
        <v>0-3 months</v>
      </c>
    </row>
    <row r="3091" spans="1:46" s="12" customFormat="1">
      <c r="A3091" s="33" t="str">
        <f t="shared" si="921"/>
        <v>FY 24/25</v>
      </c>
      <c r="B3091" s="23">
        <v>2024</v>
      </c>
      <c r="C3091" s="23">
        <v>6</v>
      </c>
      <c r="D3091" s="33" t="str">
        <f t="shared" si="922"/>
        <v>Q1</v>
      </c>
      <c r="E3091" s="33" t="str">
        <f t="shared" si="936"/>
        <v>FY 24/25</v>
      </c>
      <c r="F3091" s="23">
        <v>2024</v>
      </c>
      <c r="G3091" s="152">
        <v>9</v>
      </c>
      <c r="H3091" s="29"/>
      <c r="I3091" s="202" t="str">
        <f t="shared" si="923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24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37"/>
        <v>1</v>
      </c>
      <c r="Z3091" s="196">
        <f t="shared" si="919"/>
        <v>12100000</v>
      </c>
      <c r="AA3091" s="22">
        <v>5.5100000000000003E-2</v>
      </c>
      <c r="AB3091" s="197">
        <f t="shared" si="925"/>
        <v>666710</v>
      </c>
      <c r="AC3091" s="198">
        <f t="shared" si="926"/>
        <v>40735.981</v>
      </c>
      <c r="AD3091" s="170">
        <v>6.1100000000000002E-2</v>
      </c>
      <c r="AE3091" s="199">
        <f t="shared" si="927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34"/>
        <v>35931087.732566379</v>
      </c>
      <c r="AJ3091" s="200">
        <f t="shared" si="935"/>
        <v>4346699.6584161064</v>
      </c>
      <c r="AK3091" s="201">
        <f t="shared" si="928"/>
        <v>0.12097322771769156</v>
      </c>
      <c r="AL3091" s="24"/>
      <c r="AM3091" s="24"/>
      <c r="AN3091" s="24"/>
      <c r="AO3091" s="24"/>
      <c r="AP3091" s="105" t="str">
        <f t="shared" si="929"/>
        <v>20249</v>
      </c>
      <c r="AQ3091" s="28" t="str">
        <f t="shared" si="930"/>
        <v>20249JPY</v>
      </c>
      <c r="AR3091" s="206" t="str">
        <f t="shared" si="931"/>
        <v>YAMAHA_Mounter</v>
      </c>
      <c r="AS3091" s="22">
        <f t="shared" si="932"/>
        <v>3</v>
      </c>
      <c r="AT3091" s="24" t="str">
        <f t="shared" si="933"/>
        <v>0-3 months</v>
      </c>
    </row>
    <row r="3092" spans="1:46" s="12" customFormat="1">
      <c r="A3092" s="33" t="str">
        <f t="shared" si="921"/>
        <v>FY 24/25</v>
      </c>
      <c r="B3092" s="23">
        <v>2024</v>
      </c>
      <c r="C3092" s="23">
        <v>6</v>
      </c>
      <c r="D3092" s="33" t="str">
        <f t="shared" si="922"/>
        <v>Q1</v>
      </c>
      <c r="E3092" s="33" t="str">
        <f t="shared" si="936"/>
        <v>FY 24/25</v>
      </c>
      <c r="F3092" s="23">
        <v>2024</v>
      </c>
      <c r="G3092" s="152">
        <v>9</v>
      </c>
      <c r="H3092" s="29"/>
      <c r="I3092" s="202" t="str">
        <f t="shared" si="923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24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37"/>
        <v>1</v>
      </c>
      <c r="Z3092" s="196">
        <f t="shared" si="919"/>
        <v>12100000</v>
      </c>
      <c r="AA3092" s="22">
        <v>5.5100000000000003E-2</v>
      </c>
      <c r="AB3092" s="197">
        <f t="shared" si="925"/>
        <v>666710</v>
      </c>
      <c r="AC3092" s="198">
        <f t="shared" si="926"/>
        <v>40735.981</v>
      </c>
      <c r="AD3092" s="170">
        <v>6.1100000000000002E-2</v>
      </c>
      <c r="AE3092" s="199">
        <f t="shared" si="927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34"/>
        <v>35931087.732566379</v>
      </c>
      <c r="AJ3092" s="200">
        <f t="shared" si="935"/>
        <v>4346699.6584161064</v>
      </c>
      <c r="AK3092" s="201">
        <f t="shared" si="928"/>
        <v>0.12097322771769156</v>
      </c>
      <c r="AL3092" s="24"/>
      <c r="AM3092" s="24"/>
      <c r="AN3092" s="24"/>
      <c r="AO3092" s="24"/>
      <c r="AP3092" s="105" t="str">
        <f t="shared" si="929"/>
        <v>20249</v>
      </c>
      <c r="AQ3092" s="28" t="str">
        <f t="shared" si="930"/>
        <v>20249JPY</v>
      </c>
      <c r="AR3092" s="206" t="str">
        <f t="shared" si="931"/>
        <v>YAMAHA_Mounter</v>
      </c>
      <c r="AS3092" s="22">
        <f t="shared" si="932"/>
        <v>3</v>
      </c>
      <c r="AT3092" s="24" t="str">
        <f t="shared" si="933"/>
        <v>0-3 months</v>
      </c>
    </row>
    <row r="3093" spans="1:46" s="12" customFormat="1">
      <c r="A3093" s="33" t="str">
        <f t="shared" si="921"/>
        <v>FY 20/21</v>
      </c>
      <c r="B3093" s="152">
        <v>2020</v>
      </c>
      <c r="C3093" s="152">
        <v>11</v>
      </c>
      <c r="D3093" s="33" t="str">
        <f t="shared" si="922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23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24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19"/>
        <v>553500</v>
      </c>
      <c r="AA3093" s="13">
        <v>1.175</v>
      </c>
      <c r="AB3093" s="21">
        <f t="shared" si="925"/>
        <v>575542.03539823019</v>
      </c>
      <c r="AC3093" s="130">
        <f t="shared" si="926"/>
        <v>92086.725663716832</v>
      </c>
      <c r="AD3093" s="169">
        <v>0.16</v>
      </c>
      <c r="AE3093" s="154">
        <f t="shared" si="927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34"/>
        <v>48763143.537654862</v>
      </c>
      <c r="AJ3093" s="19">
        <f t="shared" si="935"/>
        <v>5924029.9702154724</v>
      </c>
      <c r="AK3093" s="20">
        <f t="shared" si="928"/>
        <v>0.1214858095774925</v>
      </c>
      <c r="AL3093" s="17"/>
      <c r="AM3093" s="17"/>
      <c r="AN3093" s="17"/>
      <c r="AO3093" s="17"/>
      <c r="AP3093" s="28" t="str">
        <f t="shared" si="929"/>
        <v>202012</v>
      </c>
      <c r="AQ3093" s="28" t="str">
        <f t="shared" si="930"/>
        <v>202012RMB</v>
      </c>
      <c r="AR3093" s="206" t="str">
        <f t="shared" si="931"/>
        <v>YAMAHA_Mounter</v>
      </c>
      <c r="AS3093" s="22">
        <f t="shared" si="932"/>
        <v>1</v>
      </c>
      <c r="AT3093" s="24" t="str">
        <f t="shared" si="933"/>
        <v>0-3 months</v>
      </c>
    </row>
    <row r="3094" spans="1:46" s="12" customFormat="1">
      <c r="A3094" s="33" t="str">
        <f t="shared" si="921"/>
        <v>FY 17/18</v>
      </c>
      <c r="B3094" s="152">
        <v>2017</v>
      </c>
      <c r="C3094" s="152">
        <v>7</v>
      </c>
      <c r="D3094" s="33" t="str">
        <f t="shared" si="922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23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si="924"/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ref="Z3094:Z3157" si="938">IF(X3094="","",X3094*MAX(O3094,N3094))</f>
        <v>10337775</v>
      </c>
      <c r="AA3094" s="13">
        <v>7.22E-2</v>
      </c>
      <c r="AB3094" s="21">
        <f t="shared" si="925"/>
        <v>746387.35499999998</v>
      </c>
      <c r="AC3094" s="130">
        <f t="shared" si="926"/>
        <v>79490.253307499996</v>
      </c>
      <c r="AD3094" s="169">
        <v>0.1065</v>
      </c>
      <c r="AE3094" s="154">
        <f t="shared" si="927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34"/>
        <v>29946107.503386207</v>
      </c>
      <c r="AJ3094" s="19">
        <f t="shared" si="935"/>
        <v>3987206.4954923098</v>
      </c>
      <c r="AK3094" s="20">
        <f t="shared" si="928"/>
        <v>0.13314606898547499</v>
      </c>
      <c r="AL3094" s="17"/>
      <c r="AM3094" s="17"/>
      <c r="AN3094" s="17"/>
      <c r="AO3094" s="17"/>
      <c r="AP3094" s="28" t="str">
        <f t="shared" si="929"/>
        <v>20187</v>
      </c>
      <c r="AQ3094" s="28" t="str">
        <f t="shared" si="930"/>
        <v>20187JPY</v>
      </c>
      <c r="AR3094" s="206" t="str">
        <f t="shared" si="931"/>
        <v>YAMAHA_Mounter</v>
      </c>
      <c r="AS3094" s="22">
        <f t="shared" si="932"/>
        <v>12</v>
      </c>
      <c r="AT3094" s="24" t="str">
        <f t="shared" si="933"/>
        <v>&gt; 6 months</v>
      </c>
    </row>
    <row r="3095" spans="1:46" s="12" customFormat="1">
      <c r="A3095" s="33" t="str">
        <f t="shared" si="921"/>
        <v>FY 19/20</v>
      </c>
      <c r="B3095" s="152">
        <v>2019</v>
      </c>
      <c r="C3095" s="152">
        <v>5</v>
      </c>
      <c r="D3095" s="33" t="str">
        <f t="shared" si="922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23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24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38"/>
        <v>570000</v>
      </c>
      <c r="AA3095" s="13">
        <v>1.1599999999999999</v>
      </c>
      <c r="AB3095" s="21">
        <f t="shared" si="925"/>
        <v>585132.74336283188</v>
      </c>
      <c r="AC3095" s="130">
        <f t="shared" si="926"/>
        <v>78700.35398230089</v>
      </c>
      <c r="AD3095" s="169">
        <v>0.13450000000000001</v>
      </c>
      <c r="AE3095" s="154">
        <f t="shared" si="927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34"/>
        <v>14593788.187146019</v>
      </c>
      <c r="AJ3095" s="19">
        <f t="shared" si="935"/>
        <v>1868647.7321969916</v>
      </c>
      <c r="AK3095" s="20">
        <f t="shared" si="928"/>
        <v>0.12804404916900652</v>
      </c>
      <c r="AL3095" s="17"/>
      <c r="AM3095" s="17"/>
      <c r="AN3095" s="17"/>
      <c r="AO3095" s="17"/>
      <c r="AP3095" s="28" t="str">
        <f t="shared" si="929"/>
        <v>20195</v>
      </c>
      <c r="AQ3095" s="28" t="str">
        <f t="shared" si="930"/>
        <v>20195RMB</v>
      </c>
      <c r="AR3095" s="206" t="str">
        <f t="shared" si="931"/>
        <v>YAMAHA_Mounter</v>
      </c>
      <c r="AS3095" s="22">
        <f t="shared" si="932"/>
        <v>0</v>
      </c>
      <c r="AT3095" s="24" t="str">
        <f t="shared" si="933"/>
        <v>0-3 months</v>
      </c>
    </row>
    <row r="3096" spans="1:46" s="12" customFormat="1">
      <c r="A3096" s="33" t="str">
        <f t="shared" si="921"/>
        <v>FY 19/20</v>
      </c>
      <c r="B3096" s="152">
        <v>2020</v>
      </c>
      <c r="C3096" s="152">
        <v>1</v>
      </c>
      <c r="D3096" s="33" t="str">
        <f t="shared" si="922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23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24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38"/>
        <v>10400000</v>
      </c>
      <c r="AA3096" s="13">
        <v>7.2999999999999995E-2</v>
      </c>
      <c r="AB3096" s="21">
        <f t="shared" si="925"/>
        <v>759200</v>
      </c>
      <c r="AC3096" s="130">
        <f t="shared" si="926"/>
        <v>88978.240000000005</v>
      </c>
      <c r="AD3096" s="169">
        <v>0.1172</v>
      </c>
      <c r="AE3096" s="154">
        <f t="shared" si="927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34"/>
        <v>23168285.927433632</v>
      </c>
      <c r="AJ3096" s="19">
        <f t="shared" si="935"/>
        <v>2764878.916878053</v>
      </c>
      <c r="AK3096" s="20">
        <f t="shared" si="928"/>
        <v>0.11933895004309111</v>
      </c>
      <c r="AL3096" s="17"/>
      <c r="AM3096" s="17"/>
      <c r="AN3096" s="17"/>
      <c r="AO3096" s="17"/>
      <c r="AP3096" s="28" t="str">
        <f t="shared" si="929"/>
        <v>20203</v>
      </c>
      <c r="AQ3096" s="28" t="str">
        <f t="shared" si="930"/>
        <v>20203JPY</v>
      </c>
      <c r="AR3096" s="206" t="str">
        <f t="shared" si="931"/>
        <v>YAMAHA_Mounter</v>
      </c>
      <c r="AS3096" s="22">
        <f t="shared" si="932"/>
        <v>2</v>
      </c>
      <c r="AT3096" s="24" t="str">
        <f t="shared" si="933"/>
        <v>0-3 months</v>
      </c>
    </row>
    <row r="3097" spans="1:46" s="12" customFormat="1">
      <c r="A3097" s="33" t="str">
        <f t="shared" si="921"/>
        <v>FY 19/20</v>
      </c>
      <c r="B3097" s="152">
        <v>2020</v>
      </c>
      <c r="C3097" s="152">
        <v>1</v>
      </c>
      <c r="D3097" s="33" t="str">
        <f t="shared" si="922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23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24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38"/>
        <v>7200000</v>
      </c>
      <c r="AA3097" s="13">
        <v>7.2999999999999995E-2</v>
      </c>
      <c r="AB3097" s="21">
        <f t="shared" si="925"/>
        <v>525600</v>
      </c>
      <c r="AC3097" s="130">
        <f t="shared" si="926"/>
        <v>61600.32</v>
      </c>
      <c r="AD3097" s="169">
        <v>0.1172</v>
      </c>
      <c r="AE3097" s="154">
        <f t="shared" si="927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34"/>
        <v>23168285.927433632</v>
      </c>
      <c r="AJ3097" s="19">
        <f t="shared" si="935"/>
        <v>2764878.916878053</v>
      </c>
      <c r="AK3097" s="20">
        <f t="shared" si="928"/>
        <v>0.11933895004309111</v>
      </c>
      <c r="AL3097" s="17"/>
      <c r="AM3097" s="17"/>
      <c r="AN3097" s="17"/>
      <c r="AO3097" s="17"/>
      <c r="AP3097" s="28" t="str">
        <f t="shared" si="929"/>
        <v>20203</v>
      </c>
      <c r="AQ3097" s="28" t="str">
        <f t="shared" si="930"/>
        <v>20203JPY</v>
      </c>
      <c r="AR3097" s="206" t="str">
        <f t="shared" si="931"/>
        <v>YAMAHA_Mounter</v>
      </c>
      <c r="AS3097" s="22">
        <f t="shared" si="932"/>
        <v>2</v>
      </c>
      <c r="AT3097" s="24" t="str">
        <f t="shared" si="933"/>
        <v>0-3 months</v>
      </c>
    </row>
    <row r="3098" spans="1:46" s="12" customFormat="1">
      <c r="A3098" s="33" t="str">
        <f t="shared" si="921"/>
        <v>cancel</v>
      </c>
      <c r="B3098" s="152"/>
      <c r="C3098" s="152" t="s">
        <v>186</v>
      </c>
      <c r="D3098" s="33" t="str">
        <f t="shared" si="922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23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24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38"/>
        <v>8150000</v>
      </c>
      <c r="AA3098" s="13">
        <v>7.17E-2</v>
      </c>
      <c r="AB3098" s="21">
        <f t="shared" si="925"/>
        <v>584355</v>
      </c>
      <c r="AC3098" s="130">
        <f t="shared" si="926"/>
        <v>78595.747499999998</v>
      </c>
      <c r="AD3098" s="169">
        <v>0.13450000000000001</v>
      </c>
      <c r="AE3098" s="154">
        <f t="shared" si="927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34"/>
        <v>477651199.57437885</v>
      </c>
      <c r="AJ3098" s="19">
        <f t="shared" si="935"/>
        <v>56918800.518691957</v>
      </c>
      <c r="AK3098" s="20">
        <f t="shared" si="928"/>
        <v>0.11916394341605475</v>
      </c>
      <c r="AL3098" s="17"/>
      <c r="AM3098" s="17"/>
      <c r="AN3098" s="17"/>
      <c r="AO3098" s="17"/>
      <c r="AP3098" s="28" t="str">
        <f t="shared" si="929"/>
        <v>CancelCancel</v>
      </c>
      <c r="AQ3098" s="28" t="str">
        <f t="shared" si="930"/>
        <v>CancelCancelJPY</v>
      </c>
      <c r="AR3098" s="206" t="str">
        <f t="shared" si="931"/>
        <v>YAMAHA_Mounter</v>
      </c>
      <c r="AS3098" s="22" t="str">
        <f t="shared" si="932"/>
        <v/>
      </c>
      <c r="AT3098" s="24" t="str">
        <f t="shared" si="933"/>
        <v/>
      </c>
    </row>
    <row r="3099" spans="1:46" s="12" customFormat="1">
      <c r="A3099" s="33" t="str">
        <f t="shared" si="921"/>
        <v>cancel</v>
      </c>
      <c r="B3099" s="152"/>
      <c r="C3099" s="152" t="s">
        <v>186</v>
      </c>
      <c r="D3099" s="33" t="str">
        <f t="shared" si="922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23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24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38"/>
        <v>8150000</v>
      </c>
      <c r="AA3099" s="13">
        <v>7.17E-2</v>
      </c>
      <c r="AB3099" s="21">
        <f t="shared" si="925"/>
        <v>584355</v>
      </c>
      <c r="AC3099" s="130">
        <f t="shared" si="926"/>
        <v>70122.599999999991</v>
      </c>
      <c r="AD3099" s="169">
        <v>0.12</v>
      </c>
      <c r="AE3099" s="154">
        <f t="shared" si="927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34"/>
        <v>477651199.57437885</v>
      </c>
      <c r="AJ3099" s="19">
        <f t="shared" si="935"/>
        <v>56918800.518691957</v>
      </c>
      <c r="AK3099" s="20">
        <f t="shared" si="928"/>
        <v>0.11916394341605475</v>
      </c>
      <c r="AL3099" s="17"/>
      <c r="AM3099" s="17"/>
      <c r="AN3099" s="17"/>
      <c r="AO3099" s="17"/>
      <c r="AP3099" s="28" t="str">
        <f t="shared" si="929"/>
        <v>CancelCancel</v>
      </c>
      <c r="AQ3099" s="28" t="str">
        <f t="shared" si="930"/>
        <v>CancelCancelJPY</v>
      </c>
      <c r="AR3099" s="206" t="str">
        <f t="shared" si="931"/>
        <v>YAMAHA_Mounter</v>
      </c>
      <c r="AS3099" s="22" t="str">
        <f t="shared" si="932"/>
        <v/>
      </c>
      <c r="AT3099" s="24" t="str">
        <f t="shared" si="933"/>
        <v/>
      </c>
    </row>
    <row r="3100" spans="1:46" s="12" customFormat="1">
      <c r="A3100" s="33" t="str">
        <f t="shared" si="921"/>
        <v>cancel</v>
      </c>
      <c r="B3100" s="152"/>
      <c r="C3100" s="152" t="s">
        <v>186</v>
      </c>
      <c r="D3100" s="33" t="str">
        <f t="shared" si="922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23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24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38"/>
        <v>8150000</v>
      </c>
      <c r="AA3100" s="13">
        <v>7.3999999999999996E-2</v>
      </c>
      <c r="AB3100" s="21">
        <f t="shared" si="925"/>
        <v>603100</v>
      </c>
      <c r="AC3100" s="130">
        <f t="shared" si="926"/>
        <v>72372</v>
      </c>
      <c r="AD3100" s="169">
        <v>0.12</v>
      </c>
      <c r="AE3100" s="154">
        <f t="shared" si="927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34"/>
        <v>477651199.57437885</v>
      </c>
      <c r="AJ3100" s="19">
        <f t="shared" si="935"/>
        <v>56918800.518691957</v>
      </c>
      <c r="AK3100" s="20">
        <f t="shared" si="928"/>
        <v>0.11916394341605475</v>
      </c>
      <c r="AL3100" s="17"/>
      <c r="AM3100" s="17"/>
      <c r="AN3100" s="17"/>
      <c r="AO3100" s="17"/>
      <c r="AP3100" s="28" t="str">
        <f t="shared" si="929"/>
        <v>CancelCancel</v>
      </c>
      <c r="AQ3100" s="28" t="str">
        <f t="shared" si="930"/>
        <v>CancelCancelJPY</v>
      </c>
      <c r="AR3100" s="206" t="str">
        <f t="shared" si="931"/>
        <v>YAMAHA_Mounter</v>
      </c>
      <c r="AS3100" s="22" t="str">
        <f t="shared" si="932"/>
        <v/>
      </c>
      <c r="AT3100" s="24" t="str">
        <f t="shared" si="933"/>
        <v/>
      </c>
    </row>
    <row r="3101" spans="1:46" s="12" customFormat="1">
      <c r="A3101" s="33" t="str">
        <f t="shared" si="921"/>
        <v>FY 20/21</v>
      </c>
      <c r="B3101" s="152">
        <v>2020</v>
      </c>
      <c r="C3101" s="152">
        <v>8</v>
      </c>
      <c r="D3101" s="33" t="str">
        <f t="shared" si="922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23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24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38"/>
        <v>1010000</v>
      </c>
      <c r="AA3101" s="13">
        <v>1.135</v>
      </c>
      <c r="AB3101" s="21">
        <f t="shared" si="925"/>
        <v>1014469.0265486727</v>
      </c>
      <c r="AC3101" s="130">
        <f t="shared" si="926"/>
        <v>124272.45575221241</v>
      </c>
      <c r="AD3101" s="169">
        <v>0.1225</v>
      </c>
      <c r="AE3101" s="154">
        <f t="shared" si="927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34"/>
        <v>28011162.254106201</v>
      </c>
      <c r="AJ3101" s="19">
        <f t="shared" si="935"/>
        <v>3401347.1124888416</v>
      </c>
      <c r="AK3101" s="20">
        <f t="shared" si="928"/>
        <v>0.12142827497242578</v>
      </c>
      <c r="AL3101" s="17"/>
      <c r="AM3101" s="17"/>
      <c r="AN3101" s="17"/>
      <c r="AO3101" s="17"/>
      <c r="AP3101" s="28" t="str">
        <f t="shared" si="929"/>
        <v>202010</v>
      </c>
      <c r="AQ3101" s="28" t="str">
        <f t="shared" si="930"/>
        <v>202010RMB</v>
      </c>
      <c r="AR3101" s="206" t="str">
        <f t="shared" si="931"/>
        <v>YAMAHA_Mounter</v>
      </c>
      <c r="AS3101" s="22">
        <f t="shared" si="932"/>
        <v>2</v>
      </c>
      <c r="AT3101" s="24" t="str">
        <f t="shared" si="933"/>
        <v>0-3 months</v>
      </c>
    </row>
    <row r="3102" spans="1:46" s="12" customFormat="1">
      <c r="A3102" s="33" t="str">
        <f t="shared" si="921"/>
        <v>FY 20/21</v>
      </c>
      <c r="B3102" s="152">
        <v>2021</v>
      </c>
      <c r="C3102" s="152">
        <v>3</v>
      </c>
      <c r="D3102" s="33" t="str">
        <f t="shared" si="922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23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24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9">IF(W3102="RMB","1.13", "1")</f>
        <v>1</v>
      </c>
      <c r="Z3102" s="18">
        <f t="shared" si="938"/>
        <v>7100000</v>
      </c>
      <c r="AA3102" s="13">
        <v>7.2099999999999997E-2</v>
      </c>
      <c r="AB3102" s="21">
        <f t="shared" si="925"/>
        <v>511910</v>
      </c>
      <c r="AC3102" s="130">
        <f t="shared" si="926"/>
        <v>87536.61</v>
      </c>
      <c r="AD3102" s="169">
        <v>0.17100000000000001</v>
      </c>
      <c r="AE3102" s="154">
        <f t="shared" si="927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34"/>
        <v>54700260.692079648</v>
      </c>
      <c r="AJ3102" s="19">
        <f t="shared" si="935"/>
        <v>7482899.5749188727</v>
      </c>
      <c r="AK3102" s="20">
        <f t="shared" si="928"/>
        <v>0.13679824337660537</v>
      </c>
      <c r="AL3102" s="17"/>
      <c r="AM3102" s="17"/>
      <c r="AN3102" s="17"/>
      <c r="AO3102" s="17"/>
      <c r="AP3102" s="28" t="str">
        <f t="shared" si="929"/>
        <v>20216</v>
      </c>
      <c r="AQ3102" s="28" t="str">
        <f t="shared" si="930"/>
        <v>20216JPY</v>
      </c>
      <c r="AR3102" s="206" t="str">
        <f t="shared" si="931"/>
        <v>YAMAHA_Mounter</v>
      </c>
      <c r="AS3102" s="22">
        <f t="shared" si="932"/>
        <v>3</v>
      </c>
      <c r="AT3102" s="24" t="str">
        <f t="shared" si="933"/>
        <v>0-3 months</v>
      </c>
    </row>
    <row r="3103" spans="1:46" s="12" customFormat="1">
      <c r="A3103" s="33" t="str">
        <f t="shared" si="921"/>
        <v>FY 20/21</v>
      </c>
      <c r="B3103" s="152">
        <v>2021</v>
      </c>
      <c r="C3103" s="152">
        <v>3</v>
      </c>
      <c r="D3103" s="33" t="str">
        <f t="shared" si="922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23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24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9"/>
        <v>1</v>
      </c>
      <c r="Z3103" s="18">
        <f t="shared" si="938"/>
        <v>7100000</v>
      </c>
      <c r="AA3103" s="13">
        <v>7.2099999999999997E-2</v>
      </c>
      <c r="AB3103" s="21">
        <f t="shared" si="925"/>
        <v>511910</v>
      </c>
      <c r="AC3103" s="130">
        <f t="shared" si="926"/>
        <v>87536.61</v>
      </c>
      <c r="AD3103" s="169">
        <v>0.17100000000000001</v>
      </c>
      <c r="AE3103" s="154">
        <f t="shared" si="927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34"/>
        <v>54700260.692079648</v>
      </c>
      <c r="AJ3103" s="19">
        <f t="shared" si="935"/>
        <v>7482899.5749188727</v>
      </c>
      <c r="AK3103" s="20">
        <f t="shared" si="928"/>
        <v>0.13679824337660537</v>
      </c>
      <c r="AL3103" s="17"/>
      <c r="AM3103" s="17"/>
      <c r="AN3103" s="17"/>
      <c r="AO3103" s="17"/>
      <c r="AP3103" s="28" t="str">
        <f t="shared" si="929"/>
        <v>20216</v>
      </c>
      <c r="AQ3103" s="28" t="str">
        <f t="shared" si="930"/>
        <v>20216JPY</v>
      </c>
      <c r="AR3103" s="206" t="str">
        <f t="shared" si="931"/>
        <v>YAMAHA_Mounter</v>
      </c>
      <c r="AS3103" s="22">
        <f t="shared" si="932"/>
        <v>3</v>
      </c>
      <c r="AT3103" s="24" t="str">
        <f t="shared" si="933"/>
        <v>0-3 months</v>
      </c>
    </row>
    <row r="3104" spans="1:46" s="12" customFormat="1">
      <c r="A3104" s="33" t="str">
        <f t="shared" si="921"/>
        <v>FY 20/21</v>
      </c>
      <c r="B3104" s="152">
        <v>2021</v>
      </c>
      <c r="C3104" s="152">
        <v>3</v>
      </c>
      <c r="D3104" s="33" t="str">
        <f t="shared" si="922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23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24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9"/>
        <v>1</v>
      </c>
      <c r="Z3104" s="18">
        <f t="shared" si="938"/>
        <v>7100000</v>
      </c>
      <c r="AA3104" s="13">
        <v>6.9199999999999998E-2</v>
      </c>
      <c r="AB3104" s="21">
        <f t="shared" si="925"/>
        <v>491320</v>
      </c>
      <c r="AC3104" s="130">
        <f t="shared" si="926"/>
        <v>84015.72</v>
      </c>
      <c r="AD3104" s="169">
        <v>0.17100000000000001</v>
      </c>
      <c r="AE3104" s="154">
        <f t="shared" si="927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34"/>
        <v>31750699.113741599</v>
      </c>
      <c r="AJ3104" s="19">
        <f t="shared" si="935"/>
        <v>4396077.3195289988</v>
      </c>
      <c r="AK3104" s="20">
        <f t="shared" si="928"/>
        <v>0.13845607946397598</v>
      </c>
      <c r="AL3104" s="17"/>
      <c r="AM3104" s="17"/>
      <c r="AN3104" s="17"/>
      <c r="AO3104" s="17"/>
      <c r="AP3104" s="28" t="str">
        <f t="shared" si="929"/>
        <v>20222</v>
      </c>
      <c r="AQ3104" s="28" t="str">
        <f t="shared" si="930"/>
        <v>20222JPY</v>
      </c>
      <c r="AR3104" s="206" t="str">
        <f t="shared" si="931"/>
        <v>YAMAHA_Mounter</v>
      </c>
      <c r="AS3104" s="22">
        <f t="shared" si="932"/>
        <v>11</v>
      </c>
      <c r="AT3104" s="24" t="str">
        <f t="shared" si="933"/>
        <v>&gt; 6 months</v>
      </c>
    </row>
    <row r="3105" spans="1:46" s="12" customFormat="1">
      <c r="A3105" s="33" t="str">
        <f t="shared" si="921"/>
        <v>FY 20/21</v>
      </c>
      <c r="B3105" s="152">
        <v>2021</v>
      </c>
      <c r="C3105" s="152">
        <v>3</v>
      </c>
      <c r="D3105" s="33" t="str">
        <f t="shared" si="922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23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24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9"/>
        <v>1</v>
      </c>
      <c r="Z3105" s="18">
        <f t="shared" si="938"/>
        <v>7100000</v>
      </c>
      <c r="AA3105" s="13">
        <v>6.9199999999999998E-2</v>
      </c>
      <c r="AB3105" s="21">
        <f t="shared" si="925"/>
        <v>491320</v>
      </c>
      <c r="AC3105" s="130">
        <f t="shared" si="926"/>
        <v>84015.72</v>
      </c>
      <c r="AD3105" s="169">
        <v>0.17100000000000001</v>
      </c>
      <c r="AE3105" s="154">
        <f t="shared" si="927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34"/>
        <v>31750699.113741599</v>
      </c>
      <c r="AJ3105" s="19">
        <f t="shared" si="935"/>
        <v>4396077.3195289988</v>
      </c>
      <c r="AK3105" s="20">
        <f t="shared" si="928"/>
        <v>0.13845607946397598</v>
      </c>
      <c r="AL3105" s="17"/>
      <c r="AM3105" s="17"/>
      <c r="AN3105" s="17"/>
      <c r="AO3105" s="17"/>
      <c r="AP3105" s="28" t="str">
        <f t="shared" si="929"/>
        <v>20222</v>
      </c>
      <c r="AQ3105" s="28" t="str">
        <f t="shared" si="930"/>
        <v>20222JPY</v>
      </c>
      <c r="AR3105" s="206" t="str">
        <f t="shared" si="931"/>
        <v>YAMAHA_Mounter</v>
      </c>
      <c r="AS3105" s="22">
        <f t="shared" si="932"/>
        <v>11</v>
      </c>
      <c r="AT3105" s="24" t="str">
        <f t="shared" si="933"/>
        <v>&gt; 6 months</v>
      </c>
    </row>
    <row r="3106" spans="1:46" s="12" customFormat="1">
      <c r="A3106" s="33" t="str">
        <f t="shared" si="921"/>
        <v>FY 20/21</v>
      </c>
      <c r="B3106" s="152">
        <v>2021</v>
      </c>
      <c r="C3106" s="152">
        <v>3</v>
      </c>
      <c r="D3106" s="33" t="str">
        <f t="shared" si="922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23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24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9"/>
        <v>1</v>
      </c>
      <c r="Z3106" s="18">
        <f t="shared" si="938"/>
        <v>7100000</v>
      </c>
      <c r="AA3106" s="13">
        <v>6.54E-2</v>
      </c>
      <c r="AB3106" s="21">
        <f t="shared" si="925"/>
        <v>464340</v>
      </c>
      <c r="AC3106" s="130">
        <f t="shared" si="926"/>
        <v>79402.14</v>
      </c>
      <c r="AD3106" s="169">
        <v>0.17100000000000001</v>
      </c>
      <c r="AE3106" s="154">
        <f t="shared" si="927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34"/>
        <v>46600814.041769907</v>
      </c>
      <c r="AJ3106" s="19">
        <f t="shared" si="935"/>
        <v>5956366.3435927071</v>
      </c>
      <c r="AK3106" s="20">
        <f t="shared" si="928"/>
        <v>0.1278167874546958</v>
      </c>
      <c r="AL3106" s="17"/>
      <c r="AM3106" s="17"/>
      <c r="AN3106" s="17"/>
      <c r="AO3106" s="17"/>
      <c r="AP3106" s="28" t="str">
        <f t="shared" si="929"/>
        <v>20224</v>
      </c>
      <c r="AQ3106" s="28" t="str">
        <f t="shared" si="930"/>
        <v>20224JPY</v>
      </c>
      <c r="AR3106" s="206" t="str">
        <f t="shared" si="931"/>
        <v>YAMAHA_Mounter</v>
      </c>
      <c r="AS3106" s="22">
        <f t="shared" si="932"/>
        <v>13</v>
      </c>
      <c r="AT3106" s="24" t="str">
        <f t="shared" si="933"/>
        <v>&gt; 6 months</v>
      </c>
    </row>
    <row r="3107" spans="1:46" s="12" customFormat="1">
      <c r="A3107" s="33" t="str">
        <f t="shared" si="921"/>
        <v>FY 20/21</v>
      </c>
      <c r="B3107" s="152">
        <v>2021</v>
      </c>
      <c r="C3107" s="152">
        <v>3</v>
      </c>
      <c r="D3107" s="33" t="str">
        <f t="shared" si="922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23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24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9"/>
        <v>1</v>
      </c>
      <c r="Z3107" s="18">
        <f t="shared" si="938"/>
        <v>7100000</v>
      </c>
      <c r="AA3107" s="13">
        <v>6.54E-2</v>
      </c>
      <c r="AB3107" s="21">
        <f t="shared" si="925"/>
        <v>464340</v>
      </c>
      <c r="AC3107" s="130">
        <f t="shared" si="926"/>
        <v>79402.14</v>
      </c>
      <c r="AD3107" s="169">
        <v>0.17100000000000001</v>
      </c>
      <c r="AE3107" s="154">
        <f t="shared" si="927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34"/>
        <v>46600814.041769907</v>
      </c>
      <c r="AJ3107" s="19">
        <f t="shared" si="935"/>
        <v>5956366.3435927071</v>
      </c>
      <c r="AK3107" s="20">
        <f t="shared" si="928"/>
        <v>0.1278167874546958</v>
      </c>
      <c r="AL3107" s="17"/>
      <c r="AM3107" s="17"/>
      <c r="AN3107" s="17"/>
      <c r="AO3107" s="17"/>
      <c r="AP3107" s="28" t="str">
        <f t="shared" si="929"/>
        <v>20224</v>
      </c>
      <c r="AQ3107" s="28" t="str">
        <f t="shared" si="930"/>
        <v>20224JPY</v>
      </c>
      <c r="AR3107" s="206" t="str">
        <f t="shared" si="931"/>
        <v>YAMAHA_Mounter</v>
      </c>
      <c r="AS3107" s="22">
        <f t="shared" si="932"/>
        <v>13</v>
      </c>
      <c r="AT3107" s="24" t="str">
        <f t="shared" si="933"/>
        <v>&gt; 6 months</v>
      </c>
    </row>
    <row r="3108" spans="1:46" s="12" customFormat="1">
      <c r="A3108" s="33" t="str">
        <f t="shared" si="921"/>
        <v>FY 18/19</v>
      </c>
      <c r="B3108" s="152">
        <v>2018</v>
      </c>
      <c r="C3108" s="152">
        <v>12</v>
      </c>
      <c r="D3108" s="33" t="str">
        <f t="shared" si="922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23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24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38"/>
        <v>10000000</v>
      </c>
      <c r="AA3108" s="13">
        <v>7.2099999999999997E-2</v>
      </c>
      <c r="AB3108" s="21">
        <f t="shared" si="925"/>
        <v>721000</v>
      </c>
      <c r="AC3108" s="130">
        <f t="shared" si="926"/>
        <v>78661.100000000006</v>
      </c>
      <c r="AD3108" s="169">
        <v>0.1091</v>
      </c>
      <c r="AE3108" s="154">
        <f t="shared" si="927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34"/>
        <v>26754147.763010349</v>
      </c>
      <c r="AJ3108" s="19">
        <f t="shared" si="935"/>
        <v>3429137.9965357962</v>
      </c>
      <c r="AK3108" s="20">
        <f t="shared" si="928"/>
        <v>0.12817220069617921</v>
      </c>
      <c r="AL3108" s="17"/>
      <c r="AM3108" s="17"/>
      <c r="AN3108" s="17"/>
      <c r="AO3108" s="17"/>
      <c r="AP3108" s="28" t="str">
        <f t="shared" si="929"/>
        <v>20188</v>
      </c>
      <c r="AQ3108" s="28" t="str">
        <f t="shared" si="930"/>
        <v>20188JPY</v>
      </c>
      <c r="AR3108" s="206" t="str">
        <f t="shared" si="931"/>
        <v>YAMAHA_Mounter</v>
      </c>
      <c r="AS3108" s="22" t="str">
        <f t="shared" si="932"/>
        <v/>
      </c>
      <c r="AT3108" s="24" t="str">
        <f t="shared" si="933"/>
        <v/>
      </c>
    </row>
    <row r="3109" spans="1:46" s="12" customFormat="1">
      <c r="A3109" s="33" t="str">
        <f t="shared" si="921"/>
        <v>FY 17/18</v>
      </c>
      <c r="B3109" s="152">
        <v>2018</v>
      </c>
      <c r="C3109" s="152">
        <v>2</v>
      </c>
      <c r="D3109" s="33" t="str">
        <f t="shared" si="922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23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24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38"/>
        <v>20000000</v>
      </c>
      <c r="AA3109" s="13">
        <v>7.2099999999999997E-2</v>
      </c>
      <c r="AB3109" s="21">
        <f t="shared" si="925"/>
        <v>1442000</v>
      </c>
      <c r="AC3109" s="130">
        <f t="shared" si="926"/>
        <v>157322.20000000001</v>
      </c>
      <c r="AD3109" s="169">
        <v>0.1091</v>
      </c>
      <c r="AE3109" s="154">
        <f t="shared" si="927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34"/>
        <v>26492741.106427077</v>
      </c>
      <c r="AJ3109" s="19">
        <f t="shared" si="935"/>
        <v>3348032.1325698122</v>
      </c>
      <c r="AK3109" s="20">
        <f t="shared" si="928"/>
        <v>0.12637545201985867</v>
      </c>
      <c r="AL3109" s="17"/>
      <c r="AM3109" s="17"/>
      <c r="AN3109" s="17"/>
      <c r="AO3109" s="17"/>
      <c r="AP3109" s="28" t="str">
        <f t="shared" si="929"/>
        <v>20189</v>
      </c>
      <c r="AQ3109" s="28" t="str">
        <f t="shared" si="930"/>
        <v>20189JPY</v>
      </c>
      <c r="AR3109" s="206" t="str">
        <f t="shared" si="931"/>
        <v>YAMAHA_Mounter</v>
      </c>
      <c r="AS3109" s="22">
        <f t="shared" si="932"/>
        <v>7</v>
      </c>
      <c r="AT3109" s="24" t="str">
        <f t="shared" si="933"/>
        <v>&gt; 6 months</v>
      </c>
    </row>
    <row r="3110" spans="1:46" s="12" customFormat="1">
      <c r="A3110" s="33" t="str">
        <f t="shared" si="921"/>
        <v>FY 17/18</v>
      </c>
      <c r="B3110" s="152">
        <v>2018</v>
      </c>
      <c r="C3110" s="152">
        <v>2</v>
      </c>
      <c r="D3110" s="33" t="str">
        <f t="shared" si="922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23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24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38"/>
        <v>10000000</v>
      </c>
      <c r="AA3110" s="13">
        <v>7.22E-2</v>
      </c>
      <c r="AB3110" s="21">
        <f t="shared" si="925"/>
        <v>722000</v>
      </c>
      <c r="AC3110" s="130">
        <f t="shared" si="926"/>
        <v>77398.400000000009</v>
      </c>
      <c r="AD3110" s="169">
        <v>0.1072</v>
      </c>
      <c r="AE3110" s="154">
        <f t="shared" si="927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34"/>
        <v>47416008.333399981</v>
      </c>
      <c r="AJ3110" s="19">
        <f t="shared" si="935"/>
        <v>6981738.4465290187</v>
      </c>
      <c r="AK3110" s="20">
        <f t="shared" si="928"/>
        <v>0.14724433143839863</v>
      </c>
      <c r="AL3110" s="17"/>
      <c r="AM3110" s="17"/>
      <c r="AN3110" s="17"/>
      <c r="AO3110" s="17"/>
      <c r="AP3110" s="28" t="str">
        <f t="shared" si="929"/>
        <v>20193</v>
      </c>
      <c r="AQ3110" s="28" t="str">
        <f t="shared" si="930"/>
        <v>20193JPY</v>
      </c>
      <c r="AR3110" s="206" t="str">
        <f t="shared" si="931"/>
        <v>YAMAHA_Mounter</v>
      </c>
      <c r="AS3110" s="22">
        <f t="shared" si="932"/>
        <v>13</v>
      </c>
      <c r="AT3110" s="24" t="str">
        <f t="shared" si="933"/>
        <v>&gt; 6 months</v>
      </c>
    </row>
    <row r="3111" spans="1:46" s="12" customFormat="1">
      <c r="A3111" s="33" t="str">
        <f t="shared" si="921"/>
        <v>FY 19/20</v>
      </c>
      <c r="B3111" s="152">
        <v>2019</v>
      </c>
      <c r="C3111" s="152">
        <v>8</v>
      </c>
      <c r="D3111" s="33" t="str">
        <f t="shared" si="922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23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24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38"/>
        <v>760000</v>
      </c>
      <c r="AA3111" s="13">
        <v>1.135</v>
      </c>
      <c r="AB3111" s="21">
        <f t="shared" si="925"/>
        <v>763362.83185840712</v>
      </c>
      <c r="AC3111" s="130">
        <f t="shared" si="926"/>
        <v>-4885.5221238938057</v>
      </c>
      <c r="AD3111" s="169">
        <v>-6.4000000000000003E-3</v>
      </c>
      <c r="AE3111" s="154">
        <f t="shared" si="927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34"/>
        <v>21386017.707964607</v>
      </c>
      <c r="AJ3111" s="19">
        <f t="shared" si="935"/>
        <v>2238764.3265707968</v>
      </c>
      <c r="AK3111" s="20">
        <f t="shared" si="928"/>
        <v>0.10468355339185161</v>
      </c>
      <c r="AL3111" s="17"/>
      <c r="AM3111" s="17"/>
      <c r="AN3111" s="17"/>
      <c r="AO3111" s="17"/>
      <c r="AP3111" s="28" t="str">
        <f t="shared" si="929"/>
        <v>20198</v>
      </c>
      <c r="AQ3111" s="28" t="str">
        <f t="shared" si="930"/>
        <v>20198RMB</v>
      </c>
      <c r="AR3111" s="206" t="str">
        <f t="shared" si="931"/>
        <v>YAMAHA_Mounter</v>
      </c>
      <c r="AS3111" s="22">
        <f t="shared" si="932"/>
        <v>0</v>
      </c>
      <c r="AT3111" s="24" t="str">
        <f t="shared" si="933"/>
        <v>0-3 months</v>
      </c>
    </row>
    <row r="3112" spans="1:46" s="12" customFormat="1">
      <c r="A3112" s="33" t="str">
        <f t="shared" si="921"/>
        <v>FY 19/20</v>
      </c>
      <c r="B3112" s="152">
        <v>2019</v>
      </c>
      <c r="C3112" s="152">
        <v>8</v>
      </c>
      <c r="D3112" s="33" t="str">
        <f t="shared" si="922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23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24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38"/>
        <v>760000</v>
      </c>
      <c r="AA3112" s="13">
        <v>1.1100000000000001</v>
      </c>
      <c r="AB3112" s="21">
        <f t="shared" si="925"/>
        <v>746548.67256637174</v>
      </c>
      <c r="AC3112" s="130">
        <f t="shared" si="926"/>
        <v>32698.83185840708</v>
      </c>
      <c r="AD3112" s="169">
        <v>4.3799999999999999E-2</v>
      </c>
      <c r="AE3112" s="154">
        <f t="shared" si="927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34"/>
        <v>26147030.909862842</v>
      </c>
      <c r="AJ3112" s="19">
        <f t="shared" si="935"/>
        <v>2743862.8630715334</v>
      </c>
      <c r="AK3112" s="20">
        <f t="shared" si="928"/>
        <v>0.10493974908778378</v>
      </c>
      <c r="AL3112" s="17"/>
      <c r="AM3112" s="17"/>
      <c r="AN3112" s="17"/>
      <c r="AO3112" s="17"/>
      <c r="AP3112" s="28" t="str">
        <f t="shared" si="929"/>
        <v>201911</v>
      </c>
      <c r="AQ3112" s="28" t="str">
        <f t="shared" si="930"/>
        <v>201911RMB</v>
      </c>
      <c r="AR3112" s="206" t="str">
        <f t="shared" si="931"/>
        <v>YAMAHA_Mounter</v>
      </c>
      <c r="AS3112" s="22">
        <f t="shared" si="932"/>
        <v>3</v>
      </c>
      <c r="AT3112" s="24" t="str">
        <f t="shared" si="933"/>
        <v>0-3 months</v>
      </c>
    </row>
    <row r="3113" spans="1:46" s="12" customFormat="1">
      <c r="A3113" s="33" t="str">
        <f t="shared" si="921"/>
        <v>FY 19/20</v>
      </c>
      <c r="B3113" s="152">
        <v>2019</v>
      </c>
      <c r="C3113" s="152">
        <v>8</v>
      </c>
      <c r="D3113" s="33" t="str">
        <f t="shared" si="922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23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24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38"/>
        <v>550000</v>
      </c>
      <c r="AA3113" s="13">
        <v>1.095</v>
      </c>
      <c r="AB3113" s="21">
        <f t="shared" si="925"/>
        <v>532964.60176991147</v>
      </c>
      <c r="AC3113" s="130">
        <f t="shared" si="926"/>
        <v>54415.685840707956</v>
      </c>
      <c r="AD3113" s="169">
        <v>0.1021</v>
      </c>
      <c r="AE3113" s="154">
        <f t="shared" si="927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34"/>
        <v>37599388.802345134</v>
      </c>
      <c r="AJ3113" s="19">
        <f t="shared" si="935"/>
        <v>4866784.3630338367</v>
      </c>
      <c r="AK3113" s="20">
        <f t="shared" si="928"/>
        <v>0.12943785838163113</v>
      </c>
      <c r="AL3113" s="17"/>
      <c r="AM3113" s="17"/>
      <c r="AN3113" s="17"/>
      <c r="AO3113" s="17"/>
      <c r="AP3113" s="28" t="str">
        <f t="shared" si="929"/>
        <v>20199</v>
      </c>
      <c r="AQ3113" s="28" t="str">
        <f t="shared" si="930"/>
        <v>20199RMB</v>
      </c>
      <c r="AR3113" s="206" t="str">
        <f t="shared" si="931"/>
        <v>YAMAHA_Mounter</v>
      </c>
      <c r="AS3113" s="22">
        <f t="shared" si="932"/>
        <v>1</v>
      </c>
      <c r="AT3113" s="24" t="str">
        <f t="shared" si="933"/>
        <v>0-3 months</v>
      </c>
    </row>
    <row r="3114" spans="1:46" s="12" customFormat="1">
      <c r="A3114" s="33" t="str">
        <f t="shared" si="921"/>
        <v>FY 19/20</v>
      </c>
      <c r="B3114" s="152">
        <v>2019</v>
      </c>
      <c r="C3114" s="152">
        <v>8</v>
      </c>
      <c r="D3114" s="33" t="str">
        <f t="shared" si="922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23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24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38"/>
        <v>760000</v>
      </c>
      <c r="AA3114" s="13">
        <v>1.095</v>
      </c>
      <c r="AB3114" s="21">
        <f t="shared" si="925"/>
        <v>736460.17699115048</v>
      </c>
      <c r="AC3114" s="130">
        <f t="shared" si="926"/>
        <v>88375.221238938058</v>
      </c>
      <c r="AD3114" s="169">
        <v>0.12</v>
      </c>
      <c r="AE3114" s="154">
        <f t="shared" si="927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34"/>
        <v>477651199.57437885</v>
      </c>
      <c r="AJ3114" s="19">
        <f t="shared" si="935"/>
        <v>56918800.518691957</v>
      </c>
      <c r="AK3114" s="20">
        <f t="shared" si="928"/>
        <v>0.11916394341605475</v>
      </c>
      <c r="AL3114" s="17"/>
      <c r="AM3114" s="17"/>
      <c r="AN3114" s="17"/>
      <c r="AO3114" s="17"/>
      <c r="AP3114" s="28" t="str">
        <f t="shared" si="929"/>
        <v>CancelCancel</v>
      </c>
      <c r="AQ3114" s="28" t="str">
        <f t="shared" si="930"/>
        <v>CancelCancelRMB</v>
      </c>
      <c r="AR3114" s="206" t="str">
        <f t="shared" si="931"/>
        <v>YAMAHA_Mounter</v>
      </c>
      <c r="AS3114" s="22" t="str">
        <f t="shared" si="932"/>
        <v/>
      </c>
      <c r="AT3114" s="24" t="str">
        <f t="shared" si="933"/>
        <v/>
      </c>
    </row>
    <row r="3115" spans="1:46" s="12" customFormat="1">
      <c r="A3115" s="33" t="str">
        <f t="shared" si="921"/>
        <v>FY 19/20</v>
      </c>
      <c r="B3115" s="152">
        <v>2019</v>
      </c>
      <c r="C3115" s="152">
        <v>8</v>
      </c>
      <c r="D3115" s="33" t="str">
        <f t="shared" si="922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23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24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38"/>
        <v>550000</v>
      </c>
      <c r="AA3115" s="13">
        <v>1.095</v>
      </c>
      <c r="AB3115" s="21">
        <f t="shared" si="925"/>
        <v>532964.60176991147</v>
      </c>
      <c r="AC3115" s="130">
        <f t="shared" si="926"/>
        <v>63955.752212389372</v>
      </c>
      <c r="AD3115" s="169">
        <v>0.12</v>
      </c>
      <c r="AE3115" s="154">
        <f t="shared" si="927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34"/>
        <v>477651199.57437885</v>
      </c>
      <c r="AJ3115" s="19">
        <f t="shared" si="935"/>
        <v>56918800.518691957</v>
      </c>
      <c r="AK3115" s="20">
        <f t="shared" si="928"/>
        <v>0.11916394341605475</v>
      </c>
      <c r="AL3115" s="17"/>
      <c r="AM3115" s="17"/>
      <c r="AN3115" s="17"/>
      <c r="AO3115" s="17"/>
      <c r="AP3115" s="28" t="str">
        <f t="shared" si="929"/>
        <v>CancelCancel</v>
      </c>
      <c r="AQ3115" s="28" t="str">
        <f t="shared" si="930"/>
        <v>CancelCancelRMB</v>
      </c>
      <c r="AR3115" s="206" t="str">
        <f t="shared" si="931"/>
        <v>YAMAHA_Mounter</v>
      </c>
      <c r="AS3115" s="22" t="str">
        <f t="shared" si="932"/>
        <v/>
      </c>
      <c r="AT3115" s="24" t="str">
        <f t="shared" si="933"/>
        <v/>
      </c>
    </row>
    <row r="3116" spans="1:46" s="12" customFormat="1">
      <c r="A3116" s="33" t="str">
        <f t="shared" ref="A3116:A3179" si="940">IF(C3116="cancel","cancel",IFERROR(IF(D3116="Q4","FY "&amp;RIGHT(B3116,2)-1&amp;"/"&amp;RIGHT(B3116,2),"FY "&amp;RIGHT(B3116,2)&amp;"/"&amp;RIGHT(B3116,2)+1),""))</f>
        <v>FY 19/20</v>
      </c>
      <c r="B3116" s="152">
        <v>2019</v>
      </c>
      <c r="C3116" s="152">
        <v>8</v>
      </c>
      <c r="D3116" s="33" t="str">
        <f t="shared" ref="D3116:D3179" si="941">IF(B3116="","",IF(AND(C3116&gt;=10,C3116&lt;=12),"Q3",IF(AND(C3116&gt;=1,C3116&lt;=3),"Q4",IF(AND(C3116&gt;=7,C3116&lt;=9),"Q2",IF(AND(C3116&gt;=4,C3116&lt;=6),"Q1")))))</f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ref="I3116:I3179" si="942">IFERROR(IF(F3116="","",IF(F3116="TBA","TBA",IF(F3116="Cancel","Cancel",IF(AND(G3116&gt;=10,G3116&lt;=12),"Q3",IF(AND(G3116&gt;=1,G3116&lt;=3),"Q4",IF(AND(G3116&gt;=7,G3116&lt;=9),"Q2",IF(AND(G3116&gt;=4,G3116&lt;=6),"Q1"))))))),"")</f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ref="P3116:P3179" si="943">IF(M3116="","",IF(AND(N3116&gt;0,L3116&lt;&gt;""),"MAIN UNIT",IF(AND(O3116&gt;0,L3116&lt;&gt;""),"SERVICE/ PARTS","C66 SERVICE/OTHERS")))</f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38"/>
        <v>550000</v>
      </c>
      <c r="AA3116" s="13">
        <v>1.095</v>
      </c>
      <c r="AB3116" s="21">
        <f t="shared" ref="AB3116:AB3179" si="944">IF(AND(R3116&lt;&gt;"C66",R3116&lt;&gt;""),Z3116/Y3116*AA3116,"")</f>
        <v>532964.60176991147</v>
      </c>
      <c r="AC3116" s="130">
        <f t="shared" ref="AC3116:AC3179" si="945">IF(R3116&lt;&gt;"",AB3116*AD3116,"")</f>
        <v>63955.752212389372</v>
      </c>
      <c r="AD3116" s="169">
        <v>0.12</v>
      </c>
      <c r="AE3116" s="154">
        <f t="shared" ref="AE3116:AE3179" si="946">IF(Q3116="","",IF(Q3116="Yes",1,0))</f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34"/>
        <v>477651199.57437885</v>
      </c>
      <c r="AJ3116" s="19">
        <f t="shared" si="935"/>
        <v>56918800.518691957</v>
      </c>
      <c r="AK3116" s="20">
        <f t="shared" ref="AK3116:AK3179" si="947">IF(AJ3116&gt;0,AJ3116/AI3116,"")</f>
        <v>0.11916394341605475</v>
      </c>
      <c r="AL3116" s="17"/>
      <c r="AM3116" s="17"/>
      <c r="AN3116" s="17"/>
      <c r="AO3116" s="17"/>
      <c r="AP3116" s="28" t="str">
        <f t="shared" ref="AP3116:AP3179" si="948">IF(F3116="","",F3116&amp;G3116)</f>
        <v>CancelCancel</v>
      </c>
      <c r="AQ3116" s="28" t="str">
        <f t="shared" ref="AQ3116:AQ3179" si="949">IF(W3116="","",F3116&amp;G3116&amp;W3116)</f>
        <v>CancelCancelRMB</v>
      </c>
      <c r="AR3116" s="206" t="str">
        <f t="shared" ref="AR3116:AR3179" si="950">IFERROR(IF(AND(M3116="YAMAHA", R3116="C28"), "YAMAHA_Non_Mounter", IF(AND(M3116="YAMAHA", R3116="C49"), "YAMAHA_Mounter", M3116)),"")</f>
        <v>YAMAHA_Mounter</v>
      </c>
      <c r="AS3116" s="22" t="str">
        <f t="shared" ref="AS3116:AS3179" si="951">IFERROR(IF(OR(G3116="TBA", G3116=""), "", DATEDIF(DATE(B3116, C3116, 1), DATE(F3116, G3116, 1), "M")),"")</f>
        <v/>
      </c>
      <c r="AT3116" s="24" t="str">
        <f t="shared" ref="AT3116:AT3179" si="952">IF(ISNUMBER(AS3116), IF(AS3116&gt;=0, IF(AS3116&lt;=3, "0-3 months", IF(AS3116&lt;=6, "4-6 months", "&gt; 6 months"))), "")</f>
        <v/>
      </c>
    </row>
    <row r="3117" spans="1:46" s="12" customFormat="1">
      <c r="A3117" s="33" t="str">
        <f t="shared" si="940"/>
        <v>FY 21/22</v>
      </c>
      <c r="B3117" s="152">
        <v>2021</v>
      </c>
      <c r="C3117" s="152">
        <v>11</v>
      </c>
      <c r="D3117" s="33" t="str">
        <f t="shared" si="941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42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43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38"/>
        <v>874688</v>
      </c>
      <c r="AA3117" s="13">
        <v>1.2150000000000001</v>
      </c>
      <c r="AB3117" s="21">
        <f t="shared" si="944"/>
        <v>940483.11504424794</v>
      </c>
      <c r="AC3117" s="130">
        <f t="shared" si="945"/>
        <v>80693.451270796475</v>
      </c>
      <c r="AD3117" s="169">
        <v>8.5800000000000001E-2</v>
      </c>
      <c r="AE3117" s="154">
        <f t="shared" si="946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34"/>
        <v>25380121.402654871</v>
      </c>
      <c r="AJ3117" s="19">
        <f t="shared" si="935"/>
        <v>3850343.1237796471</v>
      </c>
      <c r="AK3117" s="20">
        <f t="shared" si="947"/>
        <v>0.1517070412191521</v>
      </c>
      <c r="AL3117" s="17"/>
      <c r="AM3117" s="17"/>
      <c r="AN3117" s="17"/>
      <c r="AO3117" s="17"/>
      <c r="AP3117" s="28" t="str">
        <f t="shared" si="948"/>
        <v>202112</v>
      </c>
      <c r="AQ3117" s="28" t="str">
        <f t="shared" si="949"/>
        <v>202112RMB</v>
      </c>
      <c r="AR3117" s="206" t="str">
        <f t="shared" si="950"/>
        <v>YAMAHA_Mounter</v>
      </c>
      <c r="AS3117" s="22">
        <f t="shared" si="951"/>
        <v>1</v>
      </c>
      <c r="AT3117" s="24" t="str">
        <f t="shared" si="952"/>
        <v>0-3 months</v>
      </c>
    </row>
    <row r="3118" spans="1:46" s="12" customFormat="1">
      <c r="A3118" s="33" t="str">
        <f t="shared" si="940"/>
        <v>FY 21/22</v>
      </c>
      <c r="B3118" s="152">
        <v>2021</v>
      </c>
      <c r="C3118" s="152">
        <v>11</v>
      </c>
      <c r="D3118" s="33" t="str">
        <f t="shared" si="941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42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43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38"/>
        <v>7020000</v>
      </c>
      <c r="AA3118" s="13">
        <v>6.9199999999999998E-2</v>
      </c>
      <c r="AB3118" s="21">
        <f t="shared" si="944"/>
        <v>485784</v>
      </c>
      <c r="AC3118" s="130">
        <f t="shared" si="945"/>
        <v>58002.609600000003</v>
      </c>
      <c r="AD3118" s="169">
        <v>0.11940000000000001</v>
      </c>
      <c r="AE3118" s="154">
        <f t="shared" si="946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34"/>
        <v>28726768.133805312</v>
      </c>
      <c r="AJ3118" s="19">
        <f t="shared" si="935"/>
        <v>3853638.1988864429</v>
      </c>
      <c r="AK3118" s="20">
        <f t="shared" si="947"/>
        <v>0.1341479898099476</v>
      </c>
      <c r="AL3118" s="17"/>
      <c r="AM3118" s="17"/>
      <c r="AN3118" s="17"/>
      <c r="AO3118" s="17"/>
      <c r="AP3118" s="28" t="str">
        <f t="shared" si="948"/>
        <v>20223</v>
      </c>
      <c r="AQ3118" s="28" t="str">
        <f t="shared" si="949"/>
        <v>20223JPY</v>
      </c>
      <c r="AR3118" s="206" t="str">
        <f t="shared" si="950"/>
        <v>YAMAHA_Mounter</v>
      </c>
      <c r="AS3118" s="22">
        <f t="shared" si="951"/>
        <v>4</v>
      </c>
      <c r="AT3118" s="24" t="str">
        <f t="shared" si="952"/>
        <v>4-6 months</v>
      </c>
    </row>
    <row r="3119" spans="1:46" s="12" customFormat="1">
      <c r="A3119" s="33" t="str">
        <f t="shared" si="940"/>
        <v>FY 19/20</v>
      </c>
      <c r="B3119" s="152">
        <v>2019</v>
      </c>
      <c r="C3119" s="152">
        <v>9</v>
      </c>
      <c r="D3119" s="33" t="str">
        <f t="shared" si="941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42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43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38"/>
        <v>550000</v>
      </c>
      <c r="AA3119" s="13">
        <v>1.095</v>
      </c>
      <c r="AB3119" s="21">
        <f t="shared" si="944"/>
        <v>532964.60176991147</v>
      </c>
      <c r="AC3119" s="130">
        <f t="shared" si="945"/>
        <v>55161.836283185832</v>
      </c>
      <c r="AD3119" s="169">
        <v>0.10349999999999999</v>
      </c>
      <c r="AE3119" s="154">
        <f t="shared" si="946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34"/>
        <v>28647263.974455759</v>
      </c>
      <c r="AJ3119" s="19">
        <f t="shared" si="935"/>
        <v>3219855.6912513468</v>
      </c>
      <c r="AK3119" s="20">
        <f t="shared" si="947"/>
        <v>0.11239662168514358</v>
      </c>
      <c r="AL3119" s="17"/>
      <c r="AM3119" s="17"/>
      <c r="AN3119" s="17"/>
      <c r="AO3119" s="17"/>
      <c r="AP3119" s="28" t="str">
        <f t="shared" si="948"/>
        <v>201910</v>
      </c>
      <c r="AQ3119" s="28" t="str">
        <f t="shared" si="949"/>
        <v>201910RMB</v>
      </c>
      <c r="AR3119" s="206" t="str">
        <f t="shared" si="950"/>
        <v>YAMAHA_Mounter</v>
      </c>
      <c r="AS3119" s="22">
        <f t="shared" si="951"/>
        <v>1</v>
      </c>
      <c r="AT3119" s="24" t="str">
        <f t="shared" si="952"/>
        <v>0-3 months</v>
      </c>
    </row>
    <row r="3120" spans="1:46" s="12" customFormat="1">
      <c r="A3120" s="33" t="str">
        <f t="shared" si="940"/>
        <v>FY 19/20</v>
      </c>
      <c r="B3120" s="152">
        <v>2019</v>
      </c>
      <c r="C3120" s="152">
        <v>9</v>
      </c>
      <c r="D3120" s="33" t="str">
        <f t="shared" si="941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42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43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38"/>
        <v>944400</v>
      </c>
      <c r="AA3120" s="13">
        <v>1.095</v>
      </c>
      <c r="AB3120" s="21">
        <f t="shared" si="944"/>
        <v>915148.67256637174</v>
      </c>
      <c r="AC3120" s="130">
        <f t="shared" si="945"/>
        <v>94717.887610619466</v>
      </c>
      <c r="AD3120" s="169">
        <v>0.10349999999999999</v>
      </c>
      <c r="AE3120" s="154">
        <f t="shared" si="946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34"/>
        <v>28647263.974455759</v>
      </c>
      <c r="AJ3120" s="19">
        <f t="shared" si="935"/>
        <v>3219855.6912513468</v>
      </c>
      <c r="AK3120" s="20">
        <f t="shared" si="947"/>
        <v>0.11239662168514358</v>
      </c>
      <c r="AL3120" s="17"/>
      <c r="AM3120" s="17"/>
      <c r="AN3120" s="17"/>
      <c r="AO3120" s="17"/>
      <c r="AP3120" s="28" t="str">
        <f t="shared" si="948"/>
        <v>201910</v>
      </c>
      <c r="AQ3120" s="28" t="str">
        <f t="shared" si="949"/>
        <v>201910RMB</v>
      </c>
      <c r="AR3120" s="206" t="str">
        <f t="shared" si="950"/>
        <v>YAMAHA_Mounter</v>
      </c>
      <c r="AS3120" s="22">
        <f t="shared" si="951"/>
        <v>1</v>
      </c>
      <c r="AT3120" s="24" t="str">
        <f t="shared" si="952"/>
        <v>0-3 months</v>
      </c>
    </row>
    <row r="3121" spans="1:46" s="12" customFormat="1">
      <c r="A3121" s="33" t="str">
        <f t="shared" si="940"/>
        <v>FY 21/22</v>
      </c>
      <c r="B3121" s="152">
        <v>2021</v>
      </c>
      <c r="C3121" s="152">
        <v>4</v>
      </c>
      <c r="D3121" s="33" t="str">
        <f t="shared" si="941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42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43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38"/>
        <v>8600000</v>
      </c>
      <c r="AA3121" s="13">
        <v>7.0000000000000007E-2</v>
      </c>
      <c r="AB3121" s="21">
        <f t="shared" si="944"/>
        <v>602000</v>
      </c>
      <c r="AC3121" s="130">
        <f t="shared" si="945"/>
        <v>72240</v>
      </c>
      <c r="AD3121" s="169">
        <v>0.12</v>
      </c>
      <c r="AE3121" s="154">
        <f t="shared" si="946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34"/>
        <v>477651199.57437885</v>
      </c>
      <c r="AJ3121" s="19">
        <f t="shared" si="935"/>
        <v>56918800.518691957</v>
      </c>
      <c r="AK3121" s="20">
        <f t="shared" si="947"/>
        <v>0.11916394341605475</v>
      </c>
      <c r="AL3121" s="17"/>
      <c r="AM3121" s="17"/>
      <c r="AN3121" s="17"/>
      <c r="AO3121" s="17"/>
      <c r="AP3121" s="28" t="str">
        <f t="shared" si="948"/>
        <v>CancelCANCEL</v>
      </c>
      <c r="AQ3121" s="28" t="str">
        <f t="shared" si="949"/>
        <v>CancelCANCELJPY</v>
      </c>
      <c r="AR3121" s="206" t="str">
        <f t="shared" si="950"/>
        <v>YAMAHA_Mounter</v>
      </c>
      <c r="AS3121" s="22" t="str">
        <f t="shared" si="951"/>
        <v/>
      </c>
      <c r="AT3121" s="24" t="str">
        <f t="shared" si="952"/>
        <v/>
      </c>
    </row>
    <row r="3122" spans="1:46" s="12" customFormat="1">
      <c r="A3122" s="33" t="str">
        <f t="shared" si="940"/>
        <v>FY 21/22</v>
      </c>
      <c r="B3122" s="152">
        <v>2021</v>
      </c>
      <c r="C3122" s="152">
        <v>4</v>
      </c>
      <c r="D3122" s="33" t="str">
        <f t="shared" si="941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42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43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38"/>
        <v>12000000</v>
      </c>
      <c r="AA3122" s="13">
        <v>7.0000000000000007E-2</v>
      </c>
      <c r="AB3122" s="21">
        <f t="shared" si="944"/>
        <v>840000.00000000012</v>
      </c>
      <c r="AC3122" s="130">
        <f t="shared" si="945"/>
        <v>100800.00000000001</v>
      </c>
      <c r="AD3122" s="169">
        <v>0.12</v>
      </c>
      <c r="AE3122" s="154">
        <f t="shared" si="946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34"/>
        <v>477651199.57437885</v>
      </c>
      <c r="AJ3122" s="19">
        <f t="shared" si="935"/>
        <v>56918800.518691957</v>
      </c>
      <c r="AK3122" s="20">
        <f t="shared" si="947"/>
        <v>0.11916394341605475</v>
      </c>
      <c r="AL3122" s="17"/>
      <c r="AM3122" s="17"/>
      <c r="AN3122" s="17"/>
      <c r="AO3122" s="17"/>
      <c r="AP3122" s="28" t="str">
        <f t="shared" si="948"/>
        <v>CancelCANCEL</v>
      </c>
      <c r="AQ3122" s="28" t="str">
        <f t="shared" si="949"/>
        <v>CancelCANCELJPY</v>
      </c>
      <c r="AR3122" s="206" t="str">
        <f t="shared" si="950"/>
        <v>YAMAHA_Mounter</v>
      </c>
      <c r="AS3122" s="22" t="str">
        <f t="shared" si="951"/>
        <v/>
      </c>
      <c r="AT3122" s="24" t="str">
        <f t="shared" si="952"/>
        <v/>
      </c>
    </row>
    <row r="3123" spans="1:46" s="12" customFormat="1">
      <c r="A3123" s="33" t="str">
        <f t="shared" si="940"/>
        <v>FY 20/21</v>
      </c>
      <c r="B3123" s="152">
        <v>2020</v>
      </c>
      <c r="C3123" s="152">
        <v>8</v>
      </c>
      <c r="D3123" s="33" t="str">
        <f t="shared" si="941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42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43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38"/>
        <v>770000</v>
      </c>
      <c r="AA3123" s="13">
        <v>1.1850000000000001</v>
      </c>
      <c r="AB3123" s="21">
        <f t="shared" si="944"/>
        <v>807477.8761061948</v>
      </c>
      <c r="AC3123" s="130">
        <f t="shared" si="945"/>
        <v>130084.68584070797</v>
      </c>
      <c r="AD3123" s="169">
        <v>0.16109999999999999</v>
      </c>
      <c r="AE3123" s="154">
        <f t="shared" si="946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34"/>
        <v>45803245.025628321</v>
      </c>
      <c r="AJ3123" s="19">
        <f t="shared" si="935"/>
        <v>5664636.2584379362</v>
      </c>
      <c r="AK3123" s="20">
        <f t="shared" si="947"/>
        <v>0.12367325186825515</v>
      </c>
      <c r="AL3123" s="17"/>
      <c r="AM3123" s="17"/>
      <c r="AN3123" s="17"/>
      <c r="AO3123" s="17"/>
      <c r="AP3123" s="28" t="str">
        <f t="shared" si="948"/>
        <v>20211</v>
      </c>
      <c r="AQ3123" s="28" t="str">
        <f t="shared" si="949"/>
        <v>20211RMB</v>
      </c>
      <c r="AR3123" s="206" t="str">
        <f t="shared" si="950"/>
        <v>YAMAHA_Mounter</v>
      </c>
      <c r="AS3123" s="22">
        <f t="shared" si="951"/>
        <v>5</v>
      </c>
      <c r="AT3123" s="24" t="str">
        <f t="shared" si="952"/>
        <v>4-6 months</v>
      </c>
    </row>
    <row r="3124" spans="1:46" s="12" customFormat="1">
      <c r="A3124" s="33" t="str">
        <f t="shared" si="940"/>
        <v>FY 20/21</v>
      </c>
      <c r="B3124" s="152">
        <v>2020</v>
      </c>
      <c r="C3124" s="152">
        <v>8</v>
      </c>
      <c r="D3124" s="33" t="str">
        <f t="shared" si="941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42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43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38"/>
        <v>1000000</v>
      </c>
      <c r="AA3124" s="13">
        <v>1.1850000000000001</v>
      </c>
      <c r="AB3124" s="21">
        <f t="shared" si="944"/>
        <v>1048672.5663716816</v>
      </c>
      <c r="AC3124" s="130">
        <f t="shared" si="945"/>
        <v>168941.1504424779</v>
      </c>
      <c r="AD3124" s="169">
        <v>0.16109999999999999</v>
      </c>
      <c r="AE3124" s="154">
        <f t="shared" si="946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34"/>
        <v>45803245.025628321</v>
      </c>
      <c r="AJ3124" s="19">
        <f t="shared" si="935"/>
        <v>5664636.2584379362</v>
      </c>
      <c r="AK3124" s="20">
        <f t="shared" si="947"/>
        <v>0.12367325186825515</v>
      </c>
      <c r="AL3124" s="17"/>
      <c r="AM3124" s="17"/>
      <c r="AN3124" s="17"/>
      <c r="AO3124" s="17"/>
      <c r="AP3124" s="28" t="str">
        <f t="shared" si="948"/>
        <v>20211</v>
      </c>
      <c r="AQ3124" s="28" t="str">
        <f t="shared" si="949"/>
        <v>20211RMB</v>
      </c>
      <c r="AR3124" s="206" t="str">
        <f t="shared" si="950"/>
        <v>YAMAHA_Mounter</v>
      </c>
      <c r="AS3124" s="22">
        <f t="shared" si="951"/>
        <v>5</v>
      </c>
      <c r="AT3124" s="24" t="str">
        <f t="shared" si="952"/>
        <v>4-6 months</v>
      </c>
    </row>
    <row r="3125" spans="1:46" s="12" customFormat="1">
      <c r="A3125" s="33" t="str">
        <f t="shared" si="940"/>
        <v>FY 20/21</v>
      </c>
      <c r="B3125" s="152">
        <v>2021</v>
      </c>
      <c r="C3125" s="152">
        <v>3</v>
      </c>
      <c r="D3125" s="33" t="str">
        <f t="shared" si="941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42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43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38"/>
        <v>13887500</v>
      </c>
      <c r="AA3125" s="13">
        <v>7.17E-2</v>
      </c>
      <c r="AB3125" s="21">
        <f t="shared" si="944"/>
        <v>995733.75</v>
      </c>
      <c r="AC3125" s="130">
        <f t="shared" si="945"/>
        <v>131337.281625</v>
      </c>
      <c r="AD3125" s="169">
        <v>0.13189999999999999</v>
      </c>
      <c r="AE3125" s="154">
        <f t="shared" si="946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34"/>
        <v>41443303.53761062</v>
      </c>
      <c r="AJ3125" s="19">
        <f t="shared" si="935"/>
        <v>6194988.76643031</v>
      </c>
      <c r="AK3125" s="20">
        <f t="shared" si="947"/>
        <v>0.1494810557466355</v>
      </c>
      <c r="AL3125" s="17"/>
      <c r="AM3125" s="17"/>
      <c r="AN3125" s="17"/>
      <c r="AO3125" s="17"/>
      <c r="AP3125" s="28" t="str">
        <f t="shared" si="948"/>
        <v>20217</v>
      </c>
      <c r="AQ3125" s="28" t="str">
        <f t="shared" si="949"/>
        <v>20217JPY</v>
      </c>
      <c r="AR3125" s="206" t="str">
        <f t="shared" si="950"/>
        <v>YAMAHA_Mounter</v>
      </c>
      <c r="AS3125" s="22">
        <f t="shared" si="951"/>
        <v>4</v>
      </c>
      <c r="AT3125" s="24" t="str">
        <f t="shared" si="952"/>
        <v>4-6 months</v>
      </c>
    </row>
    <row r="3126" spans="1:46" s="12" customFormat="1">
      <c r="A3126" s="33" t="str">
        <f t="shared" si="940"/>
        <v>FY 22/23</v>
      </c>
      <c r="B3126" s="152">
        <v>2023</v>
      </c>
      <c r="C3126" s="152">
        <v>1</v>
      </c>
      <c r="D3126" s="33" t="str">
        <f t="shared" si="941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42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43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38"/>
        <v>600000</v>
      </c>
      <c r="AA3126" s="13">
        <v>1.1200000000000001</v>
      </c>
      <c r="AB3126" s="21">
        <f t="shared" si="944"/>
        <v>594690.26548672584</v>
      </c>
      <c r="AC3126" s="130">
        <f t="shared" si="945"/>
        <v>77844.955752212409</v>
      </c>
      <c r="AD3126" s="169">
        <v>0.13089999999999999</v>
      </c>
      <c r="AE3126" s="154">
        <f t="shared" si="946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34"/>
        <v>7502645.9971681423</v>
      </c>
      <c r="AJ3126" s="19">
        <f t="shared" si="935"/>
        <v>664841.72044240718</v>
      </c>
      <c r="AK3126" s="20">
        <f t="shared" si="947"/>
        <v>8.861429963420242E-2</v>
      </c>
      <c r="AL3126" s="17"/>
      <c r="AM3126" s="17"/>
      <c r="AN3126" s="17"/>
      <c r="AO3126" s="17"/>
      <c r="AP3126" s="28" t="str">
        <f t="shared" si="948"/>
        <v>20231</v>
      </c>
      <c r="AQ3126" s="28" t="str">
        <f t="shared" si="949"/>
        <v>20231RMB</v>
      </c>
      <c r="AR3126" s="206" t="str">
        <f t="shared" si="950"/>
        <v>YAMAHA_Mounter</v>
      </c>
      <c r="AS3126" s="22">
        <f t="shared" si="951"/>
        <v>0</v>
      </c>
      <c r="AT3126" s="24" t="str">
        <f t="shared" si="952"/>
        <v>0-3 months</v>
      </c>
    </row>
    <row r="3127" spans="1:46" s="12" customFormat="1">
      <c r="A3127" s="33" t="str">
        <f t="shared" si="940"/>
        <v>FY 22/23</v>
      </c>
      <c r="B3127" s="152">
        <v>2023</v>
      </c>
      <c r="C3127" s="152">
        <v>1</v>
      </c>
      <c r="D3127" s="33" t="str">
        <f t="shared" si="941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42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43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38"/>
        <v>800000</v>
      </c>
      <c r="AA3127" s="13">
        <v>1.1200000000000001</v>
      </c>
      <c r="AB3127" s="21">
        <f t="shared" si="944"/>
        <v>792920.35398230108</v>
      </c>
      <c r="AC3127" s="130">
        <f t="shared" si="945"/>
        <v>103793.2743362832</v>
      </c>
      <c r="AD3127" s="169">
        <v>0.13089999999999999</v>
      </c>
      <c r="AE3127" s="154">
        <f t="shared" si="946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34"/>
        <v>7502645.9971681423</v>
      </c>
      <c r="AJ3127" s="19">
        <f t="shared" si="935"/>
        <v>664841.72044240718</v>
      </c>
      <c r="AK3127" s="20">
        <f t="shared" si="947"/>
        <v>8.861429963420242E-2</v>
      </c>
      <c r="AL3127" s="17"/>
      <c r="AM3127" s="17"/>
      <c r="AN3127" s="17"/>
      <c r="AO3127" s="17"/>
      <c r="AP3127" s="28" t="str">
        <f t="shared" si="948"/>
        <v>20231</v>
      </c>
      <c r="AQ3127" s="28" t="str">
        <f t="shared" si="949"/>
        <v>20231RMB</v>
      </c>
      <c r="AR3127" s="206" t="str">
        <f t="shared" si="950"/>
        <v>YAMAHA_Mounter</v>
      </c>
      <c r="AS3127" s="22">
        <f t="shared" si="951"/>
        <v>0</v>
      </c>
      <c r="AT3127" s="24" t="str">
        <f t="shared" si="952"/>
        <v>0-3 months</v>
      </c>
    </row>
    <row r="3128" spans="1:46" s="12" customFormat="1">
      <c r="A3128" s="33" t="str">
        <f t="shared" si="940"/>
        <v>FY 19/20</v>
      </c>
      <c r="B3128" s="152">
        <v>2019</v>
      </c>
      <c r="C3128" s="152">
        <v>12</v>
      </c>
      <c r="D3128" s="33" t="str">
        <f t="shared" si="941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42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43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38"/>
        <v>15830000</v>
      </c>
      <c r="AA3128" s="13">
        <v>7.3599999999999999E-2</v>
      </c>
      <c r="AB3128" s="21">
        <f t="shared" si="944"/>
        <v>1165088</v>
      </c>
      <c r="AC3128" s="130">
        <f t="shared" si="945"/>
        <v>282184.31359999999</v>
      </c>
      <c r="AD3128" s="169">
        <v>0.2422</v>
      </c>
      <c r="AE3128" s="154">
        <f t="shared" si="946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34"/>
        <v>33477255.428389374</v>
      </c>
      <c r="AJ3128" s="19">
        <f t="shared" si="935"/>
        <v>4578663.362915583</v>
      </c>
      <c r="AK3128" s="20">
        <f t="shared" si="947"/>
        <v>0.13676937682988152</v>
      </c>
      <c r="AL3128" s="17"/>
      <c r="AM3128" s="17"/>
      <c r="AN3128" s="17"/>
      <c r="AO3128" s="17"/>
      <c r="AP3128" s="28" t="str">
        <f t="shared" si="948"/>
        <v>20204</v>
      </c>
      <c r="AQ3128" s="28" t="str">
        <f t="shared" si="949"/>
        <v>20204JPY</v>
      </c>
      <c r="AR3128" s="206" t="str">
        <f t="shared" si="950"/>
        <v>YAMAHA_Mounter</v>
      </c>
      <c r="AS3128" s="22">
        <f t="shared" si="951"/>
        <v>4</v>
      </c>
      <c r="AT3128" s="24" t="str">
        <f t="shared" si="952"/>
        <v>4-6 months</v>
      </c>
    </row>
    <row r="3129" spans="1:46" s="12" customFormat="1">
      <c r="A3129" s="33" t="str">
        <f t="shared" si="940"/>
        <v>FY 19/20</v>
      </c>
      <c r="B3129" s="152">
        <v>2019</v>
      </c>
      <c r="C3129" s="152">
        <v>12</v>
      </c>
      <c r="D3129" s="33" t="str">
        <f t="shared" si="941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42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43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38"/>
        <v>15830000</v>
      </c>
      <c r="AA3129" s="13">
        <v>7.3599999999999999E-2</v>
      </c>
      <c r="AB3129" s="21">
        <f t="shared" si="944"/>
        <v>1165088</v>
      </c>
      <c r="AC3129" s="130">
        <f t="shared" si="945"/>
        <v>282184.31359999999</v>
      </c>
      <c r="AD3129" s="169">
        <v>0.2422</v>
      </c>
      <c r="AE3129" s="154">
        <f t="shared" si="946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34"/>
        <v>33477255.428389374</v>
      </c>
      <c r="AJ3129" s="19">
        <f t="shared" si="935"/>
        <v>4578663.362915583</v>
      </c>
      <c r="AK3129" s="20">
        <f t="shared" si="947"/>
        <v>0.13676937682988152</v>
      </c>
      <c r="AL3129" s="17"/>
      <c r="AM3129" s="17"/>
      <c r="AN3129" s="17"/>
      <c r="AO3129" s="17"/>
      <c r="AP3129" s="28" t="str">
        <f t="shared" si="948"/>
        <v>20204</v>
      </c>
      <c r="AQ3129" s="28" t="str">
        <f t="shared" si="949"/>
        <v>20204JPY</v>
      </c>
      <c r="AR3129" s="206" t="str">
        <f t="shared" si="950"/>
        <v>YAMAHA_Mounter</v>
      </c>
      <c r="AS3129" s="22">
        <f t="shared" si="951"/>
        <v>4</v>
      </c>
      <c r="AT3129" s="24" t="str">
        <f t="shared" si="952"/>
        <v>4-6 months</v>
      </c>
    </row>
    <row r="3130" spans="1:46" s="12" customFormat="1">
      <c r="A3130" s="33" t="str">
        <f t="shared" si="940"/>
        <v>FY 19/20</v>
      </c>
      <c r="B3130" s="152">
        <v>2019</v>
      </c>
      <c r="C3130" s="152">
        <v>12</v>
      </c>
      <c r="D3130" s="33" t="str">
        <f t="shared" si="941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42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43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38"/>
        <v>15830000</v>
      </c>
      <c r="AA3130" s="13">
        <v>7.3599999999999999E-2</v>
      </c>
      <c r="AB3130" s="21">
        <f t="shared" si="944"/>
        <v>1165088</v>
      </c>
      <c r="AC3130" s="130">
        <f t="shared" si="945"/>
        <v>282184.31359999999</v>
      </c>
      <c r="AD3130" s="169">
        <v>0.2422</v>
      </c>
      <c r="AE3130" s="154">
        <f t="shared" si="946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34"/>
        <v>33477255.428389374</v>
      </c>
      <c r="AJ3130" s="19">
        <f t="shared" si="935"/>
        <v>4578663.362915583</v>
      </c>
      <c r="AK3130" s="20">
        <f t="shared" si="947"/>
        <v>0.13676937682988152</v>
      </c>
      <c r="AL3130" s="17"/>
      <c r="AM3130" s="17"/>
      <c r="AN3130" s="17"/>
      <c r="AO3130" s="17"/>
      <c r="AP3130" s="28" t="str">
        <f t="shared" si="948"/>
        <v>20204</v>
      </c>
      <c r="AQ3130" s="28" t="str">
        <f t="shared" si="949"/>
        <v>20204JPY</v>
      </c>
      <c r="AR3130" s="206" t="str">
        <f t="shared" si="950"/>
        <v>YAMAHA_Mounter</v>
      </c>
      <c r="AS3130" s="22">
        <f t="shared" si="951"/>
        <v>4</v>
      </c>
      <c r="AT3130" s="24" t="str">
        <f t="shared" si="952"/>
        <v>4-6 months</v>
      </c>
    </row>
    <row r="3131" spans="1:46" s="12" customFormat="1">
      <c r="A3131" s="33" t="str">
        <f t="shared" si="940"/>
        <v>FY 20/21</v>
      </c>
      <c r="B3131" s="152">
        <v>2020</v>
      </c>
      <c r="C3131" s="152">
        <v>9</v>
      </c>
      <c r="D3131" s="33" t="str">
        <f t="shared" si="941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42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43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53">IF(W3131="RMB","1.13", "1")</f>
        <v>1</v>
      </c>
      <c r="Z3131" s="18">
        <f t="shared" si="938"/>
        <v>17531000</v>
      </c>
      <c r="AA3131" s="13">
        <v>7.6100000000000001E-2</v>
      </c>
      <c r="AB3131" s="21">
        <f t="shared" si="944"/>
        <v>1334109.1000000001</v>
      </c>
      <c r="AC3131" s="130">
        <f t="shared" si="945"/>
        <v>382222.25715000002</v>
      </c>
      <c r="AD3131" s="169">
        <v>0.28649999999999998</v>
      </c>
      <c r="AE3131" s="154">
        <f t="shared" si="946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34"/>
        <v>44078731.611185849</v>
      </c>
      <c r="AJ3131" s="19">
        <f t="shared" si="935"/>
        <v>5508173.2163771465</v>
      </c>
      <c r="AK3131" s="20">
        <f t="shared" si="947"/>
        <v>0.12496215328889679</v>
      </c>
      <c r="AL3131" s="17"/>
      <c r="AM3131" s="17"/>
      <c r="AN3131" s="17"/>
      <c r="AO3131" s="17"/>
      <c r="AP3131" s="28" t="str">
        <f t="shared" si="948"/>
        <v>202011</v>
      </c>
      <c r="AQ3131" s="28" t="str">
        <f t="shared" si="949"/>
        <v>202011JPY</v>
      </c>
      <c r="AR3131" s="206" t="str">
        <f t="shared" si="950"/>
        <v>YAMAHA_Mounter</v>
      </c>
      <c r="AS3131" s="22">
        <f t="shared" si="951"/>
        <v>2</v>
      </c>
      <c r="AT3131" s="24" t="str">
        <f t="shared" si="952"/>
        <v>0-3 months</v>
      </c>
    </row>
    <row r="3132" spans="1:46" s="12" customFormat="1">
      <c r="A3132" s="33" t="str">
        <f t="shared" si="940"/>
        <v>FY 20/21</v>
      </c>
      <c r="B3132" s="152">
        <v>2020</v>
      </c>
      <c r="C3132" s="152">
        <v>9</v>
      </c>
      <c r="D3132" s="33" t="str">
        <f t="shared" si="941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42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43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53"/>
        <v>1</v>
      </c>
      <c r="Z3132" s="18">
        <f t="shared" si="938"/>
        <v>17531000</v>
      </c>
      <c r="AA3132" s="13">
        <v>7.6100000000000001E-2</v>
      </c>
      <c r="AB3132" s="21">
        <f t="shared" si="944"/>
        <v>1334109.1000000001</v>
      </c>
      <c r="AC3132" s="130">
        <f t="shared" si="945"/>
        <v>382222.25715000002</v>
      </c>
      <c r="AD3132" s="169">
        <v>0.28649999999999998</v>
      </c>
      <c r="AE3132" s="154">
        <f t="shared" si="946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34"/>
        <v>48763143.537654862</v>
      </c>
      <c r="AJ3132" s="19">
        <f t="shared" si="935"/>
        <v>5924029.9702154724</v>
      </c>
      <c r="AK3132" s="20">
        <f t="shared" si="947"/>
        <v>0.1214858095774925</v>
      </c>
      <c r="AL3132" s="17"/>
      <c r="AM3132" s="17"/>
      <c r="AN3132" s="17"/>
      <c r="AO3132" s="17"/>
      <c r="AP3132" s="28" t="str">
        <f t="shared" si="948"/>
        <v>202012</v>
      </c>
      <c r="AQ3132" s="28" t="str">
        <f t="shared" si="949"/>
        <v>202012JPY</v>
      </c>
      <c r="AR3132" s="206" t="str">
        <f t="shared" si="950"/>
        <v>YAMAHA_Mounter</v>
      </c>
      <c r="AS3132" s="22">
        <f t="shared" si="951"/>
        <v>3</v>
      </c>
      <c r="AT3132" s="24" t="str">
        <f t="shared" si="952"/>
        <v>0-3 months</v>
      </c>
    </row>
    <row r="3133" spans="1:46" s="12" customFormat="1">
      <c r="A3133" s="33" t="str">
        <f t="shared" si="940"/>
        <v>FY 20/21</v>
      </c>
      <c r="B3133" s="152">
        <v>2021</v>
      </c>
      <c r="C3133" s="152">
        <v>1</v>
      </c>
      <c r="D3133" s="33" t="str">
        <f t="shared" si="941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42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43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53"/>
        <v>1</v>
      </c>
      <c r="Z3133" s="18">
        <f t="shared" si="938"/>
        <v>24630000</v>
      </c>
      <c r="AA3133" s="13">
        <v>7.17E-2</v>
      </c>
      <c r="AB3133" s="21">
        <f t="shared" si="944"/>
        <v>1765971</v>
      </c>
      <c r="AC3133" s="130">
        <f t="shared" si="945"/>
        <v>432486.29790000001</v>
      </c>
      <c r="AD3133" s="169">
        <v>0.24490000000000001</v>
      </c>
      <c r="AE3133" s="154">
        <f t="shared" si="946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34"/>
        <v>43684091.636631854</v>
      </c>
      <c r="AJ3133" s="19">
        <f t="shared" si="935"/>
        <v>6483951.8242071122</v>
      </c>
      <c r="AK3133" s="20">
        <f t="shared" si="947"/>
        <v>0.14842821680123736</v>
      </c>
      <c r="AL3133" s="17"/>
      <c r="AM3133" s="17"/>
      <c r="AN3133" s="17"/>
      <c r="AO3133" s="17"/>
      <c r="AP3133" s="28" t="str">
        <f t="shared" si="948"/>
        <v>20214</v>
      </c>
      <c r="AQ3133" s="28" t="str">
        <f t="shared" si="949"/>
        <v>20214JPY</v>
      </c>
      <c r="AR3133" s="206" t="str">
        <f t="shared" si="950"/>
        <v>YAMAHA_Mounter</v>
      </c>
      <c r="AS3133" s="22">
        <f t="shared" si="951"/>
        <v>3</v>
      </c>
      <c r="AT3133" s="24" t="str">
        <f t="shared" si="952"/>
        <v>0-3 months</v>
      </c>
    </row>
    <row r="3134" spans="1:46" s="12" customFormat="1">
      <c r="A3134" s="33" t="str">
        <f t="shared" si="940"/>
        <v>FY 20/21</v>
      </c>
      <c r="B3134" s="152">
        <v>2021</v>
      </c>
      <c r="C3134" s="152">
        <v>3</v>
      </c>
      <c r="D3134" s="33" t="str">
        <f t="shared" si="941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42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43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53"/>
        <v>1</v>
      </c>
      <c r="Z3134" s="18">
        <f t="shared" si="938"/>
        <v>18810000</v>
      </c>
      <c r="AA3134" s="13">
        <v>7.2099999999999997E-2</v>
      </c>
      <c r="AB3134" s="21">
        <f t="shared" si="944"/>
        <v>1356201</v>
      </c>
      <c r="AC3134" s="130">
        <f t="shared" si="945"/>
        <v>346644.97560000001</v>
      </c>
      <c r="AD3134" s="169">
        <v>0.25559999999999999</v>
      </c>
      <c r="AE3134" s="154">
        <f t="shared" si="946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34"/>
        <v>54700260.692079648</v>
      </c>
      <c r="AJ3134" s="19">
        <f t="shared" si="935"/>
        <v>7482899.5749188727</v>
      </c>
      <c r="AK3134" s="20">
        <f t="shared" si="947"/>
        <v>0.13679824337660537</v>
      </c>
      <c r="AL3134" s="17"/>
      <c r="AM3134" s="17"/>
      <c r="AN3134" s="17"/>
      <c r="AO3134" s="17"/>
      <c r="AP3134" s="28" t="str">
        <f t="shared" si="948"/>
        <v>20216</v>
      </c>
      <c r="AQ3134" s="28" t="str">
        <f t="shared" si="949"/>
        <v>20216JPY</v>
      </c>
      <c r="AR3134" s="206" t="str">
        <f t="shared" si="950"/>
        <v>YAMAHA_Mounter</v>
      </c>
      <c r="AS3134" s="22">
        <f t="shared" si="951"/>
        <v>3</v>
      </c>
      <c r="AT3134" s="24" t="str">
        <f t="shared" si="952"/>
        <v>0-3 months</v>
      </c>
    </row>
    <row r="3135" spans="1:46" s="12" customFormat="1">
      <c r="A3135" s="33" t="str">
        <f t="shared" si="940"/>
        <v>FY 20/21</v>
      </c>
      <c r="B3135" s="152">
        <v>2021</v>
      </c>
      <c r="C3135" s="152">
        <v>3</v>
      </c>
      <c r="D3135" s="33" t="str">
        <f t="shared" si="941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42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43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53"/>
        <v>1</v>
      </c>
      <c r="Z3135" s="18">
        <f t="shared" si="938"/>
        <v>18810000</v>
      </c>
      <c r="AA3135" s="13">
        <v>7.2099999999999997E-2</v>
      </c>
      <c r="AB3135" s="21">
        <f t="shared" si="944"/>
        <v>1356201</v>
      </c>
      <c r="AC3135" s="130">
        <f t="shared" si="945"/>
        <v>346644.97560000001</v>
      </c>
      <c r="AD3135" s="169">
        <v>0.25559999999999999</v>
      </c>
      <c r="AE3135" s="154">
        <f t="shared" si="946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34"/>
        <v>54700260.692079648</v>
      </c>
      <c r="AJ3135" s="19">
        <f t="shared" si="935"/>
        <v>7482899.5749188727</v>
      </c>
      <c r="AK3135" s="20">
        <f t="shared" si="947"/>
        <v>0.13679824337660537</v>
      </c>
      <c r="AL3135" s="17"/>
      <c r="AM3135" s="17"/>
      <c r="AN3135" s="17"/>
      <c r="AO3135" s="17"/>
      <c r="AP3135" s="28" t="str">
        <f t="shared" si="948"/>
        <v>20216</v>
      </c>
      <c r="AQ3135" s="28" t="str">
        <f t="shared" si="949"/>
        <v>20216JPY</v>
      </c>
      <c r="AR3135" s="206" t="str">
        <f t="shared" si="950"/>
        <v>YAMAHA_Mounter</v>
      </c>
      <c r="AS3135" s="22">
        <f t="shared" si="951"/>
        <v>3</v>
      </c>
      <c r="AT3135" s="24" t="str">
        <f t="shared" si="952"/>
        <v>0-3 months</v>
      </c>
    </row>
    <row r="3136" spans="1:46" s="12" customFormat="1">
      <c r="A3136" s="33" t="str">
        <f t="shared" si="940"/>
        <v>FY 20/21</v>
      </c>
      <c r="B3136" s="152">
        <v>2021</v>
      </c>
      <c r="C3136" s="152">
        <v>3</v>
      </c>
      <c r="D3136" s="33" t="str">
        <f t="shared" si="941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42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43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53"/>
        <v>1</v>
      </c>
      <c r="Z3136" s="18">
        <f t="shared" si="938"/>
        <v>16165000</v>
      </c>
      <c r="AA3136" s="13">
        <v>7.2099999999999997E-2</v>
      </c>
      <c r="AB3136" s="21">
        <f t="shared" si="944"/>
        <v>1165496.5</v>
      </c>
      <c r="AC3136" s="130">
        <f t="shared" si="945"/>
        <v>139859.57999999999</v>
      </c>
      <c r="AD3136" s="169">
        <v>0.12</v>
      </c>
      <c r="AE3136" s="154">
        <f t="shared" si="946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34"/>
        <v>477651199.57437885</v>
      </c>
      <c r="AJ3136" s="19">
        <f t="shared" si="935"/>
        <v>56918800.518691957</v>
      </c>
      <c r="AK3136" s="20">
        <f t="shared" si="947"/>
        <v>0.11916394341605475</v>
      </c>
      <c r="AL3136" s="17"/>
      <c r="AM3136" s="17"/>
      <c r="AN3136" s="17"/>
      <c r="AO3136" s="17"/>
      <c r="AP3136" s="28" t="str">
        <f t="shared" si="948"/>
        <v>CancelCANCEL</v>
      </c>
      <c r="AQ3136" s="28" t="str">
        <f t="shared" si="949"/>
        <v>CancelCANCELJPY</v>
      </c>
      <c r="AR3136" s="206" t="str">
        <f t="shared" si="950"/>
        <v>YAMAHA_Mounter</v>
      </c>
      <c r="AS3136" s="22" t="str">
        <f t="shared" si="951"/>
        <v/>
      </c>
      <c r="AT3136" s="24" t="str">
        <f t="shared" si="952"/>
        <v/>
      </c>
    </row>
    <row r="3137" spans="1:46" s="12" customFormat="1">
      <c r="A3137" s="33" t="str">
        <f t="shared" si="940"/>
        <v>FY 20/21</v>
      </c>
      <c r="B3137" s="152">
        <v>2021</v>
      </c>
      <c r="C3137" s="152">
        <v>3</v>
      </c>
      <c r="D3137" s="33" t="str">
        <f t="shared" si="941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42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43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53"/>
        <v>1</v>
      </c>
      <c r="Z3137" s="18">
        <f t="shared" si="938"/>
        <v>16165000</v>
      </c>
      <c r="AA3137" s="13">
        <v>7.2099999999999997E-2</v>
      </c>
      <c r="AB3137" s="21">
        <f t="shared" si="944"/>
        <v>1165496.5</v>
      </c>
      <c r="AC3137" s="130">
        <f t="shared" si="945"/>
        <v>139859.57999999999</v>
      </c>
      <c r="AD3137" s="169">
        <v>0.12</v>
      </c>
      <c r="AE3137" s="154">
        <f t="shared" si="946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34"/>
        <v>477651199.57437885</v>
      </c>
      <c r="AJ3137" s="19">
        <f t="shared" si="935"/>
        <v>56918800.518691957</v>
      </c>
      <c r="AK3137" s="20">
        <f t="shared" si="947"/>
        <v>0.11916394341605475</v>
      </c>
      <c r="AL3137" s="17"/>
      <c r="AM3137" s="17"/>
      <c r="AN3137" s="17"/>
      <c r="AO3137" s="17"/>
      <c r="AP3137" s="28" t="str">
        <f t="shared" si="948"/>
        <v>CancelCANCEL</v>
      </c>
      <c r="AQ3137" s="28" t="str">
        <f t="shared" si="949"/>
        <v>CancelCANCELJPY</v>
      </c>
      <c r="AR3137" s="206" t="str">
        <f t="shared" si="950"/>
        <v>YAMAHA_Mounter</v>
      </c>
      <c r="AS3137" s="22" t="str">
        <f t="shared" si="951"/>
        <v/>
      </c>
      <c r="AT3137" s="24" t="str">
        <f t="shared" si="952"/>
        <v/>
      </c>
    </row>
    <row r="3138" spans="1:46" s="12" customFormat="1">
      <c r="A3138" s="33" t="str">
        <f t="shared" si="940"/>
        <v>FY 20/21</v>
      </c>
      <c r="B3138" s="152">
        <v>2021</v>
      </c>
      <c r="C3138" s="152">
        <v>3</v>
      </c>
      <c r="D3138" s="33" t="str">
        <f t="shared" si="941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42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43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53"/>
        <v>1</v>
      </c>
      <c r="Z3138" s="18">
        <f t="shared" si="938"/>
        <v>16165000</v>
      </c>
      <c r="AA3138" s="13">
        <v>7.2099999999999997E-2</v>
      </c>
      <c r="AB3138" s="21">
        <f t="shared" si="944"/>
        <v>1165496.5</v>
      </c>
      <c r="AC3138" s="130">
        <f t="shared" si="945"/>
        <v>139859.57999999999</v>
      </c>
      <c r="AD3138" s="169">
        <v>0.12</v>
      </c>
      <c r="AE3138" s="154">
        <f t="shared" si="946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54">IF(P3138="C66 SERVICE","",SUMIFS(AB:AB,F:F,F3138,G:G,G3138,E:E,E3138))</f>
        <v>477651199.57437885</v>
      </c>
      <c r="AJ3138" s="19">
        <f t="shared" ref="AJ3138:AJ3201" si="955">IF(P3138="C66 SERVICE","",SUMIFS(AC:AC,F:F,F3138,G:G,G3138,E:E,E3138))</f>
        <v>56918800.518691957</v>
      </c>
      <c r="AK3138" s="20">
        <f t="shared" si="947"/>
        <v>0.11916394341605475</v>
      </c>
      <c r="AL3138" s="17"/>
      <c r="AM3138" s="17"/>
      <c r="AN3138" s="17"/>
      <c r="AO3138" s="17"/>
      <c r="AP3138" s="28" t="str">
        <f t="shared" si="948"/>
        <v>CancelCANCEL</v>
      </c>
      <c r="AQ3138" s="28" t="str">
        <f t="shared" si="949"/>
        <v>CancelCANCELJPY</v>
      </c>
      <c r="AR3138" s="206" t="str">
        <f t="shared" si="950"/>
        <v>YAMAHA_Mounter</v>
      </c>
      <c r="AS3138" s="22" t="str">
        <f t="shared" si="951"/>
        <v/>
      </c>
      <c r="AT3138" s="24" t="str">
        <f t="shared" si="952"/>
        <v/>
      </c>
    </row>
    <row r="3139" spans="1:46" s="12" customFormat="1">
      <c r="A3139" s="33" t="str">
        <f t="shared" si="940"/>
        <v>FY 20/21</v>
      </c>
      <c r="B3139" s="152">
        <v>2021</v>
      </c>
      <c r="C3139" s="152">
        <v>3</v>
      </c>
      <c r="D3139" s="33" t="str">
        <f t="shared" si="941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42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43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53"/>
        <v>1</v>
      </c>
      <c r="Z3139" s="18">
        <f t="shared" si="938"/>
        <v>16165000</v>
      </c>
      <c r="AA3139" s="13">
        <v>7.2099999999999997E-2</v>
      </c>
      <c r="AB3139" s="21">
        <f t="shared" si="944"/>
        <v>1165496.5</v>
      </c>
      <c r="AC3139" s="130">
        <f t="shared" si="945"/>
        <v>139859.57999999999</v>
      </c>
      <c r="AD3139" s="169">
        <v>0.12</v>
      </c>
      <c r="AE3139" s="154">
        <f t="shared" si="946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54"/>
        <v>477651199.57437885</v>
      </c>
      <c r="AJ3139" s="19">
        <f t="shared" si="955"/>
        <v>56918800.518691957</v>
      </c>
      <c r="AK3139" s="20">
        <f t="shared" si="947"/>
        <v>0.11916394341605475</v>
      </c>
      <c r="AL3139" s="17"/>
      <c r="AM3139" s="17"/>
      <c r="AN3139" s="17"/>
      <c r="AO3139" s="17"/>
      <c r="AP3139" s="28" t="str">
        <f t="shared" si="948"/>
        <v>CancelCANCEL</v>
      </c>
      <c r="AQ3139" s="28" t="str">
        <f t="shared" si="949"/>
        <v>CancelCANCELJPY</v>
      </c>
      <c r="AR3139" s="206" t="str">
        <f t="shared" si="950"/>
        <v>YAMAHA_Mounter</v>
      </c>
      <c r="AS3139" s="22" t="str">
        <f t="shared" si="951"/>
        <v/>
      </c>
      <c r="AT3139" s="24" t="str">
        <f t="shared" si="952"/>
        <v/>
      </c>
    </row>
    <row r="3140" spans="1:46" s="12" customFormat="1">
      <c r="A3140" s="33" t="str">
        <f t="shared" si="940"/>
        <v>FY 19/20</v>
      </c>
      <c r="B3140" s="152">
        <v>2019</v>
      </c>
      <c r="C3140" s="152">
        <v>12</v>
      </c>
      <c r="D3140" s="33" t="str">
        <f t="shared" si="941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42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43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53"/>
        <v>1</v>
      </c>
      <c r="Z3140" s="18">
        <f t="shared" si="938"/>
        <v>51000</v>
      </c>
      <c r="AA3140" s="13">
        <v>7.8</v>
      </c>
      <c r="AB3140" s="21">
        <f t="shared" si="944"/>
        <v>397800</v>
      </c>
      <c r="AC3140" s="130">
        <f t="shared" si="945"/>
        <v>99091.98</v>
      </c>
      <c r="AD3140" s="169">
        <v>0.24909999999999999</v>
      </c>
      <c r="AE3140" s="154">
        <f t="shared" si="946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54"/>
        <v>33477255.428389374</v>
      </c>
      <c r="AJ3140" s="19">
        <f t="shared" si="955"/>
        <v>4578663.362915583</v>
      </c>
      <c r="AK3140" s="20">
        <f t="shared" si="947"/>
        <v>0.13676937682988152</v>
      </c>
      <c r="AL3140" s="17"/>
      <c r="AM3140" s="17"/>
      <c r="AN3140" s="17"/>
      <c r="AO3140" s="17"/>
      <c r="AP3140" s="28" t="str">
        <f t="shared" si="948"/>
        <v>20204</v>
      </c>
      <c r="AQ3140" s="28" t="str">
        <f t="shared" si="949"/>
        <v>20204USD</v>
      </c>
      <c r="AR3140" s="206" t="str">
        <f t="shared" si="950"/>
        <v>PEMTRON</v>
      </c>
      <c r="AS3140" s="22">
        <f t="shared" si="951"/>
        <v>4</v>
      </c>
      <c r="AT3140" s="24" t="str">
        <f t="shared" si="952"/>
        <v>4-6 months</v>
      </c>
    </row>
    <row r="3141" spans="1:46" s="12" customFormat="1">
      <c r="A3141" s="33" t="str">
        <f t="shared" si="940"/>
        <v>FY 19/20</v>
      </c>
      <c r="B3141" s="152">
        <v>2019</v>
      </c>
      <c r="C3141" s="152">
        <v>12</v>
      </c>
      <c r="D3141" s="33" t="str">
        <f t="shared" si="941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42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43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53"/>
        <v>1</v>
      </c>
      <c r="Z3141" s="18">
        <f t="shared" si="938"/>
        <v>5820000</v>
      </c>
      <c r="AA3141" s="13">
        <v>7.3599999999999999E-2</v>
      </c>
      <c r="AB3141" s="21">
        <f t="shared" si="944"/>
        <v>428352</v>
      </c>
      <c r="AC3141" s="130">
        <f t="shared" si="945"/>
        <v>87597.983999999997</v>
      </c>
      <c r="AD3141" s="169">
        <v>0.20449999999999999</v>
      </c>
      <c r="AE3141" s="154">
        <f t="shared" si="946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54"/>
        <v>33477255.428389374</v>
      </c>
      <c r="AJ3141" s="19">
        <f t="shared" si="955"/>
        <v>4578663.362915583</v>
      </c>
      <c r="AK3141" s="20">
        <f t="shared" si="947"/>
        <v>0.13676937682988152</v>
      </c>
      <c r="AL3141" s="17"/>
      <c r="AM3141" s="17"/>
      <c r="AN3141" s="17"/>
      <c r="AO3141" s="17"/>
      <c r="AP3141" s="28" t="str">
        <f t="shared" si="948"/>
        <v>20204</v>
      </c>
      <c r="AQ3141" s="28" t="str">
        <f t="shared" si="949"/>
        <v>20204JPY</v>
      </c>
      <c r="AR3141" s="206" t="str">
        <f t="shared" si="950"/>
        <v>YAMAHA_Non_Mounter</v>
      </c>
      <c r="AS3141" s="22">
        <f t="shared" si="951"/>
        <v>4</v>
      </c>
      <c r="AT3141" s="24" t="str">
        <f t="shared" si="952"/>
        <v>4-6 months</v>
      </c>
    </row>
    <row r="3142" spans="1:46" s="12" customFormat="1">
      <c r="A3142" s="33" t="str">
        <f t="shared" si="940"/>
        <v>FY 19/20</v>
      </c>
      <c r="B3142" s="152">
        <v>2019</v>
      </c>
      <c r="C3142" s="152">
        <v>11</v>
      </c>
      <c r="D3142" s="33" t="str">
        <f t="shared" si="941"/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si="942"/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43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53"/>
        <v>1</v>
      </c>
      <c r="Z3142" s="18">
        <f t="shared" si="938"/>
        <v>79000</v>
      </c>
      <c r="AA3142" s="13">
        <v>7.8</v>
      </c>
      <c r="AB3142" s="21">
        <f t="shared" si="944"/>
        <v>616200</v>
      </c>
      <c r="AC3142" s="130">
        <f t="shared" si="945"/>
        <v>138090.41999999998</v>
      </c>
      <c r="AD3142" s="169">
        <v>0.22409999999999999</v>
      </c>
      <c r="AE3142" s="154">
        <f t="shared" si="946"/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54"/>
        <v>33477255.428389374</v>
      </c>
      <c r="AJ3142" s="19">
        <f t="shared" si="955"/>
        <v>4578663.362915583</v>
      </c>
      <c r="AK3142" s="20">
        <f t="shared" si="947"/>
        <v>0.13676937682988152</v>
      </c>
      <c r="AL3142" s="17"/>
      <c r="AM3142" s="17"/>
      <c r="AN3142" s="17"/>
      <c r="AO3142" s="17"/>
      <c r="AP3142" s="28" t="str">
        <f t="shared" si="948"/>
        <v>20204</v>
      </c>
      <c r="AQ3142" s="28" t="str">
        <f t="shared" si="949"/>
        <v>20204USD</v>
      </c>
      <c r="AR3142" s="206" t="str">
        <f t="shared" si="950"/>
        <v>HELLER</v>
      </c>
      <c r="AS3142" s="22">
        <f t="shared" si="951"/>
        <v>5</v>
      </c>
      <c r="AT3142" s="24" t="str">
        <f t="shared" si="952"/>
        <v>4-6 months</v>
      </c>
    </row>
    <row r="3143" spans="1:46" s="12" customFormat="1">
      <c r="A3143" s="33" t="str">
        <f t="shared" si="940"/>
        <v>FY 20/21</v>
      </c>
      <c r="B3143" s="152">
        <v>2020</v>
      </c>
      <c r="C3143" s="152">
        <v>9</v>
      </c>
      <c r="D3143" s="33" t="str">
        <f t="shared" si="941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42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43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53"/>
        <v>1</v>
      </c>
      <c r="Z3143" s="18">
        <f t="shared" si="938"/>
        <v>51000</v>
      </c>
      <c r="AA3143" s="13">
        <v>7.8</v>
      </c>
      <c r="AB3143" s="21">
        <f t="shared" si="944"/>
        <v>397800</v>
      </c>
      <c r="AC3143" s="130">
        <f t="shared" si="945"/>
        <v>47736</v>
      </c>
      <c r="AD3143" s="169">
        <v>0.12</v>
      </c>
      <c r="AE3143" s="154">
        <f t="shared" si="946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54"/>
        <v>48763143.537654862</v>
      </c>
      <c r="AJ3143" s="19">
        <f t="shared" si="955"/>
        <v>5924029.9702154724</v>
      </c>
      <c r="AK3143" s="20">
        <f t="shared" si="947"/>
        <v>0.1214858095774925</v>
      </c>
      <c r="AL3143" s="17"/>
      <c r="AM3143" s="17"/>
      <c r="AN3143" s="17"/>
      <c r="AO3143" s="17"/>
      <c r="AP3143" s="28" t="str">
        <f t="shared" si="948"/>
        <v>202012</v>
      </c>
      <c r="AQ3143" s="28" t="str">
        <f t="shared" si="949"/>
        <v>202012USD</v>
      </c>
      <c r="AR3143" s="206" t="str">
        <f t="shared" si="950"/>
        <v>PEMTRON</v>
      </c>
      <c r="AS3143" s="22">
        <f t="shared" si="951"/>
        <v>3</v>
      </c>
      <c r="AT3143" s="24" t="str">
        <f t="shared" si="952"/>
        <v>0-3 months</v>
      </c>
    </row>
    <row r="3144" spans="1:46" s="12" customFormat="1">
      <c r="A3144" s="33" t="str">
        <f t="shared" si="940"/>
        <v>FY 20/21</v>
      </c>
      <c r="B3144" s="152">
        <v>2020</v>
      </c>
      <c r="C3144" s="152">
        <v>9</v>
      </c>
      <c r="D3144" s="33" t="str">
        <f t="shared" si="941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42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43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53"/>
        <v>1</v>
      </c>
      <c r="Z3144" s="18">
        <f t="shared" si="938"/>
        <v>5820000</v>
      </c>
      <c r="AA3144" s="13">
        <v>7.6100000000000001E-2</v>
      </c>
      <c r="AB3144" s="21">
        <f t="shared" si="944"/>
        <v>442902</v>
      </c>
      <c r="AC3144" s="130">
        <f t="shared" si="945"/>
        <v>53148.24</v>
      </c>
      <c r="AD3144" s="169">
        <v>0.12</v>
      </c>
      <c r="AE3144" s="154">
        <f t="shared" si="946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54"/>
        <v>44078731.611185849</v>
      </c>
      <c r="AJ3144" s="19">
        <f t="shared" si="955"/>
        <v>5508173.2163771465</v>
      </c>
      <c r="AK3144" s="20">
        <f t="shared" si="947"/>
        <v>0.12496215328889679</v>
      </c>
      <c r="AL3144" s="17"/>
      <c r="AM3144" s="17"/>
      <c r="AN3144" s="17"/>
      <c r="AO3144" s="17"/>
      <c r="AP3144" s="28" t="str">
        <f t="shared" si="948"/>
        <v>202011</v>
      </c>
      <c r="AQ3144" s="28" t="str">
        <f t="shared" si="949"/>
        <v>202011JPY</v>
      </c>
      <c r="AR3144" s="206" t="str">
        <f t="shared" si="950"/>
        <v>YAMAHA_Non_Mounter</v>
      </c>
      <c r="AS3144" s="22">
        <f t="shared" si="951"/>
        <v>2</v>
      </c>
      <c r="AT3144" s="24" t="str">
        <f t="shared" si="952"/>
        <v>0-3 months</v>
      </c>
    </row>
    <row r="3145" spans="1:46" s="12" customFormat="1">
      <c r="A3145" s="33" t="str">
        <f t="shared" si="940"/>
        <v>FY 20/21</v>
      </c>
      <c r="B3145" s="152">
        <v>2020</v>
      </c>
      <c r="C3145" s="152">
        <v>9</v>
      </c>
      <c r="D3145" s="33" t="str">
        <f t="shared" si="941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42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43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53"/>
        <v>1</v>
      </c>
      <c r="Z3145" s="18">
        <f t="shared" si="938"/>
        <v>79000</v>
      </c>
      <c r="AA3145" s="13">
        <v>7.8</v>
      </c>
      <c r="AB3145" s="21">
        <f t="shared" si="944"/>
        <v>616200</v>
      </c>
      <c r="AC3145" s="130">
        <f t="shared" si="945"/>
        <v>73944</v>
      </c>
      <c r="AD3145" s="169">
        <v>0.12</v>
      </c>
      <c r="AE3145" s="154">
        <f t="shared" si="946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54"/>
        <v>48763143.537654862</v>
      </c>
      <c r="AJ3145" s="19">
        <f t="shared" si="955"/>
        <v>5924029.9702154724</v>
      </c>
      <c r="AK3145" s="20">
        <f t="shared" si="947"/>
        <v>0.1214858095774925</v>
      </c>
      <c r="AL3145" s="17"/>
      <c r="AM3145" s="17"/>
      <c r="AN3145" s="17"/>
      <c r="AO3145" s="17"/>
      <c r="AP3145" s="28" t="str">
        <f t="shared" si="948"/>
        <v>202012</v>
      </c>
      <c r="AQ3145" s="28" t="str">
        <f t="shared" si="949"/>
        <v>202012USD</v>
      </c>
      <c r="AR3145" s="206" t="str">
        <f t="shared" si="950"/>
        <v>HELLER</v>
      </c>
      <c r="AS3145" s="22">
        <f t="shared" si="951"/>
        <v>3</v>
      </c>
      <c r="AT3145" s="24" t="str">
        <f t="shared" si="952"/>
        <v>0-3 months</v>
      </c>
    </row>
    <row r="3146" spans="1:46" s="12" customFormat="1">
      <c r="A3146" s="33" t="str">
        <f t="shared" si="940"/>
        <v>FY 20/21</v>
      </c>
      <c r="B3146" s="152">
        <v>2021</v>
      </c>
      <c r="C3146" s="152">
        <v>1</v>
      </c>
      <c r="D3146" s="33" t="str">
        <f t="shared" si="941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42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43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53"/>
        <v>1</v>
      </c>
      <c r="Z3146" s="18">
        <f t="shared" si="938"/>
        <v>12780000</v>
      </c>
      <c r="AA3146" s="13">
        <v>7.17E-2</v>
      </c>
      <c r="AB3146" s="21">
        <f t="shared" si="944"/>
        <v>916326</v>
      </c>
      <c r="AC3146" s="130">
        <f t="shared" si="945"/>
        <v>246125.1636</v>
      </c>
      <c r="AD3146" s="169">
        <v>0.26860000000000001</v>
      </c>
      <c r="AE3146" s="154">
        <f t="shared" si="946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54"/>
        <v>43684091.636631854</v>
      </c>
      <c r="AJ3146" s="19">
        <f t="shared" si="955"/>
        <v>6483951.8242071122</v>
      </c>
      <c r="AK3146" s="20">
        <f t="shared" si="947"/>
        <v>0.14842821680123736</v>
      </c>
      <c r="AL3146" s="17"/>
      <c r="AM3146" s="17"/>
      <c r="AN3146" s="17"/>
      <c r="AO3146" s="17"/>
      <c r="AP3146" s="28" t="str">
        <f t="shared" si="948"/>
        <v>20214</v>
      </c>
      <c r="AQ3146" s="28" t="str">
        <f t="shared" si="949"/>
        <v>20214JPY</v>
      </c>
      <c r="AR3146" s="206" t="str">
        <f t="shared" si="950"/>
        <v>YAMAHA_Non_Mounter</v>
      </c>
      <c r="AS3146" s="22">
        <f t="shared" si="951"/>
        <v>3</v>
      </c>
      <c r="AT3146" s="24" t="str">
        <f t="shared" si="952"/>
        <v>0-3 months</v>
      </c>
    </row>
    <row r="3147" spans="1:46" s="12" customFormat="1">
      <c r="A3147" s="33" t="str">
        <f t="shared" si="940"/>
        <v>FY 21/22</v>
      </c>
      <c r="B3147" s="152">
        <v>2021</v>
      </c>
      <c r="C3147" s="152">
        <v>5</v>
      </c>
      <c r="D3147" s="33" t="str">
        <f t="shared" si="941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42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43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53"/>
        <v>1</v>
      </c>
      <c r="Z3147" s="18">
        <f t="shared" si="938"/>
        <v>298000</v>
      </c>
      <c r="AA3147" s="13">
        <v>1</v>
      </c>
      <c r="AB3147" s="21">
        <f t="shared" si="944"/>
        <v>298000</v>
      </c>
      <c r="AC3147" s="130">
        <f t="shared" si="945"/>
        <v>116011.4</v>
      </c>
      <c r="AD3147" s="169">
        <v>0.38929999999999998</v>
      </c>
      <c r="AE3147" s="154">
        <f t="shared" si="946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54"/>
        <v>47458373.787610628</v>
      </c>
      <c r="AJ3147" s="19">
        <f t="shared" si="955"/>
        <v>7436880.1411522133</v>
      </c>
      <c r="AK3147" s="20">
        <f t="shared" si="947"/>
        <v>0.15670322321692506</v>
      </c>
      <c r="AL3147" s="17"/>
      <c r="AM3147" s="17"/>
      <c r="AN3147" s="17"/>
      <c r="AO3147" s="17"/>
      <c r="AP3147" s="28" t="str">
        <f t="shared" si="948"/>
        <v>20218</v>
      </c>
      <c r="AQ3147" s="28" t="str">
        <f t="shared" si="949"/>
        <v>20218HKD</v>
      </c>
      <c r="AR3147" s="206" t="str">
        <f t="shared" si="950"/>
        <v>LOCAL SUPPLIER</v>
      </c>
      <c r="AS3147" s="22">
        <f t="shared" si="951"/>
        <v>3</v>
      </c>
      <c r="AT3147" s="24" t="str">
        <f t="shared" si="952"/>
        <v>0-3 months</v>
      </c>
    </row>
    <row r="3148" spans="1:46" s="12" customFormat="1">
      <c r="A3148" s="33" t="str">
        <f t="shared" si="940"/>
        <v>FY 21/22</v>
      </c>
      <c r="B3148" s="152">
        <v>2021</v>
      </c>
      <c r="C3148" s="152">
        <v>9</v>
      </c>
      <c r="D3148" s="33" t="str">
        <f t="shared" si="941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42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43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53"/>
        <v>1</v>
      </c>
      <c r="Z3148" s="18">
        <f t="shared" si="938"/>
        <v>6000</v>
      </c>
      <c r="AA3148" s="13">
        <v>7.8</v>
      </c>
      <c r="AB3148" s="21">
        <f t="shared" si="944"/>
        <v>46800</v>
      </c>
      <c r="AC3148" s="130">
        <f t="shared" si="945"/>
        <v>7488</v>
      </c>
      <c r="AD3148" s="169">
        <v>0.16</v>
      </c>
      <c r="AE3148" s="154">
        <f t="shared" si="946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54"/>
        <v>15533177.71460177</v>
      </c>
      <c r="AJ3148" s="19">
        <f t="shared" si="955"/>
        <v>1819298.5437526547</v>
      </c>
      <c r="AK3148" s="20">
        <f t="shared" si="947"/>
        <v>0.11712339723265033</v>
      </c>
      <c r="AL3148" s="17"/>
      <c r="AM3148" s="17"/>
      <c r="AN3148" s="17"/>
      <c r="AO3148" s="17"/>
      <c r="AP3148" s="28" t="str">
        <f t="shared" si="948"/>
        <v>202110</v>
      </c>
      <c r="AQ3148" s="28" t="str">
        <f t="shared" si="949"/>
        <v>202110USD</v>
      </c>
      <c r="AR3148" s="206" t="str">
        <f t="shared" si="950"/>
        <v>SOLDERSTAR</v>
      </c>
      <c r="AS3148" s="22">
        <f t="shared" si="951"/>
        <v>1</v>
      </c>
      <c r="AT3148" s="24" t="str">
        <f t="shared" si="952"/>
        <v>0-3 months</v>
      </c>
    </row>
    <row r="3149" spans="1:46" s="12" customFormat="1">
      <c r="A3149" s="33" t="str">
        <f t="shared" si="940"/>
        <v>FY 24/25</v>
      </c>
      <c r="B3149" s="23">
        <v>2024</v>
      </c>
      <c r="C3149" s="23">
        <v>6</v>
      </c>
      <c r="D3149" s="33" t="str">
        <f t="shared" si="941"/>
        <v>Q1</v>
      </c>
      <c r="E3149" s="33" t="str">
        <f>IF(G3149="Cancel","Cancel",IF(G3149="TBA","TBA",IFERROR(IF(I3149="Q4","FY "&amp;RIGHT(F3149,2)-1&amp;"/"&amp;RIGHT(F3149,2),"FY "&amp;RIGHT(F3149,2)&amp;"/"&amp;RIGHT(F3149,2)+1),"")))</f>
        <v>FY 24/25</v>
      </c>
      <c r="F3149" s="23">
        <v>2024</v>
      </c>
      <c r="G3149" s="23">
        <v>8</v>
      </c>
      <c r="H3149" s="29"/>
      <c r="I3149" s="202" t="str">
        <f t="shared" si="942"/>
        <v>Q2</v>
      </c>
      <c r="J3149" s="188" t="s">
        <v>3477</v>
      </c>
      <c r="K3149" s="29" t="s">
        <v>1606</v>
      </c>
      <c r="L3149" s="17" t="s">
        <v>93</v>
      </c>
      <c r="M3149" s="13" t="s">
        <v>61</v>
      </c>
      <c r="N3149" s="13">
        <v>1</v>
      </c>
      <c r="O3149" s="22"/>
      <c r="P3149" s="33" t="str">
        <f t="shared" si="943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127</v>
      </c>
      <c r="W3149" s="22" t="s">
        <v>110</v>
      </c>
      <c r="X3149" s="104">
        <v>12100000</v>
      </c>
      <c r="Y3149" s="195" t="str">
        <f t="shared" ref="Y3149:Y3156" si="956">IF(W3149="","",IF(W3149="RMB","1.13", "1"))</f>
        <v>1</v>
      </c>
      <c r="Z3149" s="196">
        <f t="shared" si="938"/>
        <v>12100000</v>
      </c>
      <c r="AA3149" s="22">
        <v>5.2299999999999999E-2</v>
      </c>
      <c r="AB3149" s="197">
        <f t="shared" si="944"/>
        <v>632830</v>
      </c>
      <c r="AC3149" s="198">
        <f t="shared" si="945"/>
        <v>38665.913</v>
      </c>
      <c r="AD3149" s="170">
        <v>6.1100000000000002E-2</v>
      </c>
      <c r="AE3149" s="199">
        <f t="shared" si="946"/>
        <v>0</v>
      </c>
      <c r="AF3149" s="199" t="str">
        <f>IF(AND(COUNTIFS($J$18:J3149,J3149)=1,AE3149=1),1,"")</f>
        <v/>
      </c>
      <c r="AG3149" s="199" t="str">
        <f>IF(C3149="","",IF(AND(COUNTIFS($J$18:J3149,J3149)=1,C3149&lt;&gt;""),1,""))</f>
        <v/>
      </c>
      <c r="AH3149" s="199" t="str">
        <f>IF(G3149="","",IF(AND(COUNTIFS($J$18:J3149,J3149)=1,G3149&lt;&gt;""),1,""))</f>
        <v/>
      </c>
      <c r="AI3149" s="200">
        <f t="shared" si="954"/>
        <v>25354039.366920356</v>
      </c>
      <c r="AJ3149" s="200">
        <f t="shared" si="955"/>
        <v>3027878.5311884549</v>
      </c>
      <c r="AK3149" s="201">
        <f t="shared" si="947"/>
        <v>0.11942391061910851</v>
      </c>
      <c r="AL3149" s="24"/>
      <c r="AM3149" s="24"/>
      <c r="AN3149" s="24"/>
      <c r="AO3149" s="24"/>
      <c r="AP3149" s="105" t="str">
        <f t="shared" si="948"/>
        <v>20248</v>
      </c>
      <c r="AQ3149" s="28" t="str">
        <f t="shared" si="949"/>
        <v>20248JPY</v>
      </c>
      <c r="AR3149" s="206" t="str">
        <f t="shared" si="950"/>
        <v>YAMAHA_Mounter</v>
      </c>
      <c r="AS3149" s="22">
        <f t="shared" si="951"/>
        <v>2</v>
      </c>
      <c r="AT3149" s="24" t="str">
        <f t="shared" si="952"/>
        <v>0-3 months</v>
      </c>
    </row>
    <row r="3150" spans="1:46" s="12" customFormat="1">
      <c r="A3150" s="33" t="str">
        <f t="shared" si="940"/>
        <v>FY 24/25</v>
      </c>
      <c r="B3150" s="23">
        <v>2024</v>
      </c>
      <c r="C3150" s="23">
        <v>6</v>
      </c>
      <c r="D3150" s="33" t="str">
        <f t="shared" si="941"/>
        <v>Q1</v>
      </c>
      <c r="E3150" s="33" t="str">
        <f>IF(G3150="Cancel","Cancel",IF(G3150="TBA","TBA",IFERROR(IF(I3150="Q4","FY "&amp;RIGHT(F3150,2)-1&amp;"/"&amp;RIGHT(F3150,2),"FY "&amp;RIGHT(F3150,2)&amp;"/"&amp;RIGHT(F3150,2)+1),"")))</f>
        <v>FY 24/25</v>
      </c>
      <c r="F3150" s="23">
        <v>2024</v>
      </c>
      <c r="G3150" s="23">
        <v>8</v>
      </c>
      <c r="H3150" s="29"/>
      <c r="I3150" s="202" t="str">
        <f t="shared" si="942"/>
        <v>Q2</v>
      </c>
      <c r="J3150" s="188" t="s">
        <v>3477</v>
      </c>
      <c r="K3150" s="29" t="s">
        <v>1606</v>
      </c>
      <c r="L3150" s="17" t="s">
        <v>93</v>
      </c>
      <c r="M3150" s="13" t="s">
        <v>61</v>
      </c>
      <c r="N3150" s="13">
        <v>1</v>
      </c>
      <c r="O3150" s="22"/>
      <c r="P3150" s="33" t="str">
        <f t="shared" si="943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79</v>
      </c>
      <c r="V3150" s="22" t="s">
        <v>127</v>
      </c>
      <c r="W3150" s="22" t="s">
        <v>110</v>
      </c>
      <c r="X3150" s="104">
        <v>12100000</v>
      </c>
      <c r="Y3150" s="195" t="str">
        <f t="shared" si="956"/>
        <v>1</v>
      </c>
      <c r="Z3150" s="196">
        <f t="shared" si="938"/>
        <v>12100000</v>
      </c>
      <c r="AA3150" s="22">
        <v>5.2299999999999999E-2</v>
      </c>
      <c r="AB3150" s="197">
        <f t="shared" si="944"/>
        <v>632830</v>
      </c>
      <c r="AC3150" s="198">
        <f t="shared" si="945"/>
        <v>38665.913</v>
      </c>
      <c r="AD3150" s="170">
        <v>6.1100000000000002E-2</v>
      </c>
      <c r="AE3150" s="199">
        <f t="shared" si="946"/>
        <v>0</v>
      </c>
      <c r="AF3150" s="199" t="str">
        <f>IF(AND(COUNTIFS($J$18:J3150,J3150)=1,AE3150=1),1,"")</f>
        <v/>
      </c>
      <c r="AG3150" s="199" t="str">
        <f>IF(C3150="","",IF(AND(COUNTIFS($J$18:J3150,J3150)=1,C3150&lt;&gt;""),1,""))</f>
        <v/>
      </c>
      <c r="AH3150" s="199" t="str">
        <f>IF(G3150="","",IF(AND(COUNTIFS($J$18:J3150,J3150)=1,G3150&lt;&gt;""),1,""))</f>
        <v/>
      </c>
      <c r="AI3150" s="200">
        <f t="shared" si="954"/>
        <v>25354039.366920356</v>
      </c>
      <c r="AJ3150" s="200">
        <f t="shared" si="955"/>
        <v>3027878.5311884549</v>
      </c>
      <c r="AK3150" s="201">
        <f t="shared" si="947"/>
        <v>0.11942391061910851</v>
      </c>
      <c r="AL3150" s="24"/>
      <c r="AM3150" s="24"/>
      <c r="AN3150" s="24"/>
      <c r="AO3150" s="24"/>
      <c r="AP3150" s="105" t="str">
        <f t="shared" si="948"/>
        <v>20248</v>
      </c>
      <c r="AQ3150" s="28" t="str">
        <f t="shared" si="949"/>
        <v>20248JPY</v>
      </c>
      <c r="AR3150" s="206" t="str">
        <f t="shared" si="950"/>
        <v>YAMAHA_Mounter</v>
      </c>
      <c r="AS3150" s="22">
        <f t="shared" si="951"/>
        <v>2</v>
      </c>
      <c r="AT3150" s="24" t="str">
        <f t="shared" si="952"/>
        <v>0-3 months</v>
      </c>
    </row>
    <row r="3151" spans="1:46" s="12" customFormat="1">
      <c r="A3151" s="33" t="str">
        <f t="shared" si="940"/>
        <v>FY 24/25</v>
      </c>
      <c r="B3151" s="23">
        <v>2024</v>
      </c>
      <c r="C3151" s="23">
        <v>6</v>
      </c>
      <c r="D3151" s="33" t="str">
        <f t="shared" si="941"/>
        <v>Q1</v>
      </c>
      <c r="E3151" s="33" t="str">
        <f>IF(G3151="Cancel","Cancel",IF(G3151="TBA","TBA",IFERROR(IF(I3151="Q4","FY "&amp;RIGHT(F3151,2)-1&amp;"/"&amp;RIGHT(F3151,2),"FY "&amp;RIGHT(F3151,2)&amp;"/"&amp;RIGHT(F3151,2)+1),"")))</f>
        <v>FY 24/25</v>
      </c>
      <c r="F3151" s="23">
        <v>2024</v>
      </c>
      <c r="G3151" s="23">
        <v>8</v>
      </c>
      <c r="H3151" s="29"/>
      <c r="I3151" s="202" t="str">
        <f t="shared" si="942"/>
        <v>Q2</v>
      </c>
      <c r="J3151" s="188" t="s">
        <v>3477</v>
      </c>
      <c r="K3151" s="29" t="s">
        <v>1606</v>
      </c>
      <c r="L3151" s="17" t="s">
        <v>93</v>
      </c>
      <c r="M3151" s="13" t="s">
        <v>61</v>
      </c>
      <c r="N3151" s="13">
        <v>1</v>
      </c>
      <c r="O3151" s="22"/>
      <c r="P3151" s="33" t="str">
        <f t="shared" si="943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79</v>
      </c>
      <c r="V3151" s="22" t="s">
        <v>127</v>
      </c>
      <c r="W3151" s="22" t="s">
        <v>110</v>
      </c>
      <c r="X3151" s="104">
        <v>12100000</v>
      </c>
      <c r="Y3151" s="195" t="str">
        <f t="shared" si="956"/>
        <v>1</v>
      </c>
      <c r="Z3151" s="196">
        <f t="shared" si="938"/>
        <v>12100000</v>
      </c>
      <c r="AA3151" s="22">
        <v>5.2299999999999999E-2</v>
      </c>
      <c r="AB3151" s="197">
        <f t="shared" si="944"/>
        <v>632830</v>
      </c>
      <c r="AC3151" s="198">
        <f t="shared" si="945"/>
        <v>38665.913</v>
      </c>
      <c r="AD3151" s="170">
        <v>6.1100000000000002E-2</v>
      </c>
      <c r="AE3151" s="199">
        <f t="shared" si="946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54"/>
        <v>25354039.366920356</v>
      </c>
      <c r="AJ3151" s="200">
        <f t="shared" si="955"/>
        <v>3027878.5311884549</v>
      </c>
      <c r="AK3151" s="201">
        <f t="shared" si="947"/>
        <v>0.11942391061910851</v>
      </c>
      <c r="AL3151" s="24"/>
      <c r="AM3151" s="24"/>
      <c r="AN3151" s="24"/>
      <c r="AO3151" s="24"/>
      <c r="AP3151" s="105" t="str">
        <f t="shared" si="948"/>
        <v>20248</v>
      </c>
      <c r="AQ3151" s="28" t="str">
        <f t="shared" si="949"/>
        <v>20248JPY</v>
      </c>
      <c r="AR3151" s="206" t="str">
        <f t="shared" si="950"/>
        <v>YAMAHA_Mounter</v>
      </c>
      <c r="AS3151" s="22">
        <f t="shared" si="951"/>
        <v>2</v>
      </c>
      <c r="AT3151" s="24" t="str">
        <f t="shared" si="952"/>
        <v>0-3 months</v>
      </c>
    </row>
    <row r="3152" spans="1:46" s="12" customFormat="1">
      <c r="A3152" s="33" t="str">
        <f t="shared" si="940"/>
        <v>FY 24/25</v>
      </c>
      <c r="B3152" s="23">
        <v>2024</v>
      </c>
      <c r="C3152" s="23">
        <v>7</v>
      </c>
      <c r="D3152" s="202" t="str">
        <f t="shared" si="941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42"/>
        <v>Q2</v>
      </c>
      <c r="J3152" s="188" t="s">
        <v>3492</v>
      </c>
      <c r="K3152" s="29" t="s">
        <v>3095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43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3096</v>
      </c>
      <c r="W3152" s="22" t="s">
        <v>110</v>
      </c>
      <c r="X3152" s="104">
        <v>7250000</v>
      </c>
      <c r="Y3152" s="195" t="str">
        <f t="shared" si="956"/>
        <v>1</v>
      </c>
      <c r="Z3152" s="196">
        <f t="shared" si="938"/>
        <v>7250000</v>
      </c>
      <c r="AA3152" s="22">
        <v>5.2299999999999999E-2</v>
      </c>
      <c r="AB3152" s="197">
        <f t="shared" si="944"/>
        <v>379175</v>
      </c>
      <c r="AC3152" s="198">
        <f t="shared" si="945"/>
        <v>44894.32</v>
      </c>
      <c r="AD3152" s="170">
        <v>0.11840000000000001</v>
      </c>
      <c r="AE3152" s="199">
        <f t="shared" si="946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54"/>
        <v>25354039.366920356</v>
      </c>
      <c r="AJ3152" s="200">
        <f t="shared" si="955"/>
        <v>3027878.5311884549</v>
      </c>
      <c r="AK3152" s="201">
        <f t="shared" si="947"/>
        <v>0.11942391061910851</v>
      </c>
      <c r="AL3152" s="24"/>
      <c r="AM3152" s="24"/>
      <c r="AN3152" s="24"/>
      <c r="AO3152" s="24"/>
      <c r="AP3152" s="105" t="str">
        <f t="shared" si="948"/>
        <v>20248</v>
      </c>
      <c r="AQ3152" s="28" t="str">
        <f t="shared" si="949"/>
        <v>20248JPY</v>
      </c>
      <c r="AR3152" s="206" t="str">
        <f t="shared" si="950"/>
        <v>YAMAHA_Mounter</v>
      </c>
      <c r="AS3152" s="22">
        <f t="shared" si="951"/>
        <v>1</v>
      </c>
      <c r="AT3152" s="24" t="str">
        <f t="shared" si="952"/>
        <v>0-3 months</v>
      </c>
    </row>
    <row r="3153" spans="1:46" s="12" customFormat="1">
      <c r="A3153" s="33" t="str">
        <f t="shared" si="940"/>
        <v>FY 24/25</v>
      </c>
      <c r="B3153" s="23">
        <v>2024</v>
      </c>
      <c r="C3153" s="23">
        <v>7</v>
      </c>
      <c r="D3153" s="202" t="str">
        <f t="shared" si="941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42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43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56"/>
        <v>1</v>
      </c>
      <c r="Z3153" s="196">
        <f t="shared" si="938"/>
        <v>12650000</v>
      </c>
      <c r="AA3153" s="22">
        <v>5.5599999999999997E-2</v>
      </c>
      <c r="AB3153" s="197">
        <f t="shared" si="944"/>
        <v>703340</v>
      </c>
      <c r="AC3153" s="198">
        <f t="shared" si="945"/>
        <v>84400.8</v>
      </c>
      <c r="AD3153" s="169">
        <v>0.12</v>
      </c>
      <c r="AE3153" s="199">
        <f t="shared" si="946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54"/>
        <v>25860689.500884958</v>
      </c>
      <c r="AJ3153" s="200">
        <f t="shared" si="955"/>
        <v>3153620.4547964605</v>
      </c>
      <c r="AK3153" s="201">
        <f t="shared" si="947"/>
        <v>0.1219464954593938</v>
      </c>
      <c r="AL3153" s="24"/>
      <c r="AM3153" s="24"/>
      <c r="AN3153" s="24"/>
      <c r="AO3153" s="24"/>
      <c r="AP3153" s="105" t="str">
        <f t="shared" si="948"/>
        <v>202410</v>
      </c>
      <c r="AQ3153" s="28" t="str">
        <f t="shared" si="949"/>
        <v>202410JPY</v>
      </c>
      <c r="AR3153" s="206" t="str">
        <f t="shared" si="950"/>
        <v>YAMAHA_Mounter</v>
      </c>
      <c r="AS3153" s="22">
        <f t="shared" si="951"/>
        <v>3</v>
      </c>
      <c r="AT3153" s="24" t="str">
        <f t="shared" si="952"/>
        <v>0-3 months</v>
      </c>
    </row>
    <row r="3154" spans="1:46" s="12" customFormat="1">
      <c r="A3154" s="33" t="str">
        <f t="shared" si="940"/>
        <v>FY 24/25</v>
      </c>
      <c r="B3154" s="23">
        <v>2024</v>
      </c>
      <c r="C3154" s="23">
        <v>7</v>
      </c>
      <c r="D3154" s="202" t="str">
        <f t="shared" si="941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42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43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56"/>
        <v>1</v>
      </c>
      <c r="Z3154" s="196">
        <f t="shared" si="938"/>
        <v>12650000</v>
      </c>
      <c r="AA3154" s="22">
        <v>5.5599999999999997E-2</v>
      </c>
      <c r="AB3154" s="197">
        <f t="shared" si="944"/>
        <v>703340</v>
      </c>
      <c r="AC3154" s="198">
        <f t="shared" si="945"/>
        <v>84400.8</v>
      </c>
      <c r="AD3154" s="169">
        <v>0.12</v>
      </c>
      <c r="AE3154" s="199">
        <f t="shared" si="946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54"/>
        <v>25860689.500884958</v>
      </c>
      <c r="AJ3154" s="200">
        <f t="shared" si="955"/>
        <v>3153620.4547964605</v>
      </c>
      <c r="AK3154" s="201">
        <f t="shared" si="947"/>
        <v>0.1219464954593938</v>
      </c>
      <c r="AL3154" s="24"/>
      <c r="AM3154" s="24"/>
      <c r="AN3154" s="24"/>
      <c r="AO3154" s="24"/>
      <c r="AP3154" s="105" t="str">
        <f t="shared" si="948"/>
        <v>202410</v>
      </c>
      <c r="AQ3154" s="28" t="str">
        <f t="shared" si="949"/>
        <v>202410JPY</v>
      </c>
      <c r="AR3154" s="206" t="str">
        <f t="shared" si="950"/>
        <v>YAMAHA_Mounter</v>
      </c>
      <c r="AS3154" s="22">
        <f t="shared" si="951"/>
        <v>3</v>
      </c>
      <c r="AT3154" s="24" t="str">
        <f t="shared" si="952"/>
        <v>0-3 months</v>
      </c>
    </row>
    <row r="3155" spans="1:46" s="12" customFormat="1">
      <c r="A3155" s="33" t="str">
        <f t="shared" si="940"/>
        <v>FY 24/25</v>
      </c>
      <c r="B3155" s="23">
        <v>2024</v>
      </c>
      <c r="C3155" s="23">
        <v>7</v>
      </c>
      <c r="D3155" s="202" t="str">
        <f t="shared" si="941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42"/>
        <v>Q2</v>
      </c>
      <c r="J3155" s="188" t="s">
        <v>3495</v>
      </c>
      <c r="K3155" s="29" t="s">
        <v>3496</v>
      </c>
      <c r="L3155" s="17" t="s">
        <v>68</v>
      </c>
      <c r="M3155" s="13" t="s">
        <v>61</v>
      </c>
      <c r="N3155" s="13">
        <v>1</v>
      </c>
      <c r="O3155" s="22"/>
      <c r="P3155" s="202" t="str">
        <f t="shared" si="943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465</v>
      </c>
      <c r="V3155" s="22" t="s">
        <v>132</v>
      </c>
      <c r="W3155" s="22" t="s">
        <v>65</v>
      </c>
      <c r="X3155" s="104">
        <v>410000</v>
      </c>
      <c r="Y3155" s="195" t="str">
        <f t="shared" si="956"/>
        <v>1.13</v>
      </c>
      <c r="Z3155" s="196">
        <f t="shared" si="938"/>
        <v>410000</v>
      </c>
      <c r="AA3155" s="22">
        <v>1.08</v>
      </c>
      <c r="AB3155" s="197">
        <f t="shared" si="944"/>
        <v>391858.40707964613</v>
      </c>
      <c r="AC3155" s="198">
        <f t="shared" si="945"/>
        <v>37108.991150442489</v>
      </c>
      <c r="AD3155" s="170">
        <v>9.4700000000000006E-2</v>
      </c>
      <c r="AE3155" s="199">
        <f t="shared" si="946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54"/>
        <v>25354039.366920356</v>
      </c>
      <c r="AJ3155" s="200">
        <f t="shared" si="955"/>
        <v>3027878.5311884549</v>
      </c>
      <c r="AK3155" s="201">
        <f t="shared" si="947"/>
        <v>0.11942391061910851</v>
      </c>
      <c r="AL3155" s="24"/>
      <c r="AM3155" s="24"/>
      <c r="AN3155" s="24"/>
      <c r="AO3155" s="24"/>
      <c r="AP3155" s="105" t="str">
        <f t="shared" si="948"/>
        <v>20248</v>
      </c>
      <c r="AQ3155" s="28" t="str">
        <f t="shared" si="949"/>
        <v>20248RMB</v>
      </c>
      <c r="AR3155" s="206" t="str">
        <f t="shared" si="950"/>
        <v>YAMAHA_Mounter</v>
      </c>
      <c r="AS3155" s="22">
        <f t="shared" si="951"/>
        <v>1</v>
      </c>
      <c r="AT3155" s="24" t="str">
        <f t="shared" si="952"/>
        <v>0-3 months</v>
      </c>
    </row>
    <row r="3156" spans="1:46" s="12" customFormat="1">
      <c r="A3156" s="33" t="str">
        <f t="shared" si="940"/>
        <v>FY 24/25</v>
      </c>
      <c r="B3156" s="23">
        <v>2024</v>
      </c>
      <c r="C3156" s="23">
        <v>7</v>
      </c>
      <c r="D3156" s="202" t="str">
        <f t="shared" si="941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42"/>
        <v>Q2</v>
      </c>
      <c r="J3156" s="188" t="s">
        <v>3495</v>
      </c>
      <c r="K3156" s="29" t="s">
        <v>3496</v>
      </c>
      <c r="L3156" s="17" t="s">
        <v>68</v>
      </c>
      <c r="M3156" s="13" t="s">
        <v>61</v>
      </c>
      <c r="N3156" s="13">
        <v>1</v>
      </c>
      <c r="O3156" s="22"/>
      <c r="P3156" s="202" t="str">
        <f t="shared" si="943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465</v>
      </c>
      <c r="V3156" s="22" t="s">
        <v>132</v>
      </c>
      <c r="W3156" s="22" t="s">
        <v>65</v>
      </c>
      <c r="X3156" s="104">
        <v>410000</v>
      </c>
      <c r="Y3156" s="195" t="str">
        <f t="shared" si="956"/>
        <v>1.13</v>
      </c>
      <c r="Z3156" s="196">
        <f t="shared" si="938"/>
        <v>410000</v>
      </c>
      <c r="AA3156" s="22">
        <v>1.08</v>
      </c>
      <c r="AB3156" s="197">
        <f t="shared" si="944"/>
        <v>391858.40707964613</v>
      </c>
      <c r="AC3156" s="198">
        <f t="shared" si="945"/>
        <v>37108.991150442489</v>
      </c>
      <c r="AD3156" s="170">
        <v>9.4700000000000006E-2</v>
      </c>
      <c r="AE3156" s="199">
        <f t="shared" si="946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54"/>
        <v>25354039.366920356</v>
      </c>
      <c r="AJ3156" s="200">
        <f t="shared" si="955"/>
        <v>3027878.5311884549</v>
      </c>
      <c r="AK3156" s="201">
        <f t="shared" si="947"/>
        <v>0.11942391061910851</v>
      </c>
      <c r="AL3156" s="24"/>
      <c r="AM3156" s="24"/>
      <c r="AN3156" s="24"/>
      <c r="AO3156" s="24"/>
      <c r="AP3156" s="105" t="str">
        <f t="shared" si="948"/>
        <v>20248</v>
      </c>
      <c r="AQ3156" s="28" t="str">
        <f t="shared" si="949"/>
        <v>20248RMB</v>
      </c>
      <c r="AR3156" s="206" t="str">
        <f t="shared" si="950"/>
        <v>YAMAHA_Mounter</v>
      </c>
      <c r="AS3156" s="22">
        <f t="shared" si="951"/>
        <v>1</v>
      </c>
      <c r="AT3156" s="24" t="str">
        <f t="shared" si="952"/>
        <v>0-3 months</v>
      </c>
    </row>
    <row r="3157" spans="1:46" s="12" customFormat="1">
      <c r="A3157" s="33" t="str">
        <f t="shared" si="940"/>
        <v>FY 17/18</v>
      </c>
      <c r="B3157" s="152">
        <v>2018</v>
      </c>
      <c r="C3157" s="152">
        <v>1</v>
      </c>
      <c r="D3157" s="33" t="str">
        <f t="shared" si="941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42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43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38"/>
        <v>179000</v>
      </c>
      <c r="AA3157" s="13">
        <v>7.8</v>
      </c>
      <c r="AB3157" s="21">
        <f t="shared" si="944"/>
        <v>1396200</v>
      </c>
      <c r="AC3157" s="130">
        <f t="shared" si="945"/>
        <v>167544</v>
      </c>
      <c r="AD3157" s="169">
        <v>0.12</v>
      </c>
      <c r="AE3157" s="154">
        <f t="shared" si="946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54"/>
        <v>13250187.062905986</v>
      </c>
      <c r="AJ3157" s="19">
        <f t="shared" si="955"/>
        <v>1545643.7555487182</v>
      </c>
      <c r="AK3157" s="20">
        <f t="shared" si="947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8"/>
        <v>20183</v>
      </c>
      <c r="AQ3157" s="28" t="str">
        <f t="shared" si="949"/>
        <v>20183USD</v>
      </c>
      <c r="AR3157" s="206" t="str">
        <f t="shared" si="950"/>
        <v>HELLER</v>
      </c>
      <c r="AS3157" s="22">
        <f t="shared" si="951"/>
        <v>2</v>
      </c>
      <c r="AT3157" s="24" t="str">
        <f t="shared" si="952"/>
        <v>0-3 months</v>
      </c>
    </row>
    <row r="3158" spans="1:46" s="12" customFormat="1">
      <c r="A3158" s="33" t="str">
        <f t="shared" si="940"/>
        <v>FY 18/19</v>
      </c>
      <c r="B3158" s="152">
        <v>2018</v>
      </c>
      <c r="C3158" s="152">
        <v>5</v>
      </c>
      <c r="D3158" s="33" t="str">
        <f t="shared" si="941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42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si="943"/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ref="Z3158:Z3221" si="957">IF(X3158="","",X3158*MAX(O3158,N3158))</f>
        <v>358000</v>
      </c>
      <c r="AA3158" s="13">
        <v>7.8</v>
      </c>
      <c r="AB3158" s="21">
        <f t="shared" si="944"/>
        <v>2792400</v>
      </c>
      <c r="AC3158" s="130">
        <f t="shared" si="945"/>
        <v>139620</v>
      </c>
      <c r="AD3158" s="169">
        <v>0.05</v>
      </c>
      <c r="AE3158" s="154">
        <f t="shared" si="946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54"/>
        <v>24398045.86045352</v>
      </c>
      <c r="AJ3158" s="19">
        <f t="shared" si="955"/>
        <v>3478417.4064663448</v>
      </c>
      <c r="AK3158" s="20">
        <f t="shared" si="947"/>
        <v>0.14256950849102498</v>
      </c>
      <c r="AL3158" s="17"/>
      <c r="AM3158" s="17"/>
      <c r="AN3158" s="17"/>
      <c r="AO3158" s="17"/>
      <c r="AP3158" s="28" t="str">
        <f t="shared" si="948"/>
        <v>20186</v>
      </c>
      <c r="AQ3158" s="28" t="str">
        <f t="shared" si="949"/>
        <v>20186USD</v>
      </c>
      <c r="AR3158" s="206" t="str">
        <f t="shared" si="950"/>
        <v>HELLER</v>
      </c>
      <c r="AS3158" s="22">
        <f t="shared" si="951"/>
        <v>1</v>
      </c>
      <c r="AT3158" s="24" t="str">
        <f t="shared" si="952"/>
        <v>0-3 months</v>
      </c>
    </row>
    <row r="3159" spans="1:46" s="12" customFormat="1">
      <c r="A3159" s="33" t="str">
        <f t="shared" si="940"/>
        <v>FY 18/19</v>
      </c>
      <c r="B3159" s="152">
        <v>2018</v>
      </c>
      <c r="C3159" s="152">
        <v>5</v>
      </c>
      <c r="D3159" s="33" t="str">
        <f t="shared" si="941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42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3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57"/>
        <v>61800</v>
      </c>
      <c r="AA3159" s="13">
        <v>7.8</v>
      </c>
      <c r="AB3159" s="21">
        <f t="shared" si="944"/>
        <v>482040</v>
      </c>
      <c r="AC3159" s="130">
        <f t="shared" si="945"/>
        <v>25548.12</v>
      </c>
      <c r="AD3159" s="169">
        <v>5.2999999999999999E-2</v>
      </c>
      <c r="AE3159" s="154">
        <f t="shared" si="946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54"/>
        <v>24398045.86045352</v>
      </c>
      <c r="AJ3159" s="19">
        <f t="shared" si="955"/>
        <v>3478417.4064663448</v>
      </c>
      <c r="AK3159" s="20">
        <f t="shared" si="947"/>
        <v>0.14256950849102498</v>
      </c>
      <c r="AL3159" s="17"/>
      <c r="AM3159" s="17"/>
      <c r="AN3159" s="17"/>
      <c r="AO3159" s="17"/>
      <c r="AP3159" s="28" t="str">
        <f t="shared" si="948"/>
        <v>20186</v>
      </c>
      <c r="AQ3159" s="28" t="str">
        <f t="shared" si="949"/>
        <v>20186USD</v>
      </c>
      <c r="AR3159" s="206" t="str">
        <f t="shared" si="950"/>
        <v>HELLER</v>
      </c>
      <c r="AS3159" s="22">
        <f t="shared" si="951"/>
        <v>1</v>
      </c>
      <c r="AT3159" s="24" t="str">
        <f t="shared" si="952"/>
        <v>0-3 months</v>
      </c>
    </row>
    <row r="3160" spans="1:46" s="12" customFormat="1">
      <c r="A3160" s="33" t="str">
        <f t="shared" si="940"/>
        <v>FY 19/20</v>
      </c>
      <c r="B3160" s="152">
        <v>2020</v>
      </c>
      <c r="C3160" s="152">
        <v>3</v>
      </c>
      <c r="D3160" s="33" t="str">
        <f t="shared" si="941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42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3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57"/>
        <v>61500</v>
      </c>
      <c r="AA3160" s="13">
        <v>7.8</v>
      </c>
      <c r="AB3160" s="21">
        <f t="shared" si="944"/>
        <v>479700</v>
      </c>
      <c r="AC3160" s="130">
        <f t="shared" si="945"/>
        <v>32571.63</v>
      </c>
      <c r="AD3160" s="169">
        <v>6.7900000000000002E-2</v>
      </c>
      <c r="AE3160" s="154">
        <f t="shared" si="946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54"/>
        <v>29183109.05575221</v>
      </c>
      <c r="AJ3160" s="19">
        <f t="shared" si="955"/>
        <v>3741266.5648721238</v>
      </c>
      <c r="AK3160" s="20">
        <f t="shared" si="947"/>
        <v>0.12819972531798121</v>
      </c>
      <c r="AL3160" s="17"/>
      <c r="AM3160" s="17"/>
      <c r="AN3160" s="17"/>
      <c r="AO3160" s="17"/>
      <c r="AP3160" s="28" t="str">
        <f t="shared" si="948"/>
        <v>20206</v>
      </c>
      <c r="AQ3160" s="28" t="str">
        <f t="shared" si="949"/>
        <v>20206USD</v>
      </c>
      <c r="AR3160" s="206" t="str">
        <f t="shared" si="950"/>
        <v>HELLER</v>
      </c>
      <c r="AS3160" s="22">
        <f t="shared" si="951"/>
        <v>3</v>
      </c>
      <c r="AT3160" s="24" t="str">
        <f t="shared" si="952"/>
        <v>0-3 months</v>
      </c>
    </row>
    <row r="3161" spans="1:46" s="12" customFormat="1">
      <c r="A3161" s="33" t="str">
        <f t="shared" si="940"/>
        <v/>
      </c>
      <c r="B3161" s="152" t="s">
        <v>2585</v>
      </c>
      <c r="C3161" s="152" t="s">
        <v>2585</v>
      </c>
      <c r="D3161" s="33" t="b">
        <f t="shared" si="941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42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3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57"/>
        <v>1800000</v>
      </c>
      <c r="AA3161" s="13">
        <v>1.095</v>
      </c>
      <c r="AB3161" s="21">
        <f t="shared" si="944"/>
        <v>1744247.7876106196</v>
      </c>
      <c r="AC3161" s="130">
        <f t="shared" si="945"/>
        <v>209309.73451327434</v>
      </c>
      <c r="AD3161" s="169">
        <v>0.12</v>
      </c>
      <c r="AE3161" s="154">
        <f t="shared" si="946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54"/>
        <v>16602721.68141593</v>
      </c>
      <c r="AJ3161" s="19">
        <f t="shared" si="955"/>
        <v>1923201.4867699118</v>
      </c>
      <c r="AK3161" s="20">
        <f t="shared" si="947"/>
        <v>0.11583651907642503</v>
      </c>
      <c r="AL3161" s="17"/>
      <c r="AM3161" s="17"/>
      <c r="AN3161" s="17"/>
      <c r="AO3161" s="17"/>
      <c r="AP3161" s="28" t="str">
        <f t="shared" si="948"/>
        <v>TBATBA</v>
      </c>
      <c r="AQ3161" s="28" t="str">
        <f t="shared" si="949"/>
        <v>TBATBARMB</v>
      </c>
      <c r="AR3161" s="206" t="str">
        <f t="shared" si="950"/>
        <v>HELLER</v>
      </c>
      <c r="AS3161" s="22" t="str">
        <f t="shared" si="951"/>
        <v/>
      </c>
      <c r="AT3161" s="24" t="str">
        <f t="shared" si="952"/>
        <v/>
      </c>
    </row>
    <row r="3162" spans="1:46" s="12" customFormat="1">
      <c r="A3162" s="33" t="str">
        <f t="shared" si="940"/>
        <v>FY 22/23</v>
      </c>
      <c r="B3162" s="152">
        <v>2022</v>
      </c>
      <c r="C3162" s="152">
        <v>11</v>
      </c>
      <c r="D3162" s="33" t="str">
        <f t="shared" si="941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42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3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57"/>
        <v>116200</v>
      </c>
      <c r="AA3162" s="13">
        <v>7.8</v>
      </c>
      <c r="AB3162" s="21">
        <f t="shared" si="944"/>
        <v>906360</v>
      </c>
      <c r="AC3162" s="130">
        <f t="shared" si="945"/>
        <v>137947.992</v>
      </c>
      <c r="AD3162" s="169">
        <v>0.1522</v>
      </c>
      <c r="AE3162" s="154">
        <f t="shared" si="946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54"/>
        <v>33543315.897345133</v>
      </c>
      <c r="AJ3162" s="19">
        <f t="shared" si="955"/>
        <v>4706169.3252984071</v>
      </c>
      <c r="AK3162" s="20">
        <f t="shared" si="947"/>
        <v>0.14030125523967318</v>
      </c>
      <c r="AL3162" s="17"/>
      <c r="AM3162" s="17"/>
      <c r="AN3162" s="17"/>
      <c r="AO3162" s="17"/>
      <c r="AP3162" s="28" t="str">
        <f t="shared" si="948"/>
        <v>20233</v>
      </c>
      <c r="AQ3162" s="28" t="str">
        <f t="shared" si="949"/>
        <v>20233USD</v>
      </c>
      <c r="AR3162" s="206" t="str">
        <f t="shared" si="950"/>
        <v>HELLER</v>
      </c>
      <c r="AS3162" s="22">
        <f t="shared" si="951"/>
        <v>4</v>
      </c>
      <c r="AT3162" s="24" t="str">
        <f t="shared" si="952"/>
        <v>4-6 months</v>
      </c>
    </row>
    <row r="3163" spans="1:46" s="12" customFormat="1">
      <c r="A3163" s="33" t="str">
        <f t="shared" si="940"/>
        <v>FY 23/24</v>
      </c>
      <c r="B3163" s="152">
        <v>2023</v>
      </c>
      <c r="C3163" s="152">
        <v>7</v>
      </c>
      <c r="D3163" s="33" t="str">
        <f t="shared" si="941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42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3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57"/>
        <v>89360</v>
      </c>
      <c r="AA3163" s="13">
        <v>7.8</v>
      </c>
      <c r="AB3163" s="21">
        <f t="shared" si="944"/>
        <v>697008</v>
      </c>
      <c r="AC3163" s="130">
        <f t="shared" si="945"/>
        <v>122882.51040000001</v>
      </c>
      <c r="AD3163" s="169">
        <v>0.17630000000000001</v>
      </c>
      <c r="AE3163" s="154">
        <f t="shared" si="946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54"/>
        <v>26078226.463097349</v>
      </c>
      <c r="AJ3163" s="19">
        <f t="shared" si="955"/>
        <v>3137870.4427774516</v>
      </c>
      <c r="AK3163" s="20">
        <f t="shared" si="947"/>
        <v>0.12032530077218917</v>
      </c>
      <c r="AL3163" s="17"/>
      <c r="AM3163" s="17"/>
      <c r="AN3163" s="17"/>
      <c r="AO3163" s="17"/>
      <c r="AP3163" s="28" t="str">
        <f t="shared" si="948"/>
        <v>20239</v>
      </c>
      <c r="AQ3163" s="28" t="str">
        <f t="shared" si="949"/>
        <v>20239USD</v>
      </c>
      <c r="AR3163" s="206" t="str">
        <f t="shared" si="950"/>
        <v>HELLER</v>
      </c>
      <c r="AS3163" s="22">
        <f t="shared" si="951"/>
        <v>2</v>
      </c>
      <c r="AT3163" s="24" t="str">
        <f t="shared" si="952"/>
        <v>0-3 months</v>
      </c>
    </row>
    <row r="3164" spans="1:46" s="12" customFormat="1">
      <c r="A3164" s="33" t="str">
        <f t="shared" si="940"/>
        <v>cancel</v>
      </c>
      <c r="B3164" s="152"/>
      <c r="C3164" s="152" t="s">
        <v>186</v>
      </c>
      <c r="D3164" s="33" t="str">
        <f t="shared" si="941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42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3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57"/>
        <v>1200000</v>
      </c>
      <c r="AA3164" s="13">
        <v>1.08</v>
      </c>
      <c r="AB3164" s="21">
        <f t="shared" si="944"/>
        <v>1146902.6548672568</v>
      </c>
      <c r="AC3164" s="130">
        <f t="shared" si="945"/>
        <v>137628.3185840708</v>
      </c>
      <c r="AD3164" s="169">
        <v>0.12</v>
      </c>
      <c r="AE3164" s="154">
        <f t="shared" si="946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54"/>
        <v>477651199.57437885</v>
      </c>
      <c r="AJ3164" s="19">
        <f t="shared" si="955"/>
        <v>56918800.518691957</v>
      </c>
      <c r="AK3164" s="20">
        <f t="shared" si="947"/>
        <v>0.11916394341605475</v>
      </c>
      <c r="AL3164" s="17"/>
      <c r="AM3164" s="17"/>
      <c r="AN3164" s="17"/>
      <c r="AO3164" s="17"/>
      <c r="AP3164" s="28" t="str">
        <f t="shared" si="948"/>
        <v>CancelCancel</v>
      </c>
      <c r="AQ3164" s="28" t="str">
        <f t="shared" si="949"/>
        <v>CancelCancelRMB</v>
      </c>
      <c r="AR3164" s="206" t="str">
        <f t="shared" si="950"/>
        <v>HELLER</v>
      </c>
      <c r="AS3164" s="22" t="str">
        <f t="shared" si="951"/>
        <v/>
      </c>
      <c r="AT3164" s="24" t="str">
        <f t="shared" si="952"/>
        <v/>
      </c>
    </row>
    <row r="3165" spans="1:46" s="12" customFormat="1">
      <c r="A3165" s="33" t="str">
        <f t="shared" si="940"/>
        <v>FY 19/20</v>
      </c>
      <c r="B3165" s="152">
        <v>2019</v>
      </c>
      <c r="C3165" s="152">
        <v>12</v>
      </c>
      <c r="D3165" s="33" t="str">
        <f t="shared" si="941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42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3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57"/>
        <v>1090000</v>
      </c>
      <c r="AA3165" s="13">
        <v>1.095</v>
      </c>
      <c r="AB3165" s="21">
        <f t="shared" si="944"/>
        <v>1056238.9380530973</v>
      </c>
      <c r="AC3165" s="130">
        <f t="shared" si="945"/>
        <v>131607.37168141594</v>
      </c>
      <c r="AD3165" s="169">
        <v>0.1246</v>
      </c>
      <c r="AE3165" s="154">
        <f t="shared" si="946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54"/>
        <v>33477255.428389374</v>
      </c>
      <c r="AJ3165" s="19">
        <f t="shared" si="955"/>
        <v>4578663.362915583</v>
      </c>
      <c r="AK3165" s="20">
        <f t="shared" si="947"/>
        <v>0.13676937682988152</v>
      </c>
      <c r="AL3165" s="17"/>
      <c r="AM3165" s="17"/>
      <c r="AN3165" s="17"/>
      <c r="AO3165" s="17"/>
      <c r="AP3165" s="28" t="str">
        <f t="shared" si="948"/>
        <v>20204</v>
      </c>
      <c r="AQ3165" s="28" t="str">
        <f t="shared" si="949"/>
        <v>20204RMB</v>
      </c>
      <c r="AR3165" s="206" t="str">
        <f t="shared" si="950"/>
        <v>YAMAHA_Mounter</v>
      </c>
      <c r="AS3165" s="22">
        <f t="shared" si="951"/>
        <v>4</v>
      </c>
      <c r="AT3165" s="24" t="str">
        <f t="shared" si="952"/>
        <v>4-6 months</v>
      </c>
    </row>
    <row r="3166" spans="1:46" s="12" customFormat="1">
      <c r="A3166" s="33" t="str">
        <f t="shared" si="940"/>
        <v>FY 19/20</v>
      </c>
      <c r="B3166" s="152">
        <v>2020</v>
      </c>
      <c r="C3166" s="152">
        <v>1</v>
      </c>
      <c r="D3166" s="33" t="str">
        <f t="shared" si="941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42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3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57"/>
        <v>11300000</v>
      </c>
      <c r="AA3166" s="13">
        <v>7.2999999999999995E-2</v>
      </c>
      <c r="AB3166" s="21">
        <f t="shared" si="944"/>
        <v>824900</v>
      </c>
      <c r="AC3166" s="130">
        <f t="shared" si="945"/>
        <v>69374.09</v>
      </c>
      <c r="AD3166" s="169">
        <v>8.4099999999999994E-2</v>
      </c>
      <c r="AE3166" s="154">
        <f t="shared" si="946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54"/>
        <v>23168285.927433632</v>
      </c>
      <c r="AJ3166" s="19">
        <f t="shared" si="955"/>
        <v>2764878.916878053</v>
      </c>
      <c r="AK3166" s="20">
        <f t="shared" si="947"/>
        <v>0.11933895004309111</v>
      </c>
      <c r="AL3166" s="17"/>
      <c r="AM3166" s="17"/>
      <c r="AN3166" s="17"/>
      <c r="AO3166" s="17"/>
      <c r="AP3166" s="28" t="str">
        <f t="shared" si="948"/>
        <v>20203</v>
      </c>
      <c r="AQ3166" s="28" t="str">
        <f t="shared" si="949"/>
        <v>20203JPY</v>
      </c>
      <c r="AR3166" s="206" t="str">
        <f t="shared" si="950"/>
        <v>YAMAHA_Mounter</v>
      </c>
      <c r="AS3166" s="22">
        <f t="shared" si="951"/>
        <v>2</v>
      </c>
      <c r="AT3166" s="24" t="str">
        <f t="shared" si="952"/>
        <v>0-3 months</v>
      </c>
    </row>
    <row r="3167" spans="1:46" s="12" customFormat="1">
      <c r="A3167" s="33" t="str">
        <f t="shared" si="940"/>
        <v>FY 21/22</v>
      </c>
      <c r="B3167" s="152">
        <v>2021</v>
      </c>
      <c r="C3167" s="152">
        <v>4</v>
      </c>
      <c r="D3167" s="33" t="str">
        <f t="shared" si="941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42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3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57"/>
        <v>8300000</v>
      </c>
      <c r="AA3167" s="13">
        <v>6.9199999999999998E-2</v>
      </c>
      <c r="AB3167" s="21">
        <f t="shared" si="944"/>
        <v>574360</v>
      </c>
      <c r="AC3167" s="130">
        <f t="shared" si="945"/>
        <v>56057.536</v>
      </c>
      <c r="AD3167" s="169">
        <v>9.7600000000000006E-2</v>
      </c>
      <c r="AE3167" s="154">
        <f t="shared" si="946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54"/>
        <v>26407088.359292038</v>
      </c>
      <c r="AJ3167" s="19">
        <f t="shared" si="955"/>
        <v>3424510.6998470789</v>
      </c>
      <c r="AK3167" s="20">
        <f t="shared" si="947"/>
        <v>0.12968149510667554</v>
      </c>
      <c r="AL3167" s="17"/>
      <c r="AM3167" s="17"/>
      <c r="AN3167" s="17"/>
      <c r="AO3167" s="17"/>
      <c r="AP3167" s="28" t="str">
        <f t="shared" si="948"/>
        <v>20221</v>
      </c>
      <c r="AQ3167" s="28" t="str">
        <f t="shared" si="949"/>
        <v>20221JPY</v>
      </c>
      <c r="AR3167" s="206" t="str">
        <f t="shared" si="950"/>
        <v>YAMAHA_Mounter</v>
      </c>
      <c r="AS3167" s="22">
        <f t="shared" si="951"/>
        <v>9</v>
      </c>
      <c r="AT3167" s="24" t="str">
        <f t="shared" si="952"/>
        <v>&gt; 6 months</v>
      </c>
    </row>
    <row r="3168" spans="1:46" s="12" customFormat="1">
      <c r="A3168" s="33" t="str">
        <f t="shared" si="940"/>
        <v>FY 18/19</v>
      </c>
      <c r="B3168" s="152">
        <v>2019</v>
      </c>
      <c r="C3168" s="152">
        <v>2</v>
      </c>
      <c r="D3168" s="33" t="str">
        <f t="shared" si="941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42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3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57"/>
        <v>30624000</v>
      </c>
      <c r="AA3168" s="13">
        <v>7.22E-2</v>
      </c>
      <c r="AB3168" s="21">
        <f t="shared" si="944"/>
        <v>2211052.7999999998</v>
      </c>
      <c r="AC3168" s="130">
        <f t="shared" si="945"/>
        <v>228401.75423999998</v>
      </c>
      <c r="AD3168" s="169">
        <v>0.1033</v>
      </c>
      <c r="AE3168" s="154">
        <f t="shared" si="946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54"/>
        <v>47416008.333399981</v>
      </c>
      <c r="AJ3168" s="19">
        <f t="shared" si="955"/>
        <v>6981738.4465290187</v>
      </c>
      <c r="AK3168" s="20">
        <f t="shared" si="947"/>
        <v>0.14724433143839863</v>
      </c>
      <c r="AL3168" s="17"/>
      <c r="AM3168" s="17"/>
      <c r="AN3168" s="17"/>
      <c r="AO3168" s="17"/>
      <c r="AP3168" s="28" t="str">
        <f t="shared" si="948"/>
        <v>20193</v>
      </c>
      <c r="AQ3168" s="28" t="str">
        <f t="shared" si="949"/>
        <v>20193JPY</v>
      </c>
      <c r="AR3168" s="206" t="str">
        <f t="shared" si="950"/>
        <v>YAMAHA_Mounter</v>
      </c>
      <c r="AS3168" s="22">
        <f t="shared" si="951"/>
        <v>1</v>
      </c>
      <c r="AT3168" s="24" t="str">
        <f t="shared" si="952"/>
        <v>0-3 months</v>
      </c>
    </row>
    <row r="3169" spans="1:46" s="12" customFormat="1">
      <c r="A3169" s="33" t="str">
        <f t="shared" si="940"/>
        <v>FY 22/23</v>
      </c>
      <c r="B3169" s="152">
        <v>2022</v>
      </c>
      <c r="C3169" s="152">
        <v>11</v>
      </c>
      <c r="D3169" s="33" t="str">
        <f t="shared" si="941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42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3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8">IF(W3169="RMB","1.13", "1")</f>
        <v>1.13</v>
      </c>
      <c r="Z3169" s="18">
        <f t="shared" si="957"/>
        <v>733868</v>
      </c>
      <c r="AA3169" s="13">
        <v>1.1599999999999999</v>
      </c>
      <c r="AB3169" s="21">
        <f t="shared" si="944"/>
        <v>753351.22123893804</v>
      </c>
      <c r="AC3169" s="130">
        <f t="shared" si="945"/>
        <v>90402.146548672565</v>
      </c>
      <c r="AD3169" s="169">
        <v>0.12</v>
      </c>
      <c r="AE3169" s="154">
        <f t="shared" si="946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54"/>
        <v>21045012.884955753</v>
      </c>
      <c r="AJ3169" s="19">
        <f t="shared" si="955"/>
        <v>2650260.9603327443</v>
      </c>
      <c r="AK3169" s="20">
        <f t="shared" si="947"/>
        <v>0.12593296924172048</v>
      </c>
      <c r="AL3169" s="17"/>
      <c r="AM3169" s="17"/>
      <c r="AN3169" s="17"/>
      <c r="AO3169" s="17"/>
      <c r="AP3169" s="28" t="str">
        <f t="shared" si="948"/>
        <v>20232</v>
      </c>
      <c r="AQ3169" s="28" t="str">
        <f t="shared" si="949"/>
        <v>20232RMB</v>
      </c>
      <c r="AR3169" s="206" t="str">
        <f t="shared" si="950"/>
        <v>YAMAHA_Mounter</v>
      </c>
      <c r="AS3169" s="22">
        <f t="shared" si="951"/>
        <v>3</v>
      </c>
      <c r="AT3169" s="24" t="str">
        <f t="shared" si="952"/>
        <v>0-3 months</v>
      </c>
    </row>
    <row r="3170" spans="1:46" s="12" customFormat="1">
      <c r="A3170" s="33" t="str">
        <f t="shared" si="940"/>
        <v>FY 22/23</v>
      </c>
      <c r="B3170" s="152">
        <v>2022</v>
      </c>
      <c r="C3170" s="152">
        <v>11</v>
      </c>
      <c r="D3170" s="33" t="str">
        <f t="shared" si="941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42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3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8"/>
        <v>1.13</v>
      </c>
      <c r="Z3170" s="18">
        <f t="shared" si="957"/>
        <v>910000</v>
      </c>
      <c r="AA3170" s="13">
        <v>1.1599999999999999</v>
      </c>
      <c r="AB3170" s="21">
        <f t="shared" si="944"/>
        <v>934159.29203539819</v>
      </c>
      <c r="AC3170" s="130">
        <f t="shared" si="945"/>
        <v>112099.11504424778</v>
      </c>
      <c r="AD3170" s="169">
        <v>0.12</v>
      </c>
      <c r="AE3170" s="154">
        <f t="shared" si="946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54"/>
        <v>21045012.884955753</v>
      </c>
      <c r="AJ3170" s="19">
        <f t="shared" si="955"/>
        <v>2650260.9603327443</v>
      </c>
      <c r="AK3170" s="20">
        <f t="shared" si="947"/>
        <v>0.12593296924172048</v>
      </c>
      <c r="AL3170" s="17"/>
      <c r="AM3170" s="17"/>
      <c r="AN3170" s="17"/>
      <c r="AO3170" s="17"/>
      <c r="AP3170" s="28" t="str">
        <f t="shared" si="948"/>
        <v>20232</v>
      </c>
      <c r="AQ3170" s="28" t="str">
        <f t="shared" si="949"/>
        <v>20232RMB</v>
      </c>
      <c r="AR3170" s="206" t="str">
        <f t="shared" si="950"/>
        <v>YAMAHA_Mounter</v>
      </c>
      <c r="AS3170" s="22">
        <f t="shared" si="951"/>
        <v>3</v>
      </c>
      <c r="AT3170" s="24" t="str">
        <f t="shared" si="952"/>
        <v>0-3 months</v>
      </c>
    </row>
    <row r="3171" spans="1:46" s="12" customFormat="1">
      <c r="A3171" s="33" t="str">
        <f t="shared" si="940"/>
        <v>FY 20/21</v>
      </c>
      <c r="B3171" s="152">
        <v>2020</v>
      </c>
      <c r="C3171" s="152">
        <v>10</v>
      </c>
      <c r="D3171" s="33" t="str">
        <f t="shared" si="941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42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3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8"/>
        <v>1</v>
      </c>
      <c r="Z3171" s="18">
        <f t="shared" si="957"/>
        <v>10200000</v>
      </c>
      <c r="AA3171" s="13">
        <v>7.6100000000000001E-2</v>
      </c>
      <c r="AB3171" s="21">
        <f t="shared" si="944"/>
        <v>776220</v>
      </c>
      <c r="AC3171" s="130">
        <f t="shared" si="945"/>
        <v>70015.044000000009</v>
      </c>
      <c r="AD3171" s="169">
        <v>9.0200000000000002E-2</v>
      </c>
      <c r="AE3171" s="154">
        <f t="shared" si="946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54"/>
        <v>48763143.537654862</v>
      </c>
      <c r="AJ3171" s="19">
        <f t="shared" si="955"/>
        <v>5924029.9702154724</v>
      </c>
      <c r="AK3171" s="20">
        <f t="shared" si="947"/>
        <v>0.1214858095774925</v>
      </c>
      <c r="AL3171" s="17"/>
      <c r="AM3171" s="17"/>
      <c r="AN3171" s="17"/>
      <c r="AO3171" s="17"/>
      <c r="AP3171" s="28" t="str">
        <f t="shared" si="948"/>
        <v>202012</v>
      </c>
      <c r="AQ3171" s="28" t="str">
        <f t="shared" si="949"/>
        <v>202012JPY</v>
      </c>
      <c r="AR3171" s="206" t="str">
        <f t="shared" si="950"/>
        <v>YAMAHA_Mounter</v>
      </c>
      <c r="AS3171" s="22">
        <f t="shared" si="951"/>
        <v>2</v>
      </c>
      <c r="AT3171" s="24" t="str">
        <f t="shared" si="952"/>
        <v>0-3 months</v>
      </c>
    </row>
    <row r="3172" spans="1:46" s="12" customFormat="1">
      <c r="A3172" s="33" t="str">
        <f t="shared" si="940"/>
        <v>FY 20/21</v>
      </c>
      <c r="B3172" s="152">
        <v>2020</v>
      </c>
      <c r="C3172" s="152">
        <v>10</v>
      </c>
      <c r="D3172" s="33" t="str">
        <f t="shared" si="941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42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3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8"/>
        <v>1</v>
      </c>
      <c r="Z3172" s="18">
        <f t="shared" si="957"/>
        <v>10200000</v>
      </c>
      <c r="AA3172" s="13">
        <v>7.6100000000000001E-2</v>
      </c>
      <c r="AB3172" s="21">
        <f t="shared" si="944"/>
        <v>776220</v>
      </c>
      <c r="AC3172" s="130">
        <f t="shared" si="945"/>
        <v>70015.044000000009</v>
      </c>
      <c r="AD3172" s="169">
        <v>9.0200000000000002E-2</v>
      </c>
      <c r="AE3172" s="154">
        <f t="shared" si="946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54"/>
        <v>48763143.537654862</v>
      </c>
      <c r="AJ3172" s="19">
        <f t="shared" si="955"/>
        <v>5924029.9702154724</v>
      </c>
      <c r="AK3172" s="20">
        <f t="shared" si="947"/>
        <v>0.1214858095774925</v>
      </c>
      <c r="AL3172" s="17"/>
      <c r="AM3172" s="17"/>
      <c r="AN3172" s="17"/>
      <c r="AO3172" s="17"/>
      <c r="AP3172" s="28" t="str">
        <f t="shared" si="948"/>
        <v>202012</v>
      </c>
      <c r="AQ3172" s="28" t="str">
        <f t="shared" si="949"/>
        <v>202012JPY</v>
      </c>
      <c r="AR3172" s="206" t="str">
        <f t="shared" si="950"/>
        <v>YAMAHA_Mounter</v>
      </c>
      <c r="AS3172" s="22">
        <f t="shared" si="951"/>
        <v>2</v>
      </c>
      <c r="AT3172" s="24" t="str">
        <f t="shared" si="952"/>
        <v>0-3 months</v>
      </c>
    </row>
    <row r="3173" spans="1:46" s="12" customFormat="1">
      <c r="A3173" s="33" t="str">
        <f t="shared" si="940"/>
        <v>FY 20/21</v>
      </c>
      <c r="B3173" s="152">
        <v>2020</v>
      </c>
      <c r="C3173" s="152">
        <v>10</v>
      </c>
      <c r="D3173" s="33" t="str">
        <f t="shared" si="941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42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3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8"/>
        <v>1</v>
      </c>
      <c r="Z3173" s="18">
        <f t="shared" si="957"/>
        <v>10200000</v>
      </c>
      <c r="AA3173" s="13">
        <v>7.6100000000000001E-2</v>
      </c>
      <c r="AB3173" s="21">
        <f t="shared" si="944"/>
        <v>776220</v>
      </c>
      <c r="AC3173" s="130">
        <f t="shared" si="945"/>
        <v>70015.044000000009</v>
      </c>
      <c r="AD3173" s="169">
        <v>9.0200000000000002E-2</v>
      </c>
      <c r="AE3173" s="154">
        <f t="shared" si="946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54"/>
        <v>48763143.537654862</v>
      </c>
      <c r="AJ3173" s="19">
        <f t="shared" si="955"/>
        <v>5924029.9702154724</v>
      </c>
      <c r="AK3173" s="20">
        <f t="shared" si="947"/>
        <v>0.1214858095774925</v>
      </c>
      <c r="AL3173" s="17"/>
      <c r="AM3173" s="17"/>
      <c r="AN3173" s="17"/>
      <c r="AO3173" s="17"/>
      <c r="AP3173" s="28" t="str">
        <f t="shared" si="948"/>
        <v>202012</v>
      </c>
      <c r="AQ3173" s="28" t="str">
        <f t="shared" si="949"/>
        <v>202012JPY</v>
      </c>
      <c r="AR3173" s="206" t="str">
        <f t="shared" si="950"/>
        <v>YAMAHA_Mounter</v>
      </c>
      <c r="AS3173" s="22">
        <f t="shared" si="951"/>
        <v>2</v>
      </c>
      <c r="AT3173" s="24" t="str">
        <f t="shared" si="952"/>
        <v>0-3 months</v>
      </c>
    </row>
    <row r="3174" spans="1:46" s="12" customFormat="1">
      <c r="A3174" s="33" t="str">
        <f t="shared" si="940"/>
        <v>FY 20/21</v>
      </c>
      <c r="B3174" s="152">
        <v>2020</v>
      </c>
      <c r="C3174" s="152">
        <v>10</v>
      </c>
      <c r="D3174" s="33" t="str">
        <f t="shared" si="941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42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3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8"/>
        <v>1</v>
      </c>
      <c r="Z3174" s="18">
        <f t="shared" si="957"/>
        <v>10200000</v>
      </c>
      <c r="AA3174" s="13">
        <v>7.6100000000000001E-2</v>
      </c>
      <c r="AB3174" s="21">
        <f t="shared" si="944"/>
        <v>776220</v>
      </c>
      <c r="AC3174" s="130">
        <f t="shared" si="945"/>
        <v>70015.044000000009</v>
      </c>
      <c r="AD3174" s="169">
        <v>9.0200000000000002E-2</v>
      </c>
      <c r="AE3174" s="154">
        <f t="shared" si="946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54"/>
        <v>48763143.537654862</v>
      </c>
      <c r="AJ3174" s="19">
        <f t="shared" si="955"/>
        <v>5924029.9702154724</v>
      </c>
      <c r="AK3174" s="20">
        <f t="shared" si="947"/>
        <v>0.1214858095774925</v>
      </c>
      <c r="AL3174" s="17"/>
      <c r="AM3174" s="17"/>
      <c r="AN3174" s="17"/>
      <c r="AO3174" s="17"/>
      <c r="AP3174" s="28" t="str">
        <f t="shared" si="948"/>
        <v>202012</v>
      </c>
      <c r="AQ3174" s="28" t="str">
        <f t="shared" si="949"/>
        <v>202012JPY</v>
      </c>
      <c r="AR3174" s="206" t="str">
        <f t="shared" si="950"/>
        <v>YAMAHA_Mounter</v>
      </c>
      <c r="AS3174" s="22">
        <f t="shared" si="951"/>
        <v>2</v>
      </c>
      <c r="AT3174" s="24" t="str">
        <f t="shared" si="952"/>
        <v>0-3 months</v>
      </c>
    </row>
    <row r="3175" spans="1:46" s="12" customFormat="1">
      <c r="A3175" s="33" t="str">
        <f t="shared" si="940"/>
        <v>FY 20/21</v>
      </c>
      <c r="B3175" s="152">
        <v>2020</v>
      </c>
      <c r="C3175" s="152">
        <v>10</v>
      </c>
      <c r="D3175" s="33" t="str">
        <f t="shared" si="941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42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3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8"/>
        <v>1</v>
      </c>
      <c r="Z3175" s="18">
        <f t="shared" si="957"/>
        <v>7600000</v>
      </c>
      <c r="AA3175" s="13">
        <v>7.6100000000000001E-2</v>
      </c>
      <c r="AB3175" s="21">
        <f t="shared" si="944"/>
        <v>578360</v>
      </c>
      <c r="AC3175" s="130">
        <f t="shared" si="945"/>
        <v>52168.072</v>
      </c>
      <c r="AD3175" s="169">
        <v>9.0200000000000002E-2</v>
      </c>
      <c r="AE3175" s="154">
        <f t="shared" si="946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54"/>
        <v>48763143.537654862</v>
      </c>
      <c r="AJ3175" s="19">
        <f t="shared" si="955"/>
        <v>5924029.9702154724</v>
      </c>
      <c r="AK3175" s="20">
        <f t="shared" si="947"/>
        <v>0.1214858095774925</v>
      </c>
      <c r="AL3175" s="17"/>
      <c r="AM3175" s="17"/>
      <c r="AN3175" s="17"/>
      <c r="AO3175" s="17"/>
      <c r="AP3175" s="28" t="str">
        <f t="shared" si="948"/>
        <v>202012</v>
      </c>
      <c r="AQ3175" s="28" t="str">
        <f t="shared" si="949"/>
        <v>202012JPY</v>
      </c>
      <c r="AR3175" s="206" t="str">
        <f t="shared" si="950"/>
        <v>YAMAHA_Mounter</v>
      </c>
      <c r="AS3175" s="22">
        <f t="shared" si="951"/>
        <v>2</v>
      </c>
      <c r="AT3175" s="24" t="str">
        <f t="shared" si="952"/>
        <v>0-3 months</v>
      </c>
    </row>
    <row r="3176" spans="1:46" s="12" customFormat="1">
      <c r="A3176" s="33" t="str">
        <f t="shared" si="940"/>
        <v>FY 20/21</v>
      </c>
      <c r="B3176" s="152">
        <v>2020</v>
      </c>
      <c r="C3176" s="152">
        <v>10</v>
      </c>
      <c r="D3176" s="33" t="str">
        <f t="shared" si="941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42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3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8"/>
        <v>1</v>
      </c>
      <c r="Z3176" s="18">
        <f t="shared" si="957"/>
        <v>10200000</v>
      </c>
      <c r="AA3176" s="13">
        <v>7.6799999999999993E-2</v>
      </c>
      <c r="AB3176" s="21">
        <f t="shared" si="944"/>
        <v>783359.99999999988</v>
      </c>
      <c r="AC3176" s="130">
        <f t="shared" si="945"/>
        <v>79432.703999999998</v>
      </c>
      <c r="AD3176" s="169">
        <v>0.1014</v>
      </c>
      <c r="AE3176" s="154">
        <f t="shared" si="946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54"/>
        <v>45803245.025628321</v>
      </c>
      <c r="AJ3176" s="19">
        <f t="shared" si="955"/>
        <v>5664636.2584379362</v>
      </c>
      <c r="AK3176" s="20">
        <f t="shared" si="947"/>
        <v>0.12367325186825515</v>
      </c>
      <c r="AL3176" s="17"/>
      <c r="AM3176" s="17"/>
      <c r="AN3176" s="17"/>
      <c r="AO3176" s="17"/>
      <c r="AP3176" s="28" t="str">
        <f t="shared" si="948"/>
        <v>20211</v>
      </c>
      <c r="AQ3176" s="28" t="str">
        <f t="shared" si="949"/>
        <v>20211JPY</v>
      </c>
      <c r="AR3176" s="206" t="str">
        <f t="shared" si="950"/>
        <v>YAMAHA_Mounter</v>
      </c>
      <c r="AS3176" s="22">
        <f t="shared" si="951"/>
        <v>3</v>
      </c>
      <c r="AT3176" s="24" t="str">
        <f t="shared" si="952"/>
        <v>0-3 months</v>
      </c>
    </row>
    <row r="3177" spans="1:46" s="12" customFormat="1">
      <c r="A3177" s="33" t="str">
        <f t="shared" si="940"/>
        <v>FY 20/21</v>
      </c>
      <c r="B3177" s="152">
        <v>2020</v>
      </c>
      <c r="C3177" s="152">
        <v>10</v>
      </c>
      <c r="D3177" s="33" t="str">
        <f t="shared" si="941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42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3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8"/>
        <v>1</v>
      </c>
      <c r="Z3177" s="18">
        <f t="shared" si="957"/>
        <v>10200000</v>
      </c>
      <c r="AA3177" s="13">
        <v>7.6799999999999993E-2</v>
      </c>
      <c r="AB3177" s="21">
        <f t="shared" si="944"/>
        <v>783359.99999999988</v>
      </c>
      <c r="AC3177" s="130">
        <f t="shared" si="945"/>
        <v>79432.703999999998</v>
      </c>
      <c r="AD3177" s="169">
        <v>0.1014</v>
      </c>
      <c r="AE3177" s="154">
        <f t="shared" si="946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54"/>
        <v>45803245.025628321</v>
      </c>
      <c r="AJ3177" s="19">
        <f t="shared" si="955"/>
        <v>5664636.2584379362</v>
      </c>
      <c r="AK3177" s="20">
        <f t="shared" si="947"/>
        <v>0.12367325186825515</v>
      </c>
      <c r="AL3177" s="17"/>
      <c r="AM3177" s="17"/>
      <c r="AN3177" s="17"/>
      <c r="AO3177" s="17"/>
      <c r="AP3177" s="28" t="str">
        <f t="shared" si="948"/>
        <v>20211</v>
      </c>
      <c r="AQ3177" s="28" t="str">
        <f t="shared" si="949"/>
        <v>20211JPY</v>
      </c>
      <c r="AR3177" s="206" t="str">
        <f t="shared" si="950"/>
        <v>YAMAHA_Mounter</v>
      </c>
      <c r="AS3177" s="22">
        <f t="shared" si="951"/>
        <v>3</v>
      </c>
      <c r="AT3177" s="24" t="str">
        <f t="shared" si="952"/>
        <v>0-3 months</v>
      </c>
    </row>
    <row r="3178" spans="1:46" s="12" customFormat="1">
      <c r="A3178" s="33" t="str">
        <f t="shared" si="940"/>
        <v>FY 20/21</v>
      </c>
      <c r="B3178" s="152">
        <v>2020</v>
      </c>
      <c r="C3178" s="152">
        <v>10</v>
      </c>
      <c r="D3178" s="33" t="str">
        <f t="shared" si="941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42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3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8"/>
        <v>1</v>
      </c>
      <c r="Z3178" s="18">
        <f t="shared" si="957"/>
        <v>10200000</v>
      </c>
      <c r="AA3178" s="13">
        <v>7.6799999999999993E-2</v>
      </c>
      <c r="AB3178" s="21">
        <f t="shared" si="944"/>
        <v>783359.99999999988</v>
      </c>
      <c r="AC3178" s="130">
        <f t="shared" si="945"/>
        <v>79432.703999999998</v>
      </c>
      <c r="AD3178" s="169">
        <v>0.1014</v>
      </c>
      <c r="AE3178" s="154">
        <f t="shared" si="946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54"/>
        <v>45803245.025628321</v>
      </c>
      <c r="AJ3178" s="19">
        <f t="shared" si="955"/>
        <v>5664636.2584379362</v>
      </c>
      <c r="AK3178" s="20">
        <f t="shared" si="947"/>
        <v>0.12367325186825515</v>
      </c>
      <c r="AL3178" s="17"/>
      <c r="AM3178" s="17"/>
      <c r="AN3178" s="17"/>
      <c r="AO3178" s="17"/>
      <c r="AP3178" s="28" t="str">
        <f t="shared" si="948"/>
        <v>20211</v>
      </c>
      <c r="AQ3178" s="28" t="str">
        <f t="shared" si="949"/>
        <v>20211JPY</v>
      </c>
      <c r="AR3178" s="206" t="str">
        <f t="shared" si="950"/>
        <v>YAMAHA_Mounter</v>
      </c>
      <c r="AS3178" s="22">
        <f t="shared" si="951"/>
        <v>3</v>
      </c>
      <c r="AT3178" s="24" t="str">
        <f t="shared" si="952"/>
        <v>0-3 months</v>
      </c>
    </row>
    <row r="3179" spans="1:46" s="12" customFormat="1">
      <c r="A3179" s="33" t="str">
        <f t="shared" si="940"/>
        <v>FY 20/21</v>
      </c>
      <c r="B3179" s="152">
        <v>2020</v>
      </c>
      <c r="C3179" s="152">
        <v>10</v>
      </c>
      <c r="D3179" s="33" t="str">
        <f t="shared" si="941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42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3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8"/>
        <v>1</v>
      </c>
      <c r="Z3179" s="18">
        <f t="shared" si="957"/>
        <v>10200000</v>
      </c>
      <c r="AA3179" s="13">
        <v>7.6799999999999993E-2</v>
      </c>
      <c r="AB3179" s="21">
        <f t="shared" si="944"/>
        <v>783359.99999999988</v>
      </c>
      <c r="AC3179" s="130">
        <f t="shared" si="945"/>
        <v>79432.703999999998</v>
      </c>
      <c r="AD3179" s="169">
        <v>0.1014</v>
      </c>
      <c r="AE3179" s="154">
        <f t="shared" si="946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54"/>
        <v>45803245.025628321</v>
      </c>
      <c r="AJ3179" s="19">
        <f t="shared" si="955"/>
        <v>5664636.2584379362</v>
      </c>
      <c r="AK3179" s="20">
        <f t="shared" si="947"/>
        <v>0.12367325186825515</v>
      </c>
      <c r="AL3179" s="17"/>
      <c r="AM3179" s="17"/>
      <c r="AN3179" s="17"/>
      <c r="AO3179" s="17"/>
      <c r="AP3179" s="28" t="str">
        <f t="shared" si="948"/>
        <v>20211</v>
      </c>
      <c r="AQ3179" s="28" t="str">
        <f t="shared" si="949"/>
        <v>20211JPY</v>
      </c>
      <c r="AR3179" s="206" t="str">
        <f t="shared" si="950"/>
        <v>YAMAHA_Mounter</v>
      </c>
      <c r="AS3179" s="22">
        <f t="shared" si="951"/>
        <v>3</v>
      </c>
      <c r="AT3179" s="24" t="str">
        <f t="shared" si="952"/>
        <v>0-3 months</v>
      </c>
    </row>
    <row r="3180" spans="1:46" s="12" customFormat="1">
      <c r="A3180" s="33" t="str">
        <f t="shared" ref="A3180:A3243" si="959">IF(C3180="cancel","cancel",IFERROR(IF(D3180="Q4","FY "&amp;RIGHT(B3180,2)-1&amp;"/"&amp;RIGHT(B3180,2),"FY "&amp;RIGHT(B3180,2)&amp;"/"&amp;RIGHT(B3180,2)+1),""))</f>
        <v>FY 20/21</v>
      </c>
      <c r="B3180" s="152">
        <v>2020</v>
      </c>
      <c r="C3180" s="152">
        <v>10</v>
      </c>
      <c r="D3180" s="33" t="str">
        <f t="shared" ref="D3180:D3243" si="960">IF(B3180="","",IF(AND(C3180&gt;=10,C3180&lt;=12),"Q3",IF(AND(C3180&gt;=1,C3180&lt;=3),"Q4",IF(AND(C3180&gt;=7,C3180&lt;=9),"Q2",IF(AND(C3180&gt;=4,C3180&lt;=6),"Q1")))))</f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ref="I3180:I3243" si="961">IFERROR(IF(F3180="","",IF(F3180="TBA","TBA",IF(F3180="Cancel","Cancel",IF(AND(G3180&gt;=10,G3180&lt;=12),"Q3",IF(AND(G3180&gt;=1,G3180&lt;=3),"Q4",IF(AND(G3180&gt;=7,G3180&lt;=9),"Q2",IF(AND(G3180&gt;=4,G3180&lt;=6),"Q1"))))))),"")</f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ref="P3180:P3243" si="962">IF(M3180="","",IF(AND(N3180&gt;0,L3180&lt;&gt;""),"MAIN UNIT",IF(AND(O3180&gt;0,L3180&lt;&gt;""),"SERVICE/ PARTS","C66 SERVICE/OTHERS")))</f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8"/>
        <v>1</v>
      </c>
      <c r="Z3180" s="18">
        <f t="shared" si="957"/>
        <v>7600000</v>
      </c>
      <c r="AA3180" s="13">
        <v>7.6799999999999993E-2</v>
      </c>
      <c r="AB3180" s="21">
        <f t="shared" ref="AB3180:AB3243" si="963">IF(AND(R3180&lt;&gt;"C66",R3180&lt;&gt;""),Z3180/Y3180*AA3180,"")</f>
        <v>583680</v>
      </c>
      <c r="AC3180" s="130">
        <f t="shared" ref="AC3180:AC3243" si="964">IF(R3180&lt;&gt;"",AB3180*AD3180,"")</f>
        <v>59185.152000000002</v>
      </c>
      <c r="AD3180" s="169">
        <v>0.1014</v>
      </c>
      <c r="AE3180" s="154">
        <f t="shared" ref="AE3180:AE3243" si="965">IF(Q3180="","",IF(Q3180="Yes",1,0))</f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54"/>
        <v>45803245.025628321</v>
      </c>
      <c r="AJ3180" s="19">
        <f t="shared" si="955"/>
        <v>5664636.2584379362</v>
      </c>
      <c r="AK3180" s="20">
        <f t="shared" ref="AK3180:AK3243" si="966">IF(AJ3180&gt;0,AJ3180/AI3180,"")</f>
        <v>0.12367325186825515</v>
      </c>
      <c r="AL3180" s="17"/>
      <c r="AM3180" s="17"/>
      <c r="AN3180" s="17"/>
      <c r="AO3180" s="17"/>
      <c r="AP3180" s="28" t="str">
        <f t="shared" ref="AP3180:AP3243" si="967">IF(F3180="","",F3180&amp;G3180)</f>
        <v>20211</v>
      </c>
      <c r="AQ3180" s="28" t="str">
        <f t="shared" ref="AQ3180:AQ3243" si="968">IF(W3180="","",F3180&amp;G3180&amp;W3180)</f>
        <v>20211JPY</v>
      </c>
      <c r="AR3180" s="206" t="str">
        <f t="shared" ref="AR3180:AR3243" si="969">IFERROR(IF(AND(M3180="YAMAHA", R3180="C28"), "YAMAHA_Non_Mounter", IF(AND(M3180="YAMAHA", R3180="C49"), "YAMAHA_Mounter", M3180)),"")</f>
        <v>YAMAHA_Mounter</v>
      </c>
      <c r="AS3180" s="22">
        <f t="shared" ref="AS3180:AS3243" si="970">IFERROR(IF(OR(G3180="TBA", G3180=""), "", DATEDIF(DATE(B3180, C3180, 1), DATE(F3180, G3180, 1), "M")),"")</f>
        <v>3</v>
      </c>
      <c r="AT3180" s="24" t="str">
        <f t="shared" ref="AT3180:AT3243" si="971">IF(ISNUMBER(AS3180), IF(AS3180&gt;=0, IF(AS3180&lt;=3, "0-3 months", IF(AS3180&lt;=6, "4-6 months", "&gt; 6 months"))), "")</f>
        <v>0-3 months</v>
      </c>
    </row>
    <row r="3181" spans="1:46" s="12" customFormat="1">
      <c r="A3181" s="33" t="str">
        <f t="shared" si="959"/>
        <v>FY 21/22</v>
      </c>
      <c r="B3181" s="152">
        <v>2021</v>
      </c>
      <c r="C3181" s="152">
        <v>6</v>
      </c>
      <c r="D3181" s="33" t="str">
        <f t="shared" si="960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61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62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8"/>
        <v>1</v>
      </c>
      <c r="Z3181" s="18">
        <f t="shared" si="957"/>
        <v>10877781</v>
      </c>
      <c r="AA3181" s="13">
        <v>6.2799999999999995E-2</v>
      </c>
      <c r="AB3181" s="21">
        <f t="shared" si="963"/>
        <v>683124.64679999999</v>
      </c>
      <c r="AC3181" s="130">
        <f t="shared" si="964"/>
        <v>76100.08565352</v>
      </c>
      <c r="AD3181" s="169">
        <v>0.1114</v>
      </c>
      <c r="AE3181" s="154">
        <f t="shared" si="965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54"/>
        <v>44014086.982070789</v>
      </c>
      <c r="AJ3181" s="19">
        <f t="shared" si="955"/>
        <v>6419974.0221889298</v>
      </c>
      <c r="AK3181" s="20">
        <f t="shared" si="966"/>
        <v>0.14586180158193709</v>
      </c>
      <c r="AL3181" s="17"/>
      <c r="AM3181" s="17"/>
      <c r="AN3181" s="17"/>
      <c r="AO3181" s="17"/>
      <c r="AP3181" s="28" t="str">
        <f t="shared" si="967"/>
        <v>20225</v>
      </c>
      <c r="AQ3181" s="28" t="str">
        <f t="shared" si="968"/>
        <v>20225JPY</v>
      </c>
      <c r="AR3181" s="206" t="str">
        <f t="shared" si="969"/>
        <v>YAMAHA_Mounter</v>
      </c>
      <c r="AS3181" s="22">
        <f t="shared" si="970"/>
        <v>11</v>
      </c>
      <c r="AT3181" s="24" t="str">
        <f t="shared" si="971"/>
        <v>&gt; 6 months</v>
      </c>
    </row>
    <row r="3182" spans="1:46" s="12" customFormat="1">
      <c r="A3182" s="33" t="str">
        <f t="shared" si="959"/>
        <v>FY 21/22</v>
      </c>
      <c r="B3182" s="152">
        <v>2021</v>
      </c>
      <c r="C3182" s="152">
        <v>6</v>
      </c>
      <c r="D3182" s="33" t="str">
        <f t="shared" si="960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61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62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8"/>
        <v>1</v>
      </c>
      <c r="Z3182" s="18">
        <f t="shared" si="957"/>
        <v>10877781</v>
      </c>
      <c r="AA3182" s="13">
        <v>6.2799999999999995E-2</v>
      </c>
      <c r="AB3182" s="21">
        <f t="shared" si="963"/>
        <v>683124.64679999999</v>
      </c>
      <c r="AC3182" s="130">
        <f t="shared" si="964"/>
        <v>76100.08565352</v>
      </c>
      <c r="AD3182" s="169">
        <v>0.1114</v>
      </c>
      <c r="AE3182" s="154">
        <f t="shared" si="965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54"/>
        <v>44014086.982070789</v>
      </c>
      <c r="AJ3182" s="19">
        <f t="shared" si="955"/>
        <v>6419974.0221889298</v>
      </c>
      <c r="AK3182" s="20">
        <f t="shared" si="966"/>
        <v>0.14586180158193709</v>
      </c>
      <c r="AL3182" s="17"/>
      <c r="AM3182" s="17"/>
      <c r="AN3182" s="17"/>
      <c r="AO3182" s="17"/>
      <c r="AP3182" s="28" t="str">
        <f t="shared" si="967"/>
        <v>20225</v>
      </c>
      <c r="AQ3182" s="28" t="str">
        <f t="shared" si="968"/>
        <v>20225JPY</v>
      </c>
      <c r="AR3182" s="206" t="str">
        <f t="shared" si="969"/>
        <v>YAMAHA_Mounter</v>
      </c>
      <c r="AS3182" s="22">
        <f t="shared" si="970"/>
        <v>11</v>
      </c>
      <c r="AT3182" s="24" t="str">
        <f t="shared" si="971"/>
        <v>&gt; 6 months</v>
      </c>
    </row>
    <row r="3183" spans="1:46" s="12" customFormat="1">
      <c r="A3183" s="33" t="str">
        <f t="shared" si="959"/>
        <v>FY 21/22</v>
      </c>
      <c r="B3183" s="152">
        <v>2021</v>
      </c>
      <c r="C3183" s="152">
        <v>6</v>
      </c>
      <c r="D3183" s="33" t="str">
        <f t="shared" si="960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61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62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8"/>
        <v>1</v>
      </c>
      <c r="Z3183" s="18">
        <f t="shared" si="957"/>
        <v>10877781</v>
      </c>
      <c r="AA3183" s="13">
        <v>6.2799999999999995E-2</v>
      </c>
      <c r="AB3183" s="21">
        <f t="shared" si="963"/>
        <v>683124.64679999999</v>
      </c>
      <c r="AC3183" s="130">
        <f t="shared" si="964"/>
        <v>76100.08565352</v>
      </c>
      <c r="AD3183" s="169">
        <v>0.1114</v>
      </c>
      <c r="AE3183" s="154">
        <f t="shared" si="965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54"/>
        <v>44014086.982070789</v>
      </c>
      <c r="AJ3183" s="19">
        <f t="shared" si="955"/>
        <v>6419974.0221889298</v>
      </c>
      <c r="AK3183" s="20">
        <f t="shared" si="966"/>
        <v>0.14586180158193709</v>
      </c>
      <c r="AL3183" s="17"/>
      <c r="AM3183" s="17"/>
      <c r="AN3183" s="17"/>
      <c r="AO3183" s="17"/>
      <c r="AP3183" s="28" t="str">
        <f t="shared" si="967"/>
        <v>20225</v>
      </c>
      <c r="AQ3183" s="28" t="str">
        <f t="shared" si="968"/>
        <v>20225JPY</v>
      </c>
      <c r="AR3183" s="206" t="str">
        <f t="shared" si="969"/>
        <v>YAMAHA_Mounter</v>
      </c>
      <c r="AS3183" s="22">
        <f t="shared" si="970"/>
        <v>11</v>
      </c>
      <c r="AT3183" s="24" t="str">
        <f t="shared" si="971"/>
        <v>&gt; 6 months</v>
      </c>
    </row>
    <row r="3184" spans="1:46" s="12" customFormat="1">
      <c r="A3184" s="33" t="str">
        <f t="shared" si="959"/>
        <v>FY 21/22</v>
      </c>
      <c r="B3184" s="152">
        <v>2021</v>
      </c>
      <c r="C3184" s="152">
        <v>6</v>
      </c>
      <c r="D3184" s="33" t="str">
        <f t="shared" si="960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61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62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8"/>
        <v>1</v>
      </c>
      <c r="Z3184" s="18">
        <f t="shared" si="957"/>
        <v>10877781</v>
      </c>
      <c r="AA3184" s="13">
        <v>6.2799999999999995E-2</v>
      </c>
      <c r="AB3184" s="21">
        <f t="shared" si="963"/>
        <v>683124.64679999999</v>
      </c>
      <c r="AC3184" s="130">
        <f t="shared" si="964"/>
        <v>76100.08565352</v>
      </c>
      <c r="AD3184" s="169">
        <v>0.1114</v>
      </c>
      <c r="AE3184" s="154">
        <f t="shared" si="965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54"/>
        <v>44014086.982070789</v>
      </c>
      <c r="AJ3184" s="19">
        <f t="shared" si="955"/>
        <v>6419974.0221889298</v>
      </c>
      <c r="AK3184" s="20">
        <f t="shared" si="966"/>
        <v>0.14586180158193709</v>
      </c>
      <c r="AL3184" s="17"/>
      <c r="AM3184" s="17"/>
      <c r="AN3184" s="17"/>
      <c r="AO3184" s="17"/>
      <c r="AP3184" s="28" t="str">
        <f t="shared" si="967"/>
        <v>20225</v>
      </c>
      <c r="AQ3184" s="28" t="str">
        <f t="shared" si="968"/>
        <v>20225JPY</v>
      </c>
      <c r="AR3184" s="206" t="str">
        <f t="shared" si="969"/>
        <v>YAMAHA_Mounter</v>
      </c>
      <c r="AS3184" s="22">
        <f t="shared" si="970"/>
        <v>11</v>
      </c>
      <c r="AT3184" s="24" t="str">
        <f t="shared" si="971"/>
        <v>&gt; 6 months</v>
      </c>
    </row>
    <row r="3185" spans="1:46" s="12" customFormat="1">
      <c r="A3185" s="33" t="str">
        <f t="shared" si="959"/>
        <v>FY 21/22</v>
      </c>
      <c r="B3185" s="152">
        <v>2021</v>
      </c>
      <c r="C3185" s="152">
        <v>6</v>
      </c>
      <c r="D3185" s="33" t="str">
        <f t="shared" si="960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61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62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8"/>
        <v>1</v>
      </c>
      <c r="Z3185" s="18">
        <f t="shared" si="957"/>
        <v>7781117</v>
      </c>
      <c r="AA3185" s="13">
        <v>6.2799999999999995E-2</v>
      </c>
      <c r="AB3185" s="21">
        <f t="shared" si="963"/>
        <v>488654.14759999997</v>
      </c>
      <c r="AC3185" s="130">
        <f t="shared" si="964"/>
        <v>54436.072042639993</v>
      </c>
      <c r="AD3185" s="169">
        <v>0.1114</v>
      </c>
      <c r="AE3185" s="154">
        <f t="shared" si="965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54"/>
        <v>44014086.982070789</v>
      </c>
      <c r="AJ3185" s="19">
        <f t="shared" si="955"/>
        <v>6419974.0221889298</v>
      </c>
      <c r="AK3185" s="20">
        <f t="shared" si="966"/>
        <v>0.14586180158193709</v>
      </c>
      <c r="AL3185" s="17"/>
      <c r="AM3185" s="17"/>
      <c r="AN3185" s="17"/>
      <c r="AO3185" s="17"/>
      <c r="AP3185" s="28" t="str">
        <f t="shared" si="967"/>
        <v>20225</v>
      </c>
      <c r="AQ3185" s="28" t="str">
        <f t="shared" si="968"/>
        <v>20225JPY</v>
      </c>
      <c r="AR3185" s="206" t="str">
        <f t="shared" si="969"/>
        <v>YAMAHA_Mounter</v>
      </c>
      <c r="AS3185" s="22">
        <f t="shared" si="970"/>
        <v>11</v>
      </c>
      <c r="AT3185" s="24" t="str">
        <f t="shared" si="971"/>
        <v>&gt; 6 months</v>
      </c>
    </row>
    <row r="3186" spans="1:46" s="12" customFormat="1">
      <c r="A3186" s="33" t="str">
        <f t="shared" si="959"/>
        <v>FY 21/22</v>
      </c>
      <c r="B3186" s="152">
        <v>2021</v>
      </c>
      <c r="C3186" s="152">
        <v>6</v>
      </c>
      <c r="D3186" s="33" t="str">
        <f t="shared" si="960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61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62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8"/>
        <v>1</v>
      </c>
      <c r="Z3186" s="18">
        <f t="shared" si="957"/>
        <v>7781117</v>
      </c>
      <c r="AA3186" s="13">
        <v>6.2799999999999995E-2</v>
      </c>
      <c r="AB3186" s="21">
        <f t="shared" si="963"/>
        <v>488654.14759999997</v>
      </c>
      <c r="AC3186" s="130">
        <f t="shared" si="964"/>
        <v>58638.497711999997</v>
      </c>
      <c r="AD3186" s="169">
        <v>0.12</v>
      </c>
      <c r="AE3186" s="154">
        <f t="shared" si="965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54"/>
        <v>44014086.982070789</v>
      </c>
      <c r="AJ3186" s="19">
        <f t="shared" si="955"/>
        <v>6419974.0221889298</v>
      </c>
      <c r="AK3186" s="20">
        <f t="shared" si="966"/>
        <v>0.14586180158193709</v>
      </c>
      <c r="AL3186" s="17"/>
      <c r="AM3186" s="17"/>
      <c r="AN3186" s="17"/>
      <c r="AO3186" s="17"/>
      <c r="AP3186" s="28" t="str">
        <f t="shared" si="967"/>
        <v>20225</v>
      </c>
      <c r="AQ3186" s="28" t="str">
        <f t="shared" si="968"/>
        <v>20225JPY</v>
      </c>
      <c r="AR3186" s="206" t="str">
        <f t="shared" si="969"/>
        <v>YAMAHA_Mounter</v>
      </c>
      <c r="AS3186" s="22">
        <f t="shared" si="970"/>
        <v>11</v>
      </c>
      <c r="AT3186" s="24" t="str">
        <f t="shared" si="971"/>
        <v>&gt; 6 months</v>
      </c>
    </row>
    <row r="3187" spans="1:46" s="12" customFormat="1">
      <c r="A3187" s="33" t="str">
        <f t="shared" si="959"/>
        <v>FY 21/22</v>
      </c>
      <c r="B3187" s="152">
        <v>2021</v>
      </c>
      <c r="C3187" s="152">
        <v>6</v>
      </c>
      <c r="D3187" s="33" t="str">
        <f t="shared" si="960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61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62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8"/>
        <v>1</v>
      </c>
      <c r="Z3187" s="18">
        <f t="shared" si="957"/>
        <v>7781117</v>
      </c>
      <c r="AA3187" s="13">
        <v>6.2799999999999995E-2</v>
      </c>
      <c r="AB3187" s="21">
        <f t="shared" si="963"/>
        <v>488654.14759999997</v>
      </c>
      <c r="AC3187" s="130">
        <f t="shared" si="964"/>
        <v>58638.497711999997</v>
      </c>
      <c r="AD3187" s="169">
        <v>0.12</v>
      </c>
      <c r="AE3187" s="154">
        <f t="shared" si="965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54"/>
        <v>44014086.982070789</v>
      </c>
      <c r="AJ3187" s="19">
        <f t="shared" si="955"/>
        <v>6419974.0221889298</v>
      </c>
      <c r="AK3187" s="20">
        <f t="shared" si="966"/>
        <v>0.14586180158193709</v>
      </c>
      <c r="AL3187" s="17"/>
      <c r="AM3187" s="17"/>
      <c r="AN3187" s="17"/>
      <c r="AO3187" s="17"/>
      <c r="AP3187" s="28" t="str">
        <f t="shared" si="967"/>
        <v>20225</v>
      </c>
      <c r="AQ3187" s="28" t="str">
        <f t="shared" si="968"/>
        <v>20225JPY</v>
      </c>
      <c r="AR3187" s="206" t="str">
        <f t="shared" si="969"/>
        <v>YAMAHA_Mounter</v>
      </c>
      <c r="AS3187" s="22">
        <f t="shared" si="970"/>
        <v>11</v>
      </c>
      <c r="AT3187" s="24" t="str">
        <f t="shared" si="971"/>
        <v>&gt; 6 months</v>
      </c>
    </row>
    <row r="3188" spans="1:46" s="12" customFormat="1">
      <c r="A3188" s="33" t="str">
        <f t="shared" si="959"/>
        <v>FY 24/25</v>
      </c>
      <c r="B3188" s="23">
        <v>2024</v>
      </c>
      <c r="C3188" s="23">
        <v>7</v>
      </c>
      <c r="D3188" s="202" t="str">
        <f t="shared" si="960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61"/>
        <v>Q2</v>
      </c>
      <c r="J3188" s="188" t="s">
        <v>3497</v>
      </c>
      <c r="K3188" s="29" t="s">
        <v>3376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62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79</v>
      </c>
      <c r="V3188" s="22" t="s">
        <v>113</v>
      </c>
      <c r="W3188" s="22" t="s">
        <v>110</v>
      </c>
      <c r="X3188" s="104">
        <v>7950000</v>
      </c>
      <c r="Y3188" s="195" t="str">
        <f t="shared" ref="Y3188:Y3195" si="972">IF(W3188="","",IF(W3188="RMB","1.13", "1"))</f>
        <v>1</v>
      </c>
      <c r="Z3188" s="196">
        <f t="shared" si="957"/>
        <v>7950000</v>
      </c>
      <c r="AA3188" s="22">
        <v>5.2299999999999999E-2</v>
      </c>
      <c r="AB3188" s="197">
        <f t="shared" si="963"/>
        <v>415785</v>
      </c>
      <c r="AC3188" s="198">
        <f t="shared" si="964"/>
        <v>67856.112000000008</v>
      </c>
      <c r="AD3188" s="170">
        <v>0.16320000000000001</v>
      </c>
      <c r="AE3188" s="199">
        <f t="shared" si="965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54"/>
        <v>25354039.366920356</v>
      </c>
      <c r="AJ3188" s="200">
        <f t="shared" si="955"/>
        <v>3027878.5311884549</v>
      </c>
      <c r="AK3188" s="201">
        <f t="shared" si="966"/>
        <v>0.11942391061910851</v>
      </c>
      <c r="AL3188" s="24"/>
      <c r="AM3188" s="24"/>
      <c r="AN3188" s="24"/>
      <c r="AO3188" s="24"/>
      <c r="AP3188" s="105" t="str">
        <f t="shared" si="967"/>
        <v>20248</v>
      </c>
      <c r="AQ3188" s="28" t="str">
        <f t="shared" si="968"/>
        <v>20248JPY</v>
      </c>
      <c r="AR3188" s="206" t="str">
        <f t="shared" si="969"/>
        <v>YAMAHA_Mounter</v>
      </c>
      <c r="AS3188" s="22">
        <f t="shared" si="970"/>
        <v>1</v>
      </c>
      <c r="AT3188" s="24" t="str">
        <f t="shared" si="971"/>
        <v>0-3 months</v>
      </c>
    </row>
    <row r="3189" spans="1:46" s="12" customFormat="1">
      <c r="A3189" s="33" t="str">
        <f t="shared" si="959"/>
        <v>FY 24/25</v>
      </c>
      <c r="B3189" s="23">
        <v>2024</v>
      </c>
      <c r="C3189" s="23">
        <v>7</v>
      </c>
      <c r="D3189" s="202" t="str">
        <f t="shared" si="960"/>
        <v>Q2</v>
      </c>
      <c r="E3189" s="33" t="s">
        <v>3173</v>
      </c>
      <c r="F3189" s="23">
        <v>2024</v>
      </c>
      <c r="G3189" s="23">
        <v>9</v>
      </c>
      <c r="H3189" s="29"/>
      <c r="I3189" s="202" t="str">
        <f t="shared" si="961"/>
        <v>Q2</v>
      </c>
      <c r="J3189" s="188" t="s">
        <v>3514</v>
      </c>
      <c r="K3189" s="29" t="s">
        <v>1467</v>
      </c>
      <c r="L3189" s="17" t="s">
        <v>93</v>
      </c>
      <c r="M3189" s="13" t="s">
        <v>61</v>
      </c>
      <c r="N3189" s="13">
        <v>1</v>
      </c>
      <c r="O3189" s="22"/>
      <c r="P3189" s="202" t="str">
        <f t="shared" si="962"/>
        <v>MAIN UNIT</v>
      </c>
      <c r="Q3189" s="22" t="s">
        <v>62</v>
      </c>
      <c r="R3189" s="22" t="s">
        <v>63</v>
      </c>
      <c r="S3189" s="22" t="s">
        <v>50</v>
      </c>
      <c r="T3189" s="22" t="s">
        <v>79</v>
      </c>
      <c r="U3189" s="22" t="s">
        <v>121</v>
      </c>
      <c r="V3189" s="22" t="s">
        <v>1408</v>
      </c>
      <c r="W3189" s="22" t="s">
        <v>110</v>
      </c>
      <c r="X3189" s="104">
        <v>11800000</v>
      </c>
      <c r="Y3189" s="195" t="str">
        <f t="shared" si="972"/>
        <v>1</v>
      </c>
      <c r="Z3189" s="196">
        <f t="shared" si="957"/>
        <v>11800000</v>
      </c>
      <c r="AA3189" s="22">
        <v>5.5100000000000003E-2</v>
      </c>
      <c r="AB3189" s="197">
        <f t="shared" si="963"/>
        <v>650180</v>
      </c>
      <c r="AC3189" s="198">
        <f t="shared" si="964"/>
        <v>72820.160000000003</v>
      </c>
      <c r="AD3189" s="170">
        <v>0.112</v>
      </c>
      <c r="AE3189" s="199">
        <f t="shared" si="965"/>
        <v>0</v>
      </c>
      <c r="AF3189" s="199" t="str">
        <f>IF(AND(COUNTIFS($J$18:J3189,J3189)=1,AE3189=1),1,"")</f>
        <v/>
      </c>
      <c r="AG3189" s="199">
        <f>IF(C3189="","",IF(AND(COUNTIFS($J$18:J3189,J3189)=1,C3189&lt;&gt;""),1,""))</f>
        <v>1</v>
      </c>
      <c r="AH3189" s="199">
        <f>IF(G3189="","",IF(AND(COUNTIFS($J$18:J3189,J3189)=1,G3189&lt;&gt;""),1,""))</f>
        <v>1</v>
      </c>
      <c r="AI3189" s="200">
        <f t="shared" si="954"/>
        <v>35931087.732566379</v>
      </c>
      <c r="AJ3189" s="200">
        <f t="shared" si="955"/>
        <v>4346699.6584161064</v>
      </c>
      <c r="AK3189" s="201">
        <f t="shared" si="966"/>
        <v>0.12097322771769156</v>
      </c>
      <c r="AL3189" s="24"/>
      <c r="AM3189" s="24"/>
      <c r="AN3189" s="24"/>
      <c r="AO3189" s="24"/>
      <c r="AP3189" s="105" t="str">
        <f t="shared" si="967"/>
        <v>20249</v>
      </c>
      <c r="AQ3189" s="28" t="str">
        <f t="shared" si="968"/>
        <v>20249JPY</v>
      </c>
      <c r="AR3189" s="206" t="str">
        <f t="shared" si="969"/>
        <v>YAMAHA_Mounter</v>
      </c>
      <c r="AS3189" s="22">
        <f t="shared" si="970"/>
        <v>2</v>
      </c>
      <c r="AT3189" s="24" t="str">
        <f t="shared" si="971"/>
        <v>0-3 months</v>
      </c>
    </row>
    <row r="3190" spans="1:46" s="12" customFormat="1">
      <c r="A3190" s="33" t="str">
        <f t="shared" si="959"/>
        <v>FY 24/25</v>
      </c>
      <c r="B3190" s="23">
        <v>2024</v>
      </c>
      <c r="C3190" s="23">
        <v>7</v>
      </c>
      <c r="D3190" s="202" t="str">
        <f t="shared" si="960"/>
        <v>Q2</v>
      </c>
      <c r="E3190" s="33" t="s">
        <v>3173</v>
      </c>
      <c r="F3190" s="23">
        <v>2024</v>
      </c>
      <c r="G3190" s="23">
        <v>9</v>
      </c>
      <c r="H3190" s="29"/>
      <c r="I3190" s="202" t="str">
        <f t="shared" si="961"/>
        <v>Q2</v>
      </c>
      <c r="J3190" s="188" t="s">
        <v>3514</v>
      </c>
      <c r="K3190" s="29" t="s">
        <v>1467</v>
      </c>
      <c r="L3190" s="17" t="s">
        <v>93</v>
      </c>
      <c r="M3190" s="13" t="s">
        <v>61</v>
      </c>
      <c r="N3190" s="13">
        <v>1</v>
      </c>
      <c r="O3190" s="22"/>
      <c r="P3190" s="202" t="str">
        <f t="shared" si="962"/>
        <v>MAIN UNIT</v>
      </c>
      <c r="Q3190" s="22" t="s">
        <v>62</v>
      </c>
      <c r="R3190" s="22" t="s">
        <v>63</v>
      </c>
      <c r="S3190" s="22" t="s">
        <v>50</v>
      </c>
      <c r="T3190" s="22" t="s">
        <v>79</v>
      </c>
      <c r="U3190" s="22" t="s">
        <v>121</v>
      </c>
      <c r="V3190" s="22" t="s">
        <v>1408</v>
      </c>
      <c r="W3190" s="22" t="s">
        <v>110</v>
      </c>
      <c r="X3190" s="104">
        <v>11800000</v>
      </c>
      <c r="Y3190" s="195" t="str">
        <f t="shared" si="972"/>
        <v>1</v>
      </c>
      <c r="Z3190" s="196">
        <f t="shared" si="957"/>
        <v>11800000</v>
      </c>
      <c r="AA3190" s="22">
        <v>5.5100000000000003E-2</v>
      </c>
      <c r="AB3190" s="197">
        <f t="shared" si="963"/>
        <v>650180</v>
      </c>
      <c r="AC3190" s="198">
        <f t="shared" si="964"/>
        <v>72820.160000000003</v>
      </c>
      <c r="AD3190" s="170">
        <v>0.112</v>
      </c>
      <c r="AE3190" s="199">
        <f t="shared" si="965"/>
        <v>0</v>
      </c>
      <c r="AF3190" s="199" t="str">
        <f>IF(AND(COUNTIFS($J$18:J3190,J3190)=1,AE3190=1),1,"")</f>
        <v/>
      </c>
      <c r="AG3190" s="199" t="str">
        <f>IF(C3190="","",IF(AND(COUNTIFS($J$18:J3190,J3190)=1,C3190&lt;&gt;""),1,""))</f>
        <v/>
      </c>
      <c r="AH3190" s="199" t="str">
        <f>IF(G3190="","",IF(AND(COUNTIFS($J$18:J3190,J3190)=1,G3190&lt;&gt;""),1,""))</f>
        <v/>
      </c>
      <c r="AI3190" s="200">
        <f t="shared" si="954"/>
        <v>35931087.732566379</v>
      </c>
      <c r="AJ3190" s="200">
        <f t="shared" si="955"/>
        <v>4346699.6584161064</v>
      </c>
      <c r="AK3190" s="201">
        <f t="shared" si="966"/>
        <v>0.12097322771769156</v>
      </c>
      <c r="AL3190" s="24"/>
      <c r="AM3190" s="24"/>
      <c r="AN3190" s="24"/>
      <c r="AO3190" s="24"/>
      <c r="AP3190" s="105" t="str">
        <f t="shared" si="967"/>
        <v>20249</v>
      </c>
      <c r="AQ3190" s="28" t="str">
        <f t="shared" si="968"/>
        <v>20249JPY</v>
      </c>
      <c r="AR3190" s="206" t="str">
        <f t="shared" si="969"/>
        <v>YAMAHA_Mounter</v>
      </c>
      <c r="AS3190" s="22">
        <f t="shared" si="970"/>
        <v>2</v>
      </c>
      <c r="AT3190" s="24" t="str">
        <f t="shared" si="971"/>
        <v>0-3 months</v>
      </c>
    </row>
    <row r="3191" spans="1:46" s="12" customFormat="1">
      <c r="A3191" s="33" t="str">
        <f t="shared" si="959"/>
        <v>FY 24/25</v>
      </c>
      <c r="B3191" s="23">
        <v>2024</v>
      </c>
      <c r="C3191" s="23">
        <v>7</v>
      </c>
      <c r="D3191" s="202" t="str">
        <f t="shared" si="960"/>
        <v>Q2</v>
      </c>
      <c r="E3191" s="33" t="s">
        <v>3173</v>
      </c>
      <c r="F3191" s="23">
        <v>2024</v>
      </c>
      <c r="G3191" s="23">
        <v>8</v>
      </c>
      <c r="H3191" s="29"/>
      <c r="I3191" s="202" t="str">
        <f t="shared" si="961"/>
        <v>Q2</v>
      </c>
      <c r="J3191" s="188" t="s">
        <v>3515</v>
      </c>
      <c r="K3191" s="29" t="s">
        <v>2023</v>
      </c>
      <c r="L3191" s="17" t="s">
        <v>93</v>
      </c>
      <c r="M3191" s="13" t="s">
        <v>61</v>
      </c>
      <c r="N3191" s="13">
        <v>1</v>
      </c>
      <c r="O3191" s="22"/>
      <c r="P3191" s="202" t="str">
        <f t="shared" si="962"/>
        <v>MAIN UNIT</v>
      </c>
      <c r="Q3191" s="22" t="s">
        <v>62</v>
      </c>
      <c r="R3191" s="22" t="s">
        <v>63</v>
      </c>
      <c r="S3191" s="22" t="s">
        <v>50</v>
      </c>
      <c r="T3191" s="22" t="s">
        <v>79</v>
      </c>
      <c r="U3191" s="22" t="s">
        <v>79</v>
      </c>
      <c r="V3191" s="22" t="s">
        <v>312</v>
      </c>
      <c r="W3191" s="22" t="s">
        <v>65</v>
      </c>
      <c r="X3191" s="104">
        <v>630000</v>
      </c>
      <c r="Y3191" s="195" t="str">
        <f t="shared" si="972"/>
        <v>1.13</v>
      </c>
      <c r="Z3191" s="196">
        <f t="shared" si="957"/>
        <v>630000</v>
      </c>
      <c r="AA3191" s="22">
        <v>1.08</v>
      </c>
      <c r="AB3191" s="197">
        <f t="shared" si="963"/>
        <v>602123.89380530978</v>
      </c>
      <c r="AC3191" s="198">
        <f t="shared" si="964"/>
        <v>70930.194690265489</v>
      </c>
      <c r="AD3191" s="170">
        <v>0.1178</v>
      </c>
      <c r="AE3191" s="199">
        <f t="shared" si="965"/>
        <v>0</v>
      </c>
      <c r="AF3191" s="199" t="str">
        <f>IF(AND(COUNTIFS($J$18:J3191,J3191)=1,AE3191=1),1,"")</f>
        <v/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54"/>
        <v>25354039.366920356</v>
      </c>
      <c r="AJ3191" s="200">
        <f t="shared" si="955"/>
        <v>3027878.5311884549</v>
      </c>
      <c r="AK3191" s="201">
        <f t="shared" si="966"/>
        <v>0.11942391061910851</v>
      </c>
      <c r="AL3191" s="24"/>
      <c r="AM3191" s="24"/>
      <c r="AN3191" s="24"/>
      <c r="AO3191" s="24"/>
      <c r="AP3191" s="105" t="str">
        <f t="shared" si="967"/>
        <v>20248</v>
      </c>
      <c r="AQ3191" s="28" t="str">
        <f t="shared" si="968"/>
        <v>20248RMB</v>
      </c>
      <c r="AR3191" s="206" t="str">
        <f t="shared" si="969"/>
        <v>YAMAHA_Mounter</v>
      </c>
      <c r="AS3191" s="22">
        <f t="shared" si="970"/>
        <v>1</v>
      </c>
      <c r="AT3191" s="24" t="str">
        <f t="shared" si="971"/>
        <v>0-3 months</v>
      </c>
    </row>
    <row r="3192" spans="1:46" s="12" customFormat="1">
      <c r="A3192" s="33" t="str">
        <f t="shared" si="959"/>
        <v>FY 24/25</v>
      </c>
      <c r="B3192" s="23">
        <v>2024</v>
      </c>
      <c r="C3192" s="23">
        <v>7</v>
      </c>
      <c r="D3192" s="202" t="str">
        <f t="shared" si="960"/>
        <v>Q2</v>
      </c>
      <c r="E3192" s="33" t="s">
        <v>3173</v>
      </c>
      <c r="F3192" s="23">
        <v>2024</v>
      </c>
      <c r="G3192" s="23">
        <v>8</v>
      </c>
      <c r="H3192" s="29"/>
      <c r="I3192" s="202" t="str">
        <f t="shared" si="961"/>
        <v>Q2</v>
      </c>
      <c r="J3192" s="188" t="s">
        <v>3515</v>
      </c>
      <c r="K3192" s="29" t="s">
        <v>2023</v>
      </c>
      <c r="L3192" s="17" t="s">
        <v>93</v>
      </c>
      <c r="M3192" s="13" t="s">
        <v>61</v>
      </c>
      <c r="N3192" s="13">
        <v>1</v>
      </c>
      <c r="O3192" s="22"/>
      <c r="P3192" s="202" t="str">
        <f t="shared" si="962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312</v>
      </c>
      <c r="W3192" s="22" t="s">
        <v>65</v>
      </c>
      <c r="X3192" s="104">
        <v>630000</v>
      </c>
      <c r="Y3192" s="195" t="str">
        <f t="shared" si="972"/>
        <v>1.13</v>
      </c>
      <c r="Z3192" s="196">
        <f t="shared" si="957"/>
        <v>630000</v>
      </c>
      <c r="AA3192" s="22">
        <v>1.08</v>
      </c>
      <c r="AB3192" s="197">
        <f t="shared" si="963"/>
        <v>602123.89380530978</v>
      </c>
      <c r="AC3192" s="198">
        <f t="shared" si="964"/>
        <v>70930.194690265489</v>
      </c>
      <c r="AD3192" s="170">
        <v>0.1178</v>
      </c>
      <c r="AE3192" s="199">
        <f t="shared" si="965"/>
        <v>0</v>
      </c>
      <c r="AF3192" s="199" t="str">
        <f>IF(AND(COUNTIFS($J$18:J3192,J3192)=1,AE3192=1),1,"")</f>
        <v/>
      </c>
      <c r="AG3192" s="199" t="str">
        <f>IF(C3192="","",IF(AND(COUNTIFS($J$18:J3192,J3192)=1,C3192&lt;&gt;""),1,""))</f>
        <v/>
      </c>
      <c r="AH3192" s="199" t="str">
        <f>IF(G3192="","",IF(AND(COUNTIFS($J$18:J3192,J3192)=1,G3192&lt;&gt;""),1,""))</f>
        <v/>
      </c>
      <c r="AI3192" s="200">
        <f t="shared" si="954"/>
        <v>25354039.366920356</v>
      </c>
      <c r="AJ3192" s="200">
        <f t="shared" si="955"/>
        <v>3027878.5311884549</v>
      </c>
      <c r="AK3192" s="201">
        <f t="shared" si="966"/>
        <v>0.11942391061910851</v>
      </c>
      <c r="AL3192" s="24"/>
      <c r="AM3192" s="24"/>
      <c r="AN3192" s="24"/>
      <c r="AO3192" s="24"/>
      <c r="AP3192" s="105" t="str">
        <f t="shared" si="967"/>
        <v>20248</v>
      </c>
      <c r="AQ3192" s="28" t="str">
        <f t="shared" si="968"/>
        <v>20248RMB</v>
      </c>
      <c r="AR3192" s="206" t="str">
        <f t="shared" si="969"/>
        <v>YAMAHA_Mounter</v>
      </c>
      <c r="AS3192" s="22">
        <f t="shared" si="970"/>
        <v>1</v>
      </c>
      <c r="AT3192" s="24" t="str">
        <f t="shared" si="971"/>
        <v>0-3 months</v>
      </c>
    </row>
    <row r="3193" spans="1:46" s="12" customFormat="1">
      <c r="A3193" s="33" t="str">
        <f t="shared" si="959"/>
        <v>FY 24/25</v>
      </c>
      <c r="B3193" s="23">
        <v>2024</v>
      </c>
      <c r="C3193" s="23">
        <v>7</v>
      </c>
      <c r="D3193" s="202" t="str">
        <f t="shared" si="960"/>
        <v>Q2</v>
      </c>
      <c r="E3193" s="33" t="s">
        <v>3173</v>
      </c>
      <c r="F3193" s="23">
        <v>2024</v>
      </c>
      <c r="G3193" s="23">
        <v>8</v>
      </c>
      <c r="H3193" s="29"/>
      <c r="I3193" s="202" t="str">
        <f t="shared" si="961"/>
        <v>Q2</v>
      </c>
      <c r="J3193" s="188" t="s">
        <v>3518</v>
      </c>
      <c r="K3193" s="29" t="s">
        <v>2510</v>
      </c>
      <c r="L3193" s="17" t="s">
        <v>68</v>
      </c>
      <c r="M3193" s="13" t="s">
        <v>61</v>
      </c>
      <c r="N3193" s="13">
        <v>1</v>
      </c>
      <c r="O3193" s="22"/>
      <c r="P3193" s="202" t="str">
        <f t="shared" si="962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3519</v>
      </c>
      <c r="V3193" s="22" t="s">
        <v>81</v>
      </c>
      <c r="W3193" s="22" t="s">
        <v>65</v>
      </c>
      <c r="X3193" s="104">
        <v>404600</v>
      </c>
      <c r="Y3193" s="195" t="str">
        <f t="shared" si="972"/>
        <v>1.13</v>
      </c>
      <c r="Z3193" s="196">
        <f t="shared" si="957"/>
        <v>404600</v>
      </c>
      <c r="AA3193" s="22">
        <v>1.08</v>
      </c>
      <c r="AB3193" s="197">
        <f t="shared" si="963"/>
        <v>386697.34513274342</v>
      </c>
      <c r="AC3193" s="198">
        <f t="shared" si="964"/>
        <v>38824.41345132744</v>
      </c>
      <c r="AD3193" s="170">
        <v>0.1004</v>
      </c>
      <c r="AE3193" s="199">
        <f t="shared" si="965"/>
        <v>0</v>
      </c>
      <c r="AF3193" s="199" t="str">
        <f>IF(AND(COUNTIFS($J$18:J3193,J3193)=1,AE3193=1),1,"")</f>
        <v/>
      </c>
      <c r="AG3193" s="199">
        <f>IF(C3193="","",IF(AND(COUNTIFS($J$18:J3193,J3193)=1,C3193&lt;&gt;""),1,""))</f>
        <v>1</v>
      </c>
      <c r="AH3193" s="199">
        <f>IF(G3193="","",IF(AND(COUNTIFS($J$18:J3193,J3193)=1,G3193&lt;&gt;""),1,""))</f>
        <v>1</v>
      </c>
      <c r="AI3193" s="200">
        <f t="shared" si="954"/>
        <v>25354039.366920356</v>
      </c>
      <c r="AJ3193" s="200">
        <f t="shared" si="955"/>
        <v>3027878.5311884549</v>
      </c>
      <c r="AK3193" s="201">
        <f t="shared" si="966"/>
        <v>0.11942391061910851</v>
      </c>
      <c r="AL3193" s="24"/>
      <c r="AM3193" s="24"/>
      <c r="AN3193" s="24"/>
      <c r="AO3193" s="24"/>
      <c r="AP3193" s="105" t="str">
        <f t="shared" si="967"/>
        <v>20248</v>
      </c>
      <c r="AQ3193" s="28" t="str">
        <f t="shared" si="968"/>
        <v>20248RMB</v>
      </c>
      <c r="AR3193" s="206" t="str">
        <f t="shared" si="969"/>
        <v>YAMAHA_Mounter</v>
      </c>
      <c r="AS3193" s="22">
        <f t="shared" si="970"/>
        <v>1</v>
      </c>
      <c r="AT3193" s="24" t="str">
        <f t="shared" si="971"/>
        <v>0-3 months</v>
      </c>
    </row>
    <row r="3194" spans="1:46" s="12" customFormat="1">
      <c r="A3194" s="33" t="str">
        <f t="shared" si="959"/>
        <v>FY 24/25</v>
      </c>
      <c r="B3194" s="23">
        <v>2024</v>
      </c>
      <c r="C3194" s="152">
        <v>4</v>
      </c>
      <c r="D3194" s="33" t="str">
        <f t="shared" si="960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61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62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72"/>
        <v>1</v>
      </c>
      <c r="Z3194" s="18">
        <f t="shared" si="957"/>
        <v>7668000</v>
      </c>
      <c r="AA3194" s="22">
        <v>5.5599999999999997E-2</v>
      </c>
      <c r="AB3194" s="21">
        <f t="shared" si="963"/>
        <v>426340.8</v>
      </c>
      <c r="AC3194" s="25">
        <f t="shared" si="964"/>
        <v>51160.895999999993</v>
      </c>
      <c r="AD3194" s="169">
        <v>0.12</v>
      </c>
      <c r="AE3194" s="26">
        <f t="shared" si="965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54"/>
        <v>22399988.308672566</v>
      </c>
      <c r="AJ3194" s="27">
        <f t="shared" si="955"/>
        <v>2687998.5970407082</v>
      </c>
      <c r="AK3194" s="28">
        <f t="shared" si="966"/>
        <v>0.12000000000000001</v>
      </c>
      <c r="AL3194" s="24"/>
      <c r="AM3194" s="24"/>
      <c r="AN3194" s="24"/>
      <c r="AO3194" s="24"/>
      <c r="AP3194" s="28" t="str">
        <f t="shared" si="967"/>
        <v>202412</v>
      </c>
      <c r="AQ3194" s="28" t="str">
        <f t="shared" si="968"/>
        <v>202412JPY</v>
      </c>
      <c r="AR3194" s="206" t="str">
        <f t="shared" si="969"/>
        <v>YAMAHA_Mounter</v>
      </c>
      <c r="AS3194" s="22">
        <f t="shared" si="970"/>
        <v>8</v>
      </c>
      <c r="AT3194" s="24" t="str">
        <f t="shared" si="971"/>
        <v>&gt; 6 months</v>
      </c>
    </row>
    <row r="3195" spans="1:46" s="12" customFormat="1">
      <c r="A3195" s="33" t="str">
        <f t="shared" si="959"/>
        <v>FY 24/25</v>
      </c>
      <c r="B3195" s="23">
        <v>2024</v>
      </c>
      <c r="C3195" s="152">
        <v>4</v>
      </c>
      <c r="D3195" s="33" t="str">
        <f t="shared" si="960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61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62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72"/>
        <v>1</v>
      </c>
      <c r="Z3195" s="18">
        <f t="shared" si="957"/>
        <v>7668000</v>
      </c>
      <c r="AA3195" s="22">
        <v>5.5599999999999997E-2</v>
      </c>
      <c r="AB3195" s="21">
        <f t="shared" si="963"/>
        <v>426340.8</v>
      </c>
      <c r="AC3195" s="25">
        <f t="shared" si="964"/>
        <v>51160.895999999993</v>
      </c>
      <c r="AD3195" s="169">
        <v>0.12</v>
      </c>
      <c r="AE3195" s="26">
        <f t="shared" si="965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54"/>
        <v>22399988.308672566</v>
      </c>
      <c r="AJ3195" s="27">
        <f t="shared" si="955"/>
        <v>2687998.5970407082</v>
      </c>
      <c r="AK3195" s="28">
        <f t="shared" si="966"/>
        <v>0.12000000000000001</v>
      </c>
      <c r="AL3195" s="24"/>
      <c r="AM3195" s="24"/>
      <c r="AN3195" s="24"/>
      <c r="AO3195" s="24"/>
      <c r="AP3195" s="28" t="str">
        <f t="shared" si="967"/>
        <v>202412</v>
      </c>
      <c r="AQ3195" s="28" t="str">
        <f t="shared" si="968"/>
        <v>202412JPY</v>
      </c>
      <c r="AR3195" s="206" t="str">
        <f t="shared" si="969"/>
        <v>YAMAHA_Mounter</v>
      </c>
      <c r="AS3195" s="22">
        <f t="shared" si="970"/>
        <v>8</v>
      </c>
      <c r="AT3195" s="24" t="str">
        <f t="shared" si="971"/>
        <v>&gt; 6 months</v>
      </c>
    </row>
    <row r="3196" spans="1:46" s="12" customFormat="1" ht="28">
      <c r="A3196" s="33" t="str">
        <f t="shared" si="959"/>
        <v>FY 20/21</v>
      </c>
      <c r="B3196" s="152">
        <v>2020</v>
      </c>
      <c r="C3196" s="152">
        <v>6</v>
      </c>
      <c r="D3196" s="33" t="str">
        <f t="shared" si="960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61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62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57"/>
        <v>111434</v>
      </c>
      <c r="AA3196" s="13">
        <v>1.089</v>
      </c>
      <c r="AB3196" s="21">
        <f t="shared" si="963"/>
        <v>107390.81946902655</v>
      </c>
      <c r="AC3196" s="130">
        <f t="shared" si="964"/>
        <v>12886.898336283186</v>
      </c>
      <c r="AD3196" s="169">
        <v>0.12</v>
      </c>
      <c r="AE3196" s="154">
        <f t="shared" si="965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54"/>
        <v>29183109.05575221</v>
      </c>
      <c r="AJ3196" s="19">
        <f t="shared" si="955"/>
        <v>3741266.5648721238</v>
      </c>
      <c r="AK3196" s="20">
        <f t="shared" si="966"/>
        <v>0.12819972531798121</v>
      </c>
      <c r="AL3196" s="17"/>
      <c r="AM3196" s="17"/>
      <c r="AN3196" s="17"/>
      <c r="AO3196" s="17"/>
      <c r="AP3196" s="28" t="str">
        <f t="shared" si="967"/>
        <v>20206</v>
      </c>
      <c r="AQ3196" s="28" t="str">
        <f t="shared" si="968"/>
        <v>20206RMB</v>
      </c>
      <c r="AR3196" s="206" t="str">
        <f t="shared" si="969"/>
        <v>YAMAHA_Mounter</v>
      </c>
      <c r="AS3196" s="22">
        <f t="shared" si="970"/>
        <v>0</v>
      </c>
      <c r="AT3196" s="24" t="str">
        <f t="shared" si="971"/>
        <v>0-3 months</v>
      </c>
    </row>
    <row r="3197" spans="1:46" s="12" customFormat="1">
      <c r="A3197" s="33" t="str">
        <f t="shared" si="959"/>
        <v>FY 20/21</v>
      </c>
      <c r="B3197" s="152">
        <v>2020</v>
      </c>
      <c r="C3197" s="152">
        <v>6</v>
      </c>
      <c r="D3197" s="33" t="str">
        <f t="shared" si="960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61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62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57"/>
        <v>10300000</v>
      </c>
      <c r="AA3197" s="13">
        <v>7.4899999999999994E-2</v>
      </c>
      <c r="AB3197" s="21">
        <f t="shared" si="963"/>
        <v>771470</v>
      </c>
      <c r="AC3197" s="130">
        <f t="shared" si="964"/>
        <v>80541.468000000008</v>
      </c>
      <c r="AD3197" s="169">
        <v>0.10440000000000001</v>
      </c>
      <c r="AE3197" s="154">
        <f t="shared" si="965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54"/>
        <v>47907808.356810622</v>
      </c>
      <c r="AJ3197" s="19">
        <f t="shared" si="955"/>
        <v>6027384.8806384448</v>
      </c>
      <c r="AK3197" s="20">
        <f t="shared" si="966"/>
        <v>0.12581216063459488</v>
      </c>
      <c r="AL3197" s="17"/>
      <c r="AM3197" s="17"/>
      <c r="AN3197" s="17"/>
      <c r="AO3197" s="17"/>
      <c r="AP3197" s="28" t="str">
        <f t="shared" si="967"/>
        <v>20209</v>
      </c>
      <c r="AQ3197" s="28" t="str">
        <f t="shared" si="968"/>
        <v>20209JPY</v>
      </c>
      <c r="AR3197" s="206" t="str">
        <f t="shared" si="969"/>
        <v>YAMAHA_Mounter</v>
      </c>
      <c r="AS3197" s="22">
        <f t="shared" si="970"/>
        <v>3</v>
      </c>
      <c r="AT3197" s="24" t="str">
        <f t="shared" si="971"/>
        <v>0-3 months</v>
      </c>
    </row>
    <row r="3198" spans="1:46" s="12" customFormat="1">
      <c r="A3198" s="33" t="str">
        <f t="shared" si="959"/>
        <v>FY 20/21</v>
      </c>
      <c r="B3198" s="152">
        <v>2020</v>
      </c>
      <c r="C3198" s="152">
        <v>6</v>
      </c>
      <c r="D3198" s="33" t="str">
        <f t="shared" si="960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61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62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57"/>
        <v>10300000</v>
      </c>
      <c r="AA3198" s="13">
        <v>7.4899999999999994E-2</v>
      </c>
      <c r="AB3198" s="21">
        <f t="shared" si="963"/>
        <v>771470</v>
      </c>
      <c r="AC3198" s="130">
        <f t="shared" si="964"/>
        <v>80541.468000000008</v>
      </c>
      <c r="AD3198" s="169">
        <v>0.10440000000000001</v>
      </c>
      <c r="AE3198" s="154">
        <f t="shared" si="965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54"/>
        <v>47907808.356810622</v>
      </c>
      <c r="AJ3198" s="19">
        <f t="shared" si="955"/>
        <v>6027384.8806384448</v>
      </c>
      <c r="AK3198" s="20">
        <f t="shared" si="966"/>
        <v>0.12581216063459488</v>
      </c>
      <c r="AL3198" s="17"/>
      <c r="AM3198" s="17"/>
      <c r="AN3198" s="17"/>
      <c r="AO3198" s="17"/>
      <c r="AP3198" s="28" t="str">
        <f t="shared" si="967"/>
        <v>20209</v>
      </c>
      <c r="AQ3198" s="28" t="str">
        <f t="shared" si="968"/>
        <v>20209JPY</v>
      </c>
      <c r="AR3198" s="206" t="str">
        <f t="shared" si="969"/>
        <v>YAMAHA_Mounter</v>
      </c>
      <c r="AS3198" s="22">
        <f t="shared" si="970"/>
        <v>3</v>
      </c>
      <c r="AT3198" s="24" t="str">
        <f t="shared" si="971"/>
        <v>0-3 months</v>
      </c>
    </row>
    <row r="3199" spans="1:46" s="12" customFormat="1">
      <c r="A3199" s="33" t="str">
        <f t="shared" si="959"/>
        <v>FY 20/21</v>
      </c>
      <c r="B3199" s="152">
        <v>2020</v>
      </c>
      <c r="C3199" s="152">
        <v>6</v>
      </c>
      <c r="D3199" s="33" t="str">
        <f t="shared" si="960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61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62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57"/>
        <v>10300000</v>
      </c>
      <c r="AA3199" s="13">
        <v>7.4899999999999994E-2</v>
      </c>
      <c r="AB3199" s="21">
        <f t="shared" si="963"/>
        <v>771470</v>
      </c>
      <c r="AC3199" s="130">
        <f t="shared" si="964"/>
        <v>80541.468000000008</v>
      </c>
      <c r="AD3199" s="169">
        <v>0.10440000000000001</v>
      </c>
      <c r="AE3199" s="154">
        <f t="shared" si="965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54"/>
        <v>47907808.356810622</v>
      </c>
      <c r="AJ3199" s="19">
        <f t="shared" si="955"/>
        <v>6027384.8806384448</v>
      </c>
      <c r="AK3199" s="20">
        <f t="shared" si="966"/>
        <v>0.12581216063459488</v>
      </c>
      <c r="AL3199" s="17"/>
      <c r="AM3199" s="17"/>
      <c r="AN3199" s="17"/>
      <c r="AO3199" s="17"/>
      <c r="AP3199" s="28" t="str">
        <f t="shared" si="967"/>
        <v>20209</v>
      </c>
      <c r="AQ3199" s="28" t="str">
        <f t="shared" si="968"/>
        <v>20209JPY</v>
      </c>
      <c r="AR3199" s="206" t="str">
        <f t="shared" si="969"/>
        <v>YAMAHA_Mounter</v>
      </c>
      <c r="AS3199" s="22">
        <f t="shared" si="970"/>
        <v>3</v>
      </c>
      <c r="AT3199" s="24" t="str">
        <f t="shared" si="971"/>
        <v>0-3 months</v>
      </c>
    </row>
    <row r="3200" spans="1:46" s="12" customFormat="1">
      <c r="A3200" s="33" t="str">
        <f t="shared" si="959"/>
        <v>FY 20/21</v>
      </c>
      <c r="B3200" s="152">
        <v>2020</v>
      </c>
      <c r="C3200" s="152">
        <v>6</v>
      </c>
      <c r="D3200" s="33" t="str">
        <f t="shared" si="960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61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62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57"/>
        <v>10300000</v>
      </c>
      <c r="AA3200" s="13">
        <v>7.4899999999999994E-2</v>
      </c>
      <c r="AB3200" s="21">
        <f t="shared" si="963"/>
        <v>771470</v>
      </c>
      <c r="AC3200" s="130">
        <f t="shared" si="964"/>
        <v>80541.468000000008</v>
      </c>
      <c r="AD3200" s="169">
        <v>0.10440000000000001</v>
      </c>
      <c r="AE3200" s="154">
        <f t="shared" si="965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54"/>
        <v>47907808.356810622</v>
      </c>
      <c r="AJ3200" s="19">
        <f t="shared" si="955"/>
        <v>6027384.8806384448</v>
      </c>
      <c r="AK3200" s="20">
        <f t="shared" si="966"/>
        <v>0.12581216063459488</v>
      </c>
      <c r="AL3200" s="17"/>
      <c r="AM3200" s="17"/>
      <c r="AN3200" s="17"/>
      <c r="AO3200" s="17"/>
      <c r="AP3200" s="28" t="str">
        <f t="shared" si="967"/>
        <v>20209</v>
      </c>
      <c r="AQ3200" s="28" t="str">
        <f t="shared" si="968"/>
        <v>20209JPY</v>
      </c>
      <c r="AR3200" s="206" t="str">
        <f t="shared" si="969"/>
        <v>YAMAHA_Mounter</v>
      </c>
      <c r="AS3200" s="22">
        <f t="shared" si="970"/>
        <v>3</v>
      </c>
      <c r="AT3200" s="24" t="str">
        <f t="shared" si="971"/>
        <v>0-3 months</v>
      </c>
    </row>
    <row r="3201" spans="1:46" s="12" customFormat="1">
      <c r="A3201" s="33" t="str">
        <f t="shared" si="959"/>
        <v>FY 20/21</v>
      </c>
      <c r="B3201" s="152">
        <v>2020</v>
      </c>
      <c r="C3201" s="152">
        <v>6</v>
      </c>
      <c r="D3201" s="33" t="str">
        <f t="shared" si="960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61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62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57"/>
        <v>8303704</v>
      </c>
      <c r="AA3201" s="13">
        <v>7.4899999999999994E-2</v>
      </c>
      <c r="AB3201" s="21">
        <f t="shared" si="963"/>
        <v>621947.42959999992</v>
      </c>
      <c r="AC3201" s="130">
        <f t="shared" si="964"/>
        <v>64931.311650239993</v>
      </c>
      <c r="AD3201" s="169">
        <v>0.10440000000000001</v>
      </c>
      <c r="AE3201" s="154">
        <f t="shared" si="965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54"/>
        <v>47907808.356810622</v>
      </c>
      <c r="AJ3201" s="19">
        <f t="shared" si="955"/>
        <v>6027384.8806384448</v>
      </c>
      <c r="AK3201" s="20">
        <f t="shared" si="966"/>
        <v>0.12581216063459488</v>
      </c>
      <c r="AL3201" s="17"/>
      <c r="AM3201" s="17"/>
      <c r="AN3201" s="17"/>
      <c r="AO3201" s="17"/>
      <c r="AP3201" s="28" t="str">
        <f t="shared" si="967"/>
        <v>20209</v>
      </c>
      <c r="AQ3201" s="28" t="str">
        <f t="shared" si="968"/>
        <v>20209JPY</v>
      </c>
      <c r="AR3201" s="206" t="str">
        <f t="shared" si="969"/>
        <v>YAMAHA_Mounter</v>
      </c>
      <c r="AS3201" s="22">
        <f t="shared" si="970"/>
        <v>3</v>
      </c>
      <c r="AT3201" s="24" t="str">
        <f t="shared" si="971"/>
        <v>0-3 months</v>
      </c>
    </row>
    <row r="3202" spans="1:46" s="12" customFormat="1">
      <c r="A3202" s="33" t="str">
        <f t="shared" si="959"/>
        <v>FY 20/21</v>
      </c>
      <c r="B3202" s="152">
        <v>2020</v>
      </c>
      <c r="C3202" s="152">
        <v>6</v>
      </c>
      <c r="D3202" s="33" t="str">
        <f t="shared" si="960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61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62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57"/>
        <v>8303704</v>
      </c>
      <c r="AA3202" s="13">
        <v>7.4899999999999994E-2</v>
      </c>
      <c r="AB3202" s="21">
        <f t="shared" si="963"/>
        <v>621947.42959999992</v>
      </c>
      <c r="AC3202" s="130">
        <f t="shared" si="964"/>
        <v>64931.311650239993</v>
      </c>
      <c r="AD3202" s="169">
        <v>0.10440000000000001</v>
      </c>
      <c r="AE3202" s="154">
        <f t="shared" si="965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73">IF(P3202="C66 SERVICE","",SUMIFS(AB:AB,F:F,F3202,G:G,G3202,E:E,E3202))</f>
        <v>47907808.356810622</v>
      </c>
      <c r="AJ3202" s="19">
        <f t="shared" ref="AJ3202:AJ3265" si="974">IF(P3202="C66 SERVICE","",SUMIFS(AC:AC,F:F,F3202,G:G,G3202,E:E,E3202))</f>
        <v>6027384.8806384448</v>
      </c>
      <c r="AK3202" s="20">
        <f t="shared" si="966"/>
        <v>0.12581216063459488</v>
      </c>
      <c r="AL3202" s="17"/>
      <c r="AM3202" s="17"/>
      <c r="AN3202" s="17"/>
      <c r="AO3202" s="17"/>
      <c r="AP3202" s="28" t="str">
        <f t="shared" si="967"/>
        <v>20209</v>
      </c>
      <c r="AQ3202" s="28" t="str">
        <f t="shared" si="968"/>
        <v>20209JPY</v>
      </c>
      <c r="AR3202" s="206" t="str">
        <f t="shared" si="969"/>
        <v>YAMAHA_Mounter</v>
      </c>
      <c r="AS3202" s="22">
        <f t="shared" si="970"/>
        <v>3</v>
      </c>
      <c r="AT3202" s="24" t="str">
        <f t="shared" si="971"/>
        <v>0-3 months</v>
      </c>
    </row>
    <row r="3203" spans="1:46" s="12" customFormat="1">
      <c r="A3203" s="33" t="str">
        <f t="shared" si="959"/>
        <v>FY 18/19</v>
      </c>
      <c r="B3203" s="152">
        <v>2018</v>
      </c>
      <c r="C3203" s="152">
        <v>7</v>
      </c>
      <c r="D3203" s="33" t="str">
        <f t="shared" si="960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61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62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57"/>
        <v>19359680</v>
      </c>
      <c r="AA3203" s="13">
        <v>7.2099999999999997E-2</v>
      </c>
      <c r="AB3203" s="21">
        <f t="shared" si="963"/>
        <v>1395832.9279999998</v>
      </c>
      <c r="AC3203" s="130">
        <f t="shared" si="964"/>
        <v>229474.93336319996</v>
      </c>
      <c r="AD3203" s="169">
        <v>0.16439999999999999</v>
      </c>
      <c r="AE3203" s="154">
        <f t="shared" si="965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73"/>
        <v>26492741.106427077</v>
      </c>
      <c r="AJ3203" s="19">
        <f t="shared" si="974"/>
        <v>3348032.1325698122</v>
      </c>
      <c r="AK3203" s="20">
        <f t="shared" si="966"/>
        <v>0.12637545201985867</v>
      </c>
      <c r="AL3203" s="17"/>
      <c r="AM3203" s="17"/>
      <c r="AN3203" s="17"/>
      <c r="AO3203" s="17"/>
      <c r="AP3203" s="28" t="str">
        <f t="shared" si="967"/>
        <v>20189</v>
      </c>
      <c r="AQ3203" s="28" t="str">
        <f t="shared" si="968"/>
        <v>20189JPY</v>
      </c>
      <c r="AR3203" s="206" t="str">
        <f t="shared" si="969"/>
        <v>YAMAHA_Mounter</v>
      </c>
      <c r="AS3203" s="22">
        <f t="shared" si="970"/>
        <v>2</v>
      </c>
      <c r="AT3203" s="24" t="str">
        <f t="shared" si="971"/>
        <v>0-3 months</v>
      </c>
    </row>
    <row r="3204" spans="1:46" s="12" customFormat="1">
      <c r="A3204" s="33" t="str">
        <f t="shared" si="959"/>
        <v>FY 19/20</v>
      </c>
      <c r="B3204" s="152">
        <v>2020</v>
      </c>
      <c r="C3204" s="152">
        <v>2</v>
      </c>
      <c r="D3204" s="33" t="str">
        <f t="shared" si="960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61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62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57"/>
        <v>15884750</v>
      </c>
      <c r="AA3204" s="13">
        <v>7.2700000000000001E-2</v>
      </c>
      <c r="AB3204" s="21">
        <f t="shared" si="963"/>
        <v>1154821.325</v>
      </c>
      <c r="AC3204" s="130">
        <f t="shared" si="964"/>
        <v>204172.41026</v>
      </c>
      <c r="AD3204" s="169">
        <v>0.17680000000000001</v>
      </c>
      <c r="AE3204" s="154">
        <f t="shared" si="965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73"/>
        <v>14005204.685000001</v>
      </c>
      <c r="AJ3204" s="19">
        <f t="shared" si="974"/>
        <v>1436995.246084</v>
      </c>
      <c r="AK3204" s="20">
        <f t="shared" si="966"/>
        <v>0.10260437304590525</v>
      </c>
      <c r="AL3204" s="17"/>
      <c r="AM3204" s="17"/>
      <c r="AN3204" s="17"/>
      <c r="AO3204" s="17"/>
      <c r="AP3204" s="28" t="str">
        <f t="shared" si="967"/>
        <v>20202</v>
      </c>
      <c r="AQ3204" s="28" t="str">
        <f t="shared" si="968"/>
        <v>20202JPY</v>
      </c>
      <c r="AR3204" s="206" t="str">
        <f t="shared" si="969"/>
        <v>YAMAHA_Mounter</v>
      </c>
      <c r="AS3204" s="22">
        <f t="shared" si="970"/>
        <v>0</v>
      </c>
      <c r="AT3204" s="24" t="str">
        <f t="shared" si="971"/>
        <v>0-3 months</v>
      </c>
    </row>
    <row r="3205" spans="1:46" s="12" customFormat="1">
      <c r="A3205" s="33" t="str">
        <f t="shared" si="959"/>
        <v>FY 20/21</v>
      </c>
      <c r="B3205" s="152">
        <v>2021</v>
      </c>
      <c r="C3205" s="152">
        <v>3</v>
      </c>
      <c r="D3205" s="33" t="str">
        <f t="shared" si="960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61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62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57"/>
        <v>8410000</v>
      </c>
      <c r="AA3205" s="13">
        <v>7.17E-2</v>
      </c>
      <c r="AB3205" s="21">
        <f t="shared" si="963"/>
        <v>602997</v>
      </c>
      <c r="AC3205" s="130">
        <f t="shared" si="964"/>
        <v>86771.268299999996</v>
      </c>
      <c r="AD3205" s="169">
        <v>0.1439</v>
      </c>
      <c r="AE3205" s="154">
        <f t="shared" si="965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73"/>
        <v>43684091.636631854</v>
      </c>
      <c r="AJ3205" s="19">
        <f t="shared" si="974"/>
        <v>6483951.8242071122</v>
      </c>
      <c r="AK3205" s="20">
        <f t="shared" si="966"/>
        <v>0.14842821680123736</v>
      </c>
      <c r="AL3205" s="17"/>
      <c r="AM3205" s="17"/>
      <c r="AN3205" s="17"/>
      <c r="AO3205" s="17"/>
      <c r="AP3205" s="28" t="str">
        <f t="shared" si="967"/>
        <v>20214</v>
      </c>
      <c r="AQ3205" s="28" t="str">
        <f t="shared" si="968"/>
        <v>20214JPY</v>
      </c>
      <c r="AR3205" s="206" t="str">
        <f t="shared" si="969"/>
        <v>YAMAHA_Mounter</v>
      </c>
      <c r="AS3205" s="22">
        <f t="shared" si="970"/>
        <v>1</v>
      </c>
      <c r="AT3205" s="24" t="str">
        <f t="shared" si="971"/>
        <v>0-3 months</v>
      </c>
    </row>
    <row r="3206" spans="1:46" s="12" customFormat="1">
      <c r="A3206" s="33" t="str">
        <f t="shared" si="959"/>
        <v>FY 22/23</v>
      </c>
      <c r="B3206" s="152">
        <v>2022</v>
      </c>
      <c r="C3206" s="152">
        <v>12</v>
      </c>
      <c r="D3206" s="33" t="str">
        <f t="shared" si="960"/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si="961"/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62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57"/>
        <v>840000</v>
      </c>
      <c r="AA3206" s="13">
        <v>1.0900000000000001</v>
      </c>
      <c r="AB3206" s="21">
        <f t="shared" si="963"/>
        <v>810265.48672566388</v>
      </c>
      <c r="AC3206" s="130">
        <f t="shared" si="964"/>
        <v>66765.876106194701</v>
      </c>
      <c r="AD3206" s="169">
        <v>8.2400000000000001E-2</v>
      </c>
      <c r="AE3206" s="154">
        <f t="shared" si="965"/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73"/>
        <v>17329060.066371687</v>
      </c>
      <c r="AJ3206" s="19">
        <f t="shared" si="974"/>
        <v>2472600.2142256643</v>
      </c>
      <c r="AK3206" s="20">
        <f t="shared" si="966"/>
        <v>0.14268518919984163</v>
      </c>
      <c r="AL3206" s="17"/>
      <c r="AM3206" s="17"/>
      <c r="AN3206" s="17"/>
      <c r="AO3206" s="17"/>
      <c r="AP3206" s="28" t="str">
        <f t="shared" si="967"/>
        <v>202212</v>
      </c>
      <c r="AQ3206" s="28" t="str">
        <f t="shared" si="968"/>
        <v>202212RMB</v>
      </c>
      <c r="AR3206" s="206" t="str">
        <f t="shared" si="969"/>
        <v>YAMAHA_Mounter</v>
      </c>
      <c r="AS3206" s="22">
        <f t="shared" si="970"/>
        <v>0</v>
      </c>
      <c r="AT3206" s="24" t="str">
        <f t="shared" si="971"/>
        <v>0-3 months</v>
      </c>
    </row>
    <row r="3207" spans="1:46" s="12" customFormat="1">
      <c r="A3207" s="33" t="str">
        <f t="shared" si="959"/>
        <v>FY 23/24</v>
      </c>
      <c r="B3207" s="152">
        <v>2023</v>
      </c>
      <c r="C3207" s="152">
        <v>11</v>
      </c>
      <c r="D3207" s="33" t="str">
        <f t="shared" si="960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61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62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57"/>
        <v>8500000</v>
      </c>
      <c r="AA3207" s="13">
        <v>5.4199999999999998E-2</v>
      </c>
      <c r="AB3207" s="21">
        <f t="shared" si="963"/>
        <v>460700</v>
      </c>
      <c r="AC3207" s="130">
        <f t="shared" si="964"/>
        <v>43536.15</v>
      </c>
      <c r="AD3207" s="173">
        <v>9.4500000000000001E-2</v>
      </c>
      <c r="AE3207" s="154">
        <f t="shared" si="965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73"/>
        <v>10271727.486725664</v>
      </c>
      <c r="AJ3207" s="19">
        <f t="shared" si="974"/>
        <v>1227228.7260761063</v>
      </c>
      <c r="AK3207" s="20">
        <f t="shared" si="966"/>
        <v>0.11947637120066472</v>
      </c>
      <c r="AL3207" s="17"/>
      <c r="AM3207" s="17"/>
      <c r="AN3207" s="17"/>
      <c r="AO3207" s="17"/>
      <c r="AP3207" s="28" t="str">
        <f t="shared" si="967"/>
        <v>202312</v>
      </c>
      <c r="AQ3207" s="28" t="str">
        <f t="shared" si="968"/>
        <v>202312JPY</v>
      </c>
      <c r="AR3207" s="206" t="str">
        <f t="shared" si="969"/>
        <v>YAMAHA_Mounter</v>
      </c>
      <c r="AS3207" s="22">
        <f t="shared" si="970"/>
        <v>1</v>
      </c>
      <c r="AT3207" s="24" t="str">
        <f t="shared" si="971"/>
        <v>0-3 months</v>
      </c>
    </row>
    <row r="3208" spans="1:46" s="12" customFormat="1">
      <c r="A3208" s="33" t="str">
        <f t="shared" si="959"/>
        <v>FY 18/19</v>
      </c>
      <c r="B3208" s="152">
        <v>2018</v>
      </c>
      <c r="C3208" s="152">
        <v>6</v>
      </c>
      <c r="D3208" s="33" t="str">
        <f t="shared" si="960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61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62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57"/>
        <v>9666667</v>
      </c>
      <c r="AA3208" s="13">
        <v>7.2099999999999997E-2</v>
      </c>
      <c r="AB3208" s="21">
        <f t="shared" si="963"/>
        <v>696966.69069999992</v>
      </c>
      <c r="AC3208" s="130">
        <f t="shared" si="964"/>
        <v>112211.63720269999</v>
      </c>
      <c r="AD3208" s="169">
        <v>0.161</v>
      </c>
      <c r="AE3208" s="154">
        <f t="shared" si="965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73"/>
        <v>26754147.763010349</v>
      </c>
      <c r="AJ3208" s="19">
        <f t="shared" si="974"/>
        <v>3429137.9965357962</v>
      </c>
      <c r="AK3208" s="20">
        <f t="shared" si="966"/>
        <v>0.12817220069617921</v>
      </c>
      <c r="AL3208" s="17"/>
      <c r="AM3208" s="17"/>
      <c r="AN3208" s="17"/>
      <c r="AO3208" s="17"/>
      <c r="AP3208" s="28" t="str">
        <f t="shared" si="967"/>
        <v>20188</v>
      </c>
      <c r="AQ3208" s="28" t="str">
        <f t="shared" si="968"/>
        <v>20188JPY</v>
      </c>
      <c r="AR3208" s="206" t="str">
        <f t="shared" si="969"/>
        <v>YAMAHA_Mounter</v>
      </c>
      <c r="AS3208" s="22">
        <f t="shared" si="970"/>
        <v>2</v>
      </c>
      <c r="AT3208" s="24" t="str">
        <f t="shared" si="971"/>
        <v>0-3 months</v>
      </c>
    </row>
    <row r="3209" spans="1:46" s="12" customFormat="1">
      <c r="A3209" s="33" t="str">
        <f t="shared" si="959"/>
        <v>FY 18/19</v>
      </c>
      <c r="B3209" s="152">
        <v>2018</v>
      </c>
      <c r="C3209" s="152">
        <v>6</v>
      </c>
      <c r="D3209" s="33" t="str">
        <f t="shared" si="960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61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62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57"/>
        <v>9666667</v>
      </c>
      <c r="AA3209" s="13">
        <v>7.22E-2</v>
      </c>
      <c r="AB3209" s="21">
        <f t="shared" si="963"/>
        <v>697933.35739999998</v>
      </c>
      <c r="AC3209" s="130">
        <f t="shared" si="964"/>
        <v>75516.389270679996</v>
      </c>
      <c r="AD3209" s="169">
        <v>0.1082</v>
      </c>
      <c r="AE3209" s="154">
        <f t="shared" si="965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73"/>
        <v>29946107.503386207</v>
      </c>
      <c r="AJ3209" s="19">
        <f t="shared" si="974"/>
        <v>3987206.4954923098</v>
      </c>
      <c r="AK3209" s="20">
        <f t="shared" si="966"/>
        <v>0.13314606898547499</v>
      </c>
      <c r="AL3209" s="17"/>
      <c r="AM3209" s="17"/>
      <c r="AN3209" s="17"/>
      <c r="AO3209" s="17"/>
      <c r="AP3209" s="28" t="str">
        <f t="shared" si="967"/>
        <v>20187</v>
      </c>
      <c r="AQ3209" s="28" t="str">
        <f t="shared" si="968"/>
        <v>20187JPY</v>
      </c>
      <c r="AR3209" s="206" t="str">
        <f t="shared" si="969"/>
        <v>YAMAHA_Mounter</v>
      </c>
      <c r="AS3209" s="22">
        <f t="shared" si="970"/>
        <v>1</v>
      </c>
      <c r="AT3209" s="24" t="str">
        <f t="shared" si="971"/>
        <v>0-3 months</v>
      </c>
    </row>
    <row r="3210" spans="1:46" s="12" customFormat="1">
      <c r="A3210" s="33" t="str">
        <f t="shared" si="959"/>
        <v>FY 18/19</v>
      </c>
      <c r="B3210" s="152">
        <v>2018</v>
      </c>
      <c r="C3210" s="152">
        <v>6</v>
      </c>
      <c r="D3210" s="33" t="str">
        <f t="shared" si="960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61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62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si="957"/>
        <v>9666666</v>
      </c>
      <c r="AA3210" s="13">
        <v>7.22E-2</v>
      </c>
      <c r="AB3210" s="21">
        <f t="shared" si="963"/>
        <v>697933.28520000004</v>
      </c>
      <c r="AC3210" s="130">
        <f t="shared" si="964"/>
        <v>75516.381458640011</v>
      </c>
      <c r="AD3210" s="169">
        <v>0.1082</v>
      </c>
      <c r="AE3210" s="154">
        <f t="shared" si="965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73"/>
        <v>29946107.503386207</v>
      </c>
      <c r="AJ3210" s="19">
        <f t="shared" si="974"/>
        <v>3987206.4954923098</v>
      </c>
      <c r="AK3210" s="20">
        <f t="shared" si="966"/>
        <v>0.13314606898547499</v>
      </c>
      <c r="AL3210" s="17"/>
      <c r="AM3210" s="17"/>
      <c r="AN3210" s="17"/>
      <c r="AO3210" s="17"/>
      <c r="AP3210" s="28" t="str">
        <f t="shared" si="967"/>
        <v>20187</v>
      </c>
      <c r="AQ3210" s="28" t="str">
        <f t="shared" si="968"/>
        <v>20187JPY</v>
      </c>
      <c r="AR3210" s="206" t="str">
        <f t="shared" si="969"/>
        <v>YAMAHA_Mounter</v>
      </c>
      <c r="AS3210" s="22">
        <f t="shared" si="970"/>
        <v>1</v>
      </c>
      <c r="AT3210" s="24" t="str">
        <f t="shared" si="971"/>
        <v>0-3 months</v>
      </c>
    </row>
    <row r="3211" spans="1:46" s="12" customFormat="1">
      <c r="A3211" s="33" t="str">
        <f t="shared" si="959"/>
        <v>FY 23/24</v>
      </c>
      <c r="B3211" s="152">
        <v>2023</v>
      </c>
      <c r="C3211" s="152">
        <v>11</v>
      </c>
      <c r="D3211" s="33" t="str">
        <f t="shared" si="960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61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62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57"/>
        <v>13225000</v>
      </c>
      <c r="AA3211" s="13">
        <v>5.4199999999999998E-2</v>
      </c>
      <c r="AB3211" s="21">
        <f t="shared" si="963"/>
        <v>716795</v>
      </c>
      <c r="AC3211" s="130">
        <f t="shared" si="964"/>
        <v>84223.412499999991</v>
      </c>
      <c r="AD3211" s="173">
        <v>0.11749999999999999</v>
      </c>
      <c r="AE3211" s="154">
        <f t="shared" si="965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73"/>
        <v>10271727.486725664</v>
      </c>
      <c r="AJ3211" s="19">
        <f t="shared" si="974"/>
        <v>1227228.7260761063</v>
      </c>
      <c r="AK3211" s="20">
        <f t="shared" si="966"/>
        <v>0.11947637120066472</v>
      </c>
      <c r="AL3211" s="17"/>
      <c r="AM3211" s="17"/>
      <c r="AN3211" s="17"/>
      <c r="AO3211" s="17"/>
      <c r="AP3211" s="28" t="str">
        <f t="shared" si="967"/>
        <v>202312</v>
      </c>
      <c r="AQ3211" s="28" t="str">
        <f t="shared" si="968"/>
        <v>202312JPY</v>
      </c>
      <c r="AR3211" s="206" t="str">
        <f t="shared" si="969"/>
        <v>YAMAHA_Mounter</v>
      </c>
      <c r="AS3211" s="22">
        <f t="shared" si="970"/>
        <v>1</v>
      </c>
      <c r="AT3211" s="24" t="str">
        <f t="shared" si="971"/>
        <v>0-3 months</v>
      </c>
    </row>
    <row r="3212" spans="1:46" s="12" customFormat="1">
      <c r="A3212" s="33" t="str">
        <f t="shared" si="959"/>
        <v>FY 23/24</v>
      </c>
      <c r="B3212" s="152">
        <v>2023</v>
      </c>
      <c r="C3212" s="152">
        <v>11</v>
      </c>
      <c r="D3212" s="33" t="str">
        <f t="shared" si="960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61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62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57"/>
        <v>13225000</v>
      </c>
      <c r="AA3212" s="13">
        <v>5.4199999999999998E-2</v>
      </c>
      <c r="AB3212" s="21">
        <f t="shared" si="963"/>
        <v>716795</v>
      </c>
      <c r="AC3212" s="130">
        <f t="shared" si="964"/>
        <v>84223.412499999991</v>
      </c>
      <c r="AD3212" s="173">
        <v>0.11749999999999999</v>
      </c>
      <c r="AE3212" s="154">
        <f t="shared" si="965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73"/>
        <v>10271727.486725664</v>
      </c>
      <c r="AJ3212" s="19">
        <f t="shared" si="974"/>
        <v>1227228.7260761063</v>
      </c>
      <c r="AK3212" s="20">
        <f t="shared" si="966"/>
        <v>0.11947637120066472</v>
      </c>
      <c r="AL3212" s="17"/>
      <c r="AM3212" s="17"/>
      <c r="AN3212" s="17"/>
      <c r="AO3212" s="17"/>
      <c r="AP3212" s="28" t="str">
        <f t="shared" si="967"/>
        <v>202312</v>
      </c>
      <c r="AQ3212" s="28" t="str">
        <f t="shared" si="968"/>
        <v>202312JPY</v>
      </c>
      <c r="AR3212" s="206" t="str">
        <f t="shared" si="969"/>
        <v>YAMAHA_Mounter</v>
      </c>
      <c r="AS3212" s="22">
        <f t="shared" si="970"/>
        <v>1</v>
      </c>
      <c r="AT3212" s="24" t="str">
        <f t="shared" si="971"/>
        <v>0-3 months</v>
      </c>
    </row>
    <row r="3213" spans="1:46" s="12" customFormat="1">
      <c r="A3213" s="33" t="str">
        <f t="shared" si="959"/>
        <v>FY 20/21</v>
      </c>
      <c r="B3213" s="152">
        <v>2020</v>
      </c>
      <c r="C3213" s="152">
        <v>12</v>
      </c>
      <c r="D3213" s="33" t="str">
        <f t="shared" si="960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61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62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75">IF(W3213="RMB","1.13", "1")</f>
        <v>1</v>
      </c>
      <c r="Z3213" s="18">
        <f t="shared" si="957"/>
        <v>12400000</v>
      </c>
      <c r="AA3213" s="13">
        <v>7.17E-2</v>
      </c>
      <c r="AB3213" s="21">
        <f t="shared" si="963"/>
        <v>889080</v>
      </c>
      <c r="AC3213" s="130">
        <f t="shared" si="964"/>
        <v>69348.240000000005</v>
      </c>
      <c r="AD3213" s="169">
        <v>7.8E-2</v>
      </c>
      <c r="AE3213" s="154">
        <f t="shared" si="965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73"/>
        <v>43684091.636631854</v>
      </c>
      <c r="AJ3213" s="19">
        <f t="shared" si="974"/>
        <v>6483951.8242071122</v>
      </c>
      <c r="AK3213" s="20">
        <f t="shared" si="966"/>
        <v>0.14842821680123736</v>
      </c>
      <c r="AL3213" s="17"/>
      <c r="AM3213" s="17"/>
      <c r="AN3213" s="17"/>
      <c r="AO3213" s="17"/>
      <c r="AP3213" s="28" t="str">
        <f t="shared" si="967"/>
        <v>20214</v>
      </c>
      <c r="AQ3213" s="28" t="str">
        <f t="shared" si="968"/>
        <v>20214JPY</v>
      </c>
      <c r="AR3213" s="206" t="str">
        <f t="shared" si="969"/>
        <v>YAMAHA_Mounter</v>
      </c>
      <c r="AS3213" s="22">
        <f t="shared" si="970"/>
        <v>4</v>
      </c>
      <c r="AT3213" s="24" t="str">
        <f t="shared" si="971"/>
        <v>4-6 months</v>
      </c>
    </row>
    <row r="3214" spans="1:46" s="12" customFormat="1">
      <c r="A3214" s="33" t="str">
        <f t="shared" si="959"/>
        <v>FY 20/21</v>
      </c>
      <c r="B3214" s="152">
        <v>2020</v>
      </c>
      <c r="C3214" s="152">
        <v>12</v>
      </c>
      <c r="D3214" s="33" t="str">
        <f t="shared" si="960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61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62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75"/>
        <v>1</v>
      </c>
      <c r="Z3214" s="18">
        <f t="shared" si="957"/>
        <v>12400000</v>
      </c>
      <c r="AA3214" s="13">
        <v>7.17E-2</v>
      </c>
      <c r="AB3214" s="21">
        <f t="shared" si="963"/>
        <v>889080</v>
      </c>
      <c r="AC3214" s="130">
        <f t="shared" si="964"/>
        <v>69348.240000000005</v>
      </c>
      <c r="AD3214" s="169">
        <v>7.8E-2</v>
      </c>
      <c r="AE3214" s="154">
        <f t="shared" si="965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73"/>
        <v>43684091.636631854</v>
      </c>
      <c r="AJ3214" s="19">
        <f t="shared" si="974"/>
        <v>6483951.8242071122</v>
      </c>
      <c r="AK3214" s="20">
        <f t="shared" si="966"/>
        <v>0.14842821680123736</v>
      </c>
      <c r="AL3214" s="17"/>
      <c r="AM3214" s="17"/>
      <c r="AN3214" s="17"/>
      <c r="AO3214" s="17"/>
      <c r="AP3214" s="28" t="str">
        <f t="shared" si="967"/>
        <v>20214</v>
      </c>
      <c r="AQ3214" s="28" t="str">
        <f t="shared" si="968"/>
        <v>20214JPY</v>
      </c>
      <c r="AR3214" s="206" t="str">
        <f t="shared" si="969"/>
        <v>YAMAHA_Mounter</v>
      </c>
      <c r="AS3214" s="22">
        <f t="shared" si="970"/>
        <v>4</v>
      </c>
      <c r="AT3214" s="24" t="str">
        <f t="shared" si="971"/>
        <v>4-6 months</v>
      </c>
    </row>
    <row r="3215" spans="1:46" s="12" customFormat="1">
      <c r="A3215" s="33" t="str">
        <f t="shared" si="959"/>
        <v>FY 20/21</v>
      </c>
      <c r="B3215" s="152">
        <v>2020</v>
      </c>
      <c r="C3215" s="152">
        <v>12</v>
      </c>
      <c r="D3215" s="33" t="str">
        <f t="shared" si="960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61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62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75"/>
        <v>1</v>
      </c>
      <c r="Z3215" s="18">
        <f t="shared" si="957"/>
        <v>8660000</v>
      </c>
      <c r="AA3215" s="13">
        <v>7.17E-2</v>
      </c>
      <c r="AB3215" s="21">
        <f t="shared" si="963"/>
        <v>620922</v>
      </c>
      <c r="AC3215" s="130">
        <f t="shared" si="964"/>
        <v>48431.915999999997</v>
      </c>
      <c r="AD3215" s="169">
        <v>7.8E-2</v>
      </c>
      <c r="AE3215" s="154">
        <f t="shared" si="965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73"/>
        <v>43684091.636631854</v>
      </c>
      <c r="AJ3215" s="19">
        <f t="shared" si="974"/>
        <v>6483951.8242071122</v>
      </c>
      <c r="AK3215" s="20">
        <f t="shared" si="966"/>
        <v>0.14842821680123736</v>
      </c>
      <c r="AL3215" s="17"/>
      <c r="AM3215" s="17"/>
      <c r="AN3215" s="17"/>
      <c r="AO3215" s="17"/>
      <c r="AP3215" s="28" t="str">
        <f t="shared" si="967"/>
        <v>20214</v>
      </c>
      <c r="AQ3215" s="28" t="str">
        <f t="shared" si="968"/>
        <v>20214JPY</v>
      </c>
      <c r="AR3215" s="206" t="str">
        <f t="shared" si="969"/>
        <v>YAMAHA_Mounter</v>
      </c>
      <c r="AS3215" s="22">
        <f t="shared" si="970"/>
        <v>4</v>
      </c>
      <c r="AT3215" s="24" t="str">
        <f t="shared" si="971"/>
        <v>4-6 months</v>
      </c>
    </row>
    <row r="3216" spans="1:46" s="12" customFormat="1">
      <c r="A3216" s="33" t="str">
        <f t="shared" si="959"/>
        <v>FY 20/21</v>
      </c>
      <c r="B3216" s="152">
        <v>2020</v>
      </c>
      <c r="C3216" s="152">
        <v>12</v>
      </c>
      <c r="D3216" s="33" t="str">
        <f t="shared" si="960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61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62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75"/>
        <v>1</v>
      </c>
      <c r="Z3216" s="18">
        <f t="shared" si="957"/>
        <v>8660000</v>
      </c>
      <c r="AA3216" s="13">
        <v>7.17E-2</v>
      </c>
      <c r="AB3216" s="21">
        <f t="shared" si="963"/>
        <v>620922</v>
      </c>
      <c r="AC3216" s="130">
        <f t="shared" si="964"/>
        <v>48431.915999999997</v>
      </c>
      <c r="AD3216" s="169">
        <v>7.8E-2</v>
      </c>
      <c r="AE3216" s="154">
        <f t="shared" si="965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73"/>
        <v>43684091.636631854</v>
      </c>
      <c r="AJ3216" s="19">
        <f t="shared" si="974"/>
        <v>6483951.8242071122</v>
      </c>
      <c r="AK3216" s="20">
        <f t="shared" si="966"/>
        <v>0.14842821680123736</v>
      </c>
      <c r="AL3216" s="17"/>
      <c r="AM3216" s="17"/>
      <c r="AN3216" s="17"/>
      <c r="AO3216" s="17"/>
      <c r="AP3216" s="28" t="str">
        <f t="shared" si="967"/>
        <v>20214</v>
      </c>
      <c r="AQ3216" s="28" t="str">
        <f t="shared" si="968"/>
        <v>20214JPY</v>
      </c>
      <c r="AR3216" s="206" t="str">
        <f t="shared" si="969"/>
        <v>YAMAHA_Mounter</v>
      </c>
      <c r="AS3216" s="22">
        <f t="shared" si="970"/>
        <v>4</v>
      </c>
      <c r="AT3216" s="24" t="str">
        <f t="shared" si="971"/>
        <v>4-6 months</v>
      </c>
    </row>
    <row r="3217" spans="1:46" s="12" customFormat="1">
      <c r="A3217" s="33" t="str">
        <f t="shared" si="959"/>
        <v>FY 20/21</v>
      </c>
      <c r="B3217" s="152">
        <v>2020</v>
      </c>
      <c r="C3217" s="152">
        <v>12</v>
      </c>
      <c r="D3217" s="33" t="str">
        <f t="shared" si="960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61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62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75"/>
        <v>1</v>
      </c>
      <c r="Z3217" s="18">
        <f t="shared" si="957"/>
        <v>12400000</v>
      </c>
      <c r="AA3217" s="13">
        <v>7.17E-2</v>
      </c>
      <c r="AB3217" s="21">
        <f t="shared" si="963"/>
        <v>889080</v>
      </c>
      <c r="AC3217" s="130">
        <f t="shared" si="964"/>
        <v>106689.59999999999</v>
      </c>
      <c r="AD3217" s="169">
        <v>0.12</v>
      </c>
      <c r="AE3217" s="154">
        <f t="shared" si="965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73"/>
        <v>477651199.57437885</v>
      </c>
      <c r="AJ3217" s="19">
        <f t="shared" si="974"/>
        <v>56918800.518691957</v>
      </c>
      <c r="AK3217" s="20">
        <f t="shared" si="966"/>
        <v>0.11916394341605475</v>
      </c>
      <c r="AL3217" s="17"/>
      <c r="AM3217" s="17"/>
      <c r="AN3217" s="17"/>
      <c r="AO3217" s="17"/>
      <c r="AP3217" s="28" t="str">
        <f t="shared" si="967"/>
        <v>CancelCancel</v>
      </c>
      <c r="AQ3217" s="28" t="str">
        <f t="shared" si="968"/>
        <v>CancelCancelJPY</v>
      </c>
      <c r="AR3217" s="206" t="str">
        <f t="shared" si="969"/>
        <v>YAMAHA_Mounter</v>
      </c>
      <c r="AS3217" s="22" t="str">
        <f t="shared" si="970"/>
        <v/>
      </c>
      <c r="AT3217" s="24" t="str">
        <f t="shared" si="971"/>
        <v/>
      </c>
    </row>
    <row r="3218" spans="1:46" s="12" customFormat="1">
      <c r="A3218" s="33" t="str">
        <f t="shared" si="959"/>
        <v>FY 20/21</v>
      </c>
      <c r="B3218" s="152">
        <v>2020</v>
      </c>
      <c r="C3218" s="152">
        <v>12</v>
      </c>
      <c r="D3218" s="33" t="str">
        <f t="shared" si="960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61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62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75"/>
        <v>1</v>
      </c>
      <c r="Z3218" s="18">
        <f t="shared" si="957"/>
        <v>12400000</v>
      </c>
      <c r="AA3218" s="13">
        <v>7.17E-2</v>
      </c>
      <c r="AB3218" s="21">
        <f t="shared" si="963"/>
        <v>889080</v>
      </c>
      <c r="AC3218" s="130">
        <f t="shared" si="964"/>
        <v>106689.59999999999</v>
      </c>
      <c r="AD3218" s="169">
        <v>0.12</v>
      </c>
      <c r="AE3218" s="154">
        <f t="shared" si="965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73"/>
        <v>477651199.57437885</v>
      </c>
      <c r="AJ3218" s="19">
        <f t="shared" si="974"/>
        <v>56918800.518691957</v>
      </c>
      <c r="AK3218" s="20">
        <f t="shared" si="966"/>
        <v>0.11916394341605475</v>
      </c>
      <c r="AL3218" s="17"/>
      <c r="AM3218" s="17"/>
      <c r="AN3218" s="17"/>
      <c r="AO3218" s="17"/>
      <c r="AP3218" s="28" t="str">
        <f t="shared" si="967"/>
        <v>CancelCancel</v>
      </c>
      <c r="AQ3218" s="28" t="str">
        <f t="shared" si="968"/>
        <v>CancelCancelJPY</v>
      </c>
      <c r="AR3218" s="206" t="str">
        <f t="shared" si="969"/>
        <v>YAMAHA_Mounter</v>
      </c>
      <c r="AS3218" s="22" t="str">
        <f t="shared" si="970"/>
        <v/>
      </c>
      <c r="AT3218" s="24" t="str">
        <f t="shared" si="971"/>
        <v/>
      </c>
    </row>
    <row r="3219" spans="1:46" s="12" customFormat="1">
      <c r="A3219" s="33" t="str">
        <f t="shared" si="959"/>
        <v>FY 20/21</v>
      </c>
      <c r="B3219" s="152">
        <v>2020</v>
      </c>
      <c r="C3219" s="152">
        <v>12</v>
      </c>
      <c r="D3219" s="33" t="str">
        <f t="shared" si="960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61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62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75"/>
        <v>1</v>
      </c>
      <c r="Z3219" s="18">
        <f t="shared" si="957"/>
        <v>12400000</v>
      </c>
      <c r="AA3219" s="13">
        <v>7.17E-2</v>
      </c>
      <c r="AB3219" s="21">
        <f t="shared" si="963"/>
        <v>889080</v>
      </c>
      <c r="AC3219" s="130">
        <f t="shared" si="964"/>
        <v>106689.59999999999</v>
      </c>
      <c r="AD3219" s="169">
        <v>0.12</v>
      </c>
      <c r="AE3219" s="154">
        <f t="shared" si="965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73"/>
        <v>477651199.57437885</v>
      </c>
      <c r="AJ3219" s="19">
        <f t="shared" si="974"/>
        <v>56918800.518691957</v>
      </c>
      <c r="AK3219" s="20">
        <f t="shared" si="966"/>
        <v>0.11916394341605475</v>
      </c>
      <c r="AL3219" s="17"/>
      <c r="AM3219" s="17"/>
      <c r="AN3219" s="17"/>
      <c r="AO3219" s="17"/>
      <c r="AP3219" s="28" t="str">
        <f t="shared" si="967"/>
        <v>CancelCancel</v>
      </c>
      <c r="AQ3219" s="28" t="str">
        <f t="shared" si="968"/>
        <v>CancelCancelJPY</v>
      </c>
      <c r="AR3219" s="206" t="str">
        <f t="shared" si="969"/>
        <v>YAMAHA_Mounter</v>
      </c>
      <c r="AS3219" s="22" t="str">
        <f t="shared" si="970"/>
        <v/>
      </c>
      <c r="AT3219" s="24" t="str">
        <f t="shared" si="971"/>
        <v/>
      </c>
    </row>
    <row r="3220" spans="1:46" s="12" customFormat="1">
      <c r="A3220" s="33" t="str">
        <f t="shared" si="959"/>
        <v>FY 20/21</v>
      </c>
      <c r="B3220" s="152">
        <v>2020</v>
      </c>
      <c r="C3220" s="152">
        <v>12</v>
      </c>
      <c r="D3220" s="33" t="str">
        <f t="shared" si="960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61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62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75"/>
        <v>1</v>
      </c>
      <c r="Z3220" s="18">
        <f t="shared" si="957"/>
        <v>12400000</v>
      </c>
      <c r="AA3220" s="13">
        <v>7.17E-2</v>
      </c>
      <c r="AB3220" s="21">
        <f t="shared" si="963"/>
        <v>889080</v>
      </c>
      <c r="AC3220" s="130">
        <f t="shared" si="964"/>
        <v>106689.59999999999</v>
      </c>
      <c r="AD3220" s="169">
        <v>0.12</v>
      </c>
      <c r="AE3220" s="154">
        <f t="shared" si="965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73"/>
        <v>477651199.57437885</v>
      </c>
      <c r="AJ3220" s="19">
        <f t="shared" si="974"/>
        <v>56918800.518691957</v>
      </c>
      <c r="AK3220" s="20">
        <f t="shared" si="966"/>
        <v>0.11916394341605475</v>
      </c>
      <c r="AL3220" s="17"/>
      <c r="AM3220" s="17"/>
      <c r="AN3220" s="17"/>
      <c r="AO3220" s="17"/>
      <c r="AP3220" s="28" t="str">
        <f t="shared" si="967"/>
        <v>CancelCancel</v>
      </c>
      <c r="AQ3220" s="28" t="str">
        <f t="shared" si="968"/>
        <v>CancelCancelJPY</v>
      </c>
      <c r="AR3220" s="206" t="str">
        <f t="shared" si="969"/>
        <v>YAMAHA_Mounter</v>
      </c>
      <c r="AS3220" s="22" t="str">
        <f t="shared" si="970"/>
        <v/>
      </c>
      <c r="AT3220" s="24" t="str">
        <f t="shared" si="971"/>
        <v/>
      </c>
    </row>
    <row r="3221" spans="1:46" s="12" customFormat="1">
      <c r="A3221" s="33" t="str">
        <f t="shared" si="959"/>
        <v>FY 20/21</v>
      </c>
      <c r="B3221" s="152">
        <v>2020</v>
      </c>
      <c r="C3221" s="152">
        <v>12</v>
      </c>
      <c r="D3221" s="33" t="str">
        <f t="shared" si="960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61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62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75"/>
        <v>1</v>
      </c>
      <c r="Z3221" s="18">
        <f t="shared" si="957"/>
        <v>8518000</v>
      </c>
      <c r="AA3221" s="13">
        <v>7.17E-2</v>
      </c>
      <c r="AB3221" s="21">
        <f t="shared" si="963"/>
        <v>610740.6</v>
      </c>
      <c r="AC3221" s="130">
        <f t="shared" si="964"/>
        <v>73288.871999999988</v>
      </c>
      <c r="AD3221" s="169">
        <v>0.12</v>
      </c>
      <c r="AE3221" s="154">
        <f t="shared" si="965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73"/>
        <v>477651199.57437885</v>
      </c>
      <c r="AJ3221" s="19">
        <f t="shared" si="974"/>
        <v>56918800.518691957</v>
      </c>
      <c r="AK3221" s="20">
        <f t="shared" si="966"/>
        <v>0.11916394341605475</v>
      </c>
      <c r="AL3221" s="17"/>
      <c r="AM3221" s="17"/>
      <c r="AN3221" s="17"/>
      <c r="AO3221" s="17"/>
      <c r="AP3221" s="28" t="str">
        <f t="shared" si="967"/>
        <v>CancelCancel</v>
      </c>
      <c r="AQ3221" s="28" t="str">
        <f t="shared" si="968"/>
        <v>CancelCancelJPY</v>
      </c>
      <c r="AR3221" s="206" t="str">
        <f t="shared" si="969"/>
        <v>YAMAHA_Mounter</v>
      </c>
      <c r="AS3221" s="22" t="str">
        <f t="shared" si="970"/>
        <v/>
      </c>
      <c r="AT3221" s="24" t="str">
        <f t="shared" si="971"/>
        <v/>
      </c>
    </row>
    <row r="3222" spans="1:46" s="12" customFormat="1">
      <c r="A3222" s="33" t="str">
        <f t="shared" si="959"/>
        <v>FY 20/21</v>
      </c>
      <c r="B3222" s="152">
        <v>2020</v>
      </c>
      <c r="C3222" s="152">
        <v>12</v>
      </c>
      <c r="D3222" s="33" t="str">
        <f t="shared" si="960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61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si="962"/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75"/>
        <v>1</v>
      </c>
      <c r="Z3222" s="18">
        <f t="shared" ref="Z3222:Z3228" si="976">IF(X3222="","",X3222*MAX(O3222,N3222))</f>
        <v>8518000</v>
      </c>
      <c r="AA3222" s="13">
        <v>7.17E-2</v>
      </c>
      <c r="AB3222" s="21">
        <f t="shared" si="963"/>
        <v>610740.6</v>
      </c>
      <c r="AC3222" s="130">
        <f t="shared" si="964"/>
        <v>73288.871999999988</v>
      </c>
      <c r="AD3222" s="169">
        <v>0.12</v>
      </c>
      <c r="AE3222" s="154">
        <f t="shared" si="965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73"/>
        <v>477651199.57437885</v>
      </c>
      <c r="AJ3222" s="19">
        <f t="shared" si="974"/>
        <v>56918800.518691957</v>
      </c>
      <c r="AK3222" s="20">
        <f t="shared" si="966"/>
        <v>0.11916394341605475</v>
      </c>
      <c r="AL3222" s="17"/>
      <c r="AM3222" s="17"/>
      <c r="AN3222" s="17"/>
      <c r="AO3222" s="17"/>
      <c r="AP3222" s="28" t="str">
        <f t="shared" si="967"/>
        <v>CancelCancel</v>
      </c>
      <c r="AQ3222" s="28" t="str">
        <f t="shared" si="968"/>
        <v>CancelCancelJPY</v>
      </c>
      <c r="AR3222" s="206" t="str">
        <f t="shared" si="969"/>
        <v>YAMAHA_Mounter</v>
      </c>
      <c r="AS3222" s="22" t="str">
        <f t="shared" si="970"/>
        <v/>
      </c>
      <c r="AT3222" s="24" t="str">
        <f t="shared" si="971"/>
        <v/>
      </c>
    </row>
    <row r="3223" spans="1:46" s="12" customFormat="1">
      <c r="A3223" s="33" t="str">
        <f t="shared" si="959"/>
        <v>FY 21/22</v>
      </c>
      <c r="B3223" s="152">
        <v>2021</v>
      </c>
      <c r="C3223" s="152">
        <v>4</v>
      </c>
      <c r="D3223" s="33" t="str">
        <f t="shared" si="960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61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2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75"/>
        <v>1</v>
      </c>
      <c r="Z3223" s="18">
        <f t="shared" si="976"/>
        <v>12600000</v>
      </c>
      <c r="AA3223" s="13">
        <v>7.2800000000000004E-2</v>
      </c>
      <c r="AB3223" s="21">
        <f t="shared" si="963"/>
        <v>917280</v>
      </c>
      <c r="AC3223" s="130">
        <f t="shared" si="964"/>
        <v>66594.527999999991</v>
      </c>
      <c r="AD3223" s="169">
        <v>7.2599999999999998E-2</v>
      </c>
      <c r="AE3223" s="154">
        <f t="shared" si="965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73"/>
        <v>63006605.696460173</v>
      </c>
      <c r="AJ3223" s="19">
        <f t="shared" si="974"/>
        <v>8897485.660753984</v>
      </c>
      <c r="AK3223" s="20">
        <f t="shared" si="966"/>
        <v>0.141215124388995</v>
      </c>
      <c r="AL3223" s="17"/>
      <c r="AM3223" s="17"/>
      <c r="AN3223" s="17"/>
      <c r="AO3223" s="17"/>
      <c r="AP3223" s="28" t="str">
        <f t="shared" si="967"/>
        <v>20215</v>
      </c>
      <c r="AQ3223" s="28" t="str">
        <f t="shared" si="968"/>
        <v>20215JPY</v>
      </c>
      <c r="AR3223" s="206" t="str">
        <f t="shared" si="969"/>
        <v>YAMAHA_Mounter</v>
      </c>
      <c r="AS3223" s="22">
        <f t="shared" si="970"/>
        <v>1</v>
      </c>
      <c r="AT3223" s="24" t="str">
        <f t="shared" si="971"/>
        <v>0-3 months</v>
      </c>
    </row>
    <row r="3224" spans="1:46" s="12" customFormat="1">
      <c r="A3224" s="33" t="str">
        <f t="shared" si="959"/>
        <v>FY 21/22</v>
      </c>
      <c r="B3224" s="152">
        <v>2021</v>
      </c>
      <c r="C3224" s="152">
        <v>4</v>
      </c>
      <c r="D3224" s="33" t="str">
        <f t="shared" si="960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61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2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75"/>
        <v>1</v>
      </c>
      <c r="Z3224" s="18">
        <f t="shared" si="976"/>
        <v>12600000</v>
      </c>
      <c r="AA3224" s="13">
        <v>7.2800000000000004E-2</v>
      </c>
      <c r="AB3224" s="21">
        <f t="shared" si="963"/>
        <v>917280</v>
      </c>
      <c r="AC3224" s="130">
        <f t="shared" si="964"/>
        <v>66594.527999999991</v>
      </c>
      <c r="AD3224" s="169">
        <v>7.2599999999999998E-2</v>
      </c>
      <c r="AE3224" s="154">
        <f t="shared" si="965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73"/>
        <v>63006605.696460173</v>
      </c>
      <c r="AJ3224" s="19">
        <f t="shared" si="974"/>
        <v>8897485.660753984</v>
      </c>
      <c r="AK3224" s="20">
        <f t="shared" si="966"/>
        <v>0.141215124388995</v>
      </c>
      <c r="AL3224" s="17"/>
      <c r="AM3224" s="17"/>
      <c r="AN3224" s="17"/>
      <c r="AO3224" s="17"/>
      <c r="AP3224" s="28" t="str">
        <f t="shared" si="967"/>
        <v>20215</v>
      </c>
      <c r="AQ3224" s="28" t="str">
        <f t="shared" si="968"/>
        <v>20215JPY</v>
      </c>
      <c r="AR3224" s="206" t="str">
        <f t="shared" si="969"/>
        <v>YAMAHA_Mounter</v>
      </c>
      <c r="AS3224" s="22">
        <f t="shared" si="970"/>
        <v>1</v>
      </c>
      <c r="AT3224" s="24" t="str">
        <f t="shared" si="971"/>
        <v>0-3 months</v>
      </c>
    </row>
    <row r="3225" spans="1:46" s="12" customFormat="1">
      <c r="A3225" s="33" t="str">
        <f t="shared" si="959"/>
        <v>FY 21/22</v>
      </c>
      <c r="B3225" s="152">
        <v>2021</v>
      </c>
      <c r="C3225" s="152">
        <v>4</v>
      </c>
      <c r="D3225" s="33" t="str">
        <f t="shared" si="960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61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2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75"/>
        <v>1</v>
      </c>
      <c r="Z3225" s="18">
        <f t="shared" si="976"/>
        <v>9408000</v>
      </c>
      <c r="AA3225" s="13">
        <v>7.2800000000000004E-2</v>
      </c>
      <c r="AB3225" s="21">
        <f t="shared" si="963"/>
        <v>684902.40000000002</v>
      </c>
      <c r="AC3225" s="130">
        <f t="shared" si="964"/>
        <v>49723.914239999998</v>
      </c>
      <c r="AD3225" s="169">
        <v>7.2599999999999998E-2</v>
      </c>
      <c r="AE3225" s="154">
        <f t="shared" si="965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73"/>
        <v>63006605.696460173</v>
      </c>
      <c r="AJ3225" s="19">
        <f t="shared" si="974"/>
        <v>8897485.660753984</v>
      </c>
      <c r="AK3225" s="20">
        <f t="shared" si="966"/>
        <v>0.141215124388995</v>
      </c>
      <c r="AL3225" s="17"/>
      <c r="AM3225" s="17"/>
      <c r="AN3225" s="17"/>
      <c r="AO3225" s="17"/>
      <c r="AP3225" s="28" t="str">
        <f t="shared" si="967"/>
        <v>20215</v>
      </c>
      <c r="AQ3225" s="28" t="str">
        <f t="shared" si="968"/>
        <v>20215JPY</v>
      </c>
      <c r="AR3225" s="206" t="str">
        <f t="shared" si="969"/>
        <v>YAMAHA_Mounter</v>
      </c>
      <c r="AS3225" s="22">
        <f t="shared" si="970"/>
        <v>1</v>
      </c>
      <c r="AT3225" s="24" t="str">
        <f t="shared" si="971"/>
        <v>0-3 months</v>
      </c>
    </row>
    <row r="3226" spans="1:46" s="12" customFormat="1">
      <c r="A3226" s="33" t="str">
        <f t="shared" si="959"/>
        <v>FY 21/22</v>
      </c>
      <c r="B3226" s="152">
        <v>2021</v>
      </c>
      <c r="C3226" s="152">
        <v>4</v>
      </c>
      <c r="D3226" s="33" t="str">
        <f t="shared" si="960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61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2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75"/>
        <v>1</v>
      </c>
      <c r="Z3226" s="18">
        <f t="shared" si="976"/>
        <v>15220000</v>
      </c>
      <c r="AA3226" s="13">
        <v>5.8700000000000002E-2</v>
      </c>
      <c r="AB3226" s="21">
        <f t="shared" si="963"/>
        <v>893414</v>
      </c>
      <c r="AC3226" s="130">
        <f t="shared" si="964"/>
        <v>29929.369000000002</v>
      </c>
      <c r="AD3226" s="169">
        <v>3.3500000000000002E-2</v>
      </c>
      <c r="AE3226" s="154">
        <f t="shared" si="965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73"/>
        <v>36480247.665929198</v>
      </c>
      <c r="AJ3226" s="19">
        <f t="shared" si="974"/>
        <v>5330996.6372757526</v>
      </c>
      <c r="AK3226" s="20">
        <f t="shared" si="966"/>
        <v>0.14613378412599562</v>
      </c>
      <c r="AL3226" s="17"/>
      <c r="AM3226" s="17"/>
      <c r="AN3226" s="17"/>
      <c r="AO3226" s="17" t="s">
        <v>2045</v>
      </c>
      <c r="AP3226" s="28" t="str">
        <f t="shared" si="967"/>
        <v>20227</v>
      </c>
      <c r="AQ3226" s="28" t="str">
        <f t="shared" si="968"/>
        <v>20227JPY</v>
      </c>
      <c r="AR3226" s="206" t="str">
        <f t="shared" si="969"/>
        <v>YAMAHA_Mounter</v>
      </c>
      <c r="AS3226" s="22">
        <f t="shared" si="970"/>
        <v>15</v>
      </c>
      <c r="AT3226" s="24" t="str">
        <f t="shared" si="971"/>
        <v>&gt; 6 months</v>
      </c>
    </row>
    <row r="3227" spans="1:46" s="12" customFormat="1">
      <c r="A3227" s="33" t="str">
        <f t="shared" si="959"/>
        <v>FY 21/22</v>
      </c>
      <c r="B3227" s="152">
        <v>2021</v>
      </c>
      <c r="C3227" s="152">
        <v>4</v>
      </c>
      <c r="D3227" s="33" t="str">
        <f t="shared" si="960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61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2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75"/>
        <v>1</v>
      </c>
      <c r="Z3227" s="18">
        <f t="shared" si="976"/>
        <v>12600000</v>
      </c>
      <c r="AA3227" s="13">
        <v>6.25E-2</v>
      </c>
      <c r="AB3227" s="21">
        <f t="shared" si="963"/>
        <v>787500</v>
      </c>
      <c r="AC3227" s="130">
        <f t="shared" si="964"/>
        <v>94500</v>
      </c>
      <c r="AD3227" s="169">
        <v>0.12</v>
      </c>
      <c r="AE3227" s="154">
        <f t="shared" si="965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73"/>
        <v>477651199.57437885</v>
      </c>
      <c r="AJ3227" s="19">
        <f t="shared" si="974"/>
        <v>56918800.518691957</v>
      </c>
      <c r="AK3227" s="20">
        <f t="shared" si="966"/>
        <v>0.11916394341605475</v>
      </c>
      <c r="AL3227" s="17"/>
      <c r="AM3227" s="17"/>
      <c r="AN3227" s="17"/>
      <c r="AO3227" s="17"/>
      <c r="AP3227" s="28" t="str">
        <f t="shared" si="967"/>
        <v>CancelCANCEL</v>
      </c>
      <c r="AQ3227" s="28" t="str">
        <f t="shared" si="968"/>
        <v>CancelCANCELJPY</v>
      </c>
      <c r="AR3227" s="206" t="str">
        <f t="shared" si="969"/>
        <v>YAMAHA_Mounter</v>
      </c>
      <c r="AS3227" s="22" t="str">
        <f t="shared" si="970"/>
        <v/>
      </c>
      <c r="AT3227" s="24" t="str">
        <f t="shared" si="971"/>
        <v/>
      </c>
    </row>
    <row r="3228" spans="1:46" s="12" customFormat="1">
      <c r="A3228" s="33" t="str">
        <f t="shared" si="959"/>
        <v>FY 21/22</v>
      </c>
      <c r="B3228" s="152">
        <v>2021</v>
      </c>
      <c r="C3228" s="152">
        <v>4</v>
      </c>
      <c r="D3228" s="33" t="str">
        <f t="shared" si="960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61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2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75"/>
        <v>1</v>
      </c>
      <c r="Z3228" s="18">
        <f t="shared" si="976"/>
        <v>8958000</v>
      </c>
      <c r="AA3228" s="13">
        <v>6.25E-2</v>
      </c>
      <c r="AB3228" s="21">
        <f t="shared" si="963"/>
        <v>559875</v>
      </c>
      <c r="AC3228" s="130">
        <f t="shared" si="964"/>
        <v>67185</v>
      </c>
      <c r="AD3228" s="169">
        <v>0.12</v>
      </c>
      <c r="AE3228" s="154">
        <f t="shared" si="965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73"/>
        <v>477651199.57437885</v>
      </c>
      <c r="AJ3228" s="19">
        <f t="shared" si="974"/>
        <v>56918800.518691957</v>
      </c>
      <c r="AK3228" s="20">
        <f t="shared" si="966"/>
        <v>0.11916394341605475</v>
      </c>
      <c r="AL3228" s="17"/>
      <c r="AM3228" s="17"/>
      <c r="AN3228" s="17"/>
      <c r="AO3228" s="17"/>
      <c r="AP3228" s="28" t="str">
        <f t="shared" si="967"/>
        <v>CancelCANCEL</v>
      </c>
      <c r="AQ3228" s="28" t="str">
        <f t="shared" si="968"/>
        <v>CancelCANCELJPY</v>
      </c>
      <c r="AR3228" s="206" t="str">
        <f t="shared" si="969"/>
        <v>YAMAHA_Mounter</v>
      </c>
      <c r="AS3228" s="22" t="str">
        <f t="shared" si="970"/>
        <v/>
      </c>
      <c r="AT3228" s="24" t="str">
        <f t="shared" si="971"/>
        <v/>
      </c>
    </row>
    <row r="3229" spans="1:46" s="12" customFormat="1">
      <c r="A3229" s="33" t="str">
        <f t="shared" si="959"/>
        <v>FY 23/24</v>
      </c>
      <c r="B3229" s="152">
        <v>2023</v>
      </c>
      <c r="C3229" s="152">
        <v>9</v>
      </c>
      <c r="D3229" s="33" t="str">
        <f t="shared" si="960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61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2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75"/>
        <v>1</v>
      </c>
      <c r="Z3229" s="18">
        <v>13000000</v>
      </c>
      <c r="AA3229" s="13">
        <v>5.3400000000000003E-2</v>
      </c>
      <c r="AB3229" s="21">
        <f t="shared" si="963"/>
        <v>694200</v>
      </c>
      <c r="AC3229" s="130">
        <f t="shared" si="964"/>
        <v>108156.36</v>
      </c>
      <c r="AD3229" s="169">
        <v>0.15579999999999999</v>
      </c>
      <c r="AE3229" s="154">
        <f t="shared" si="965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73"/>
        <v>5219988.5752212387</v>
      </c>
      <c r="AJ3229" s="19">
        <f t="shared" si="974"/>
        <v>631627.0013460177</v>
      </c>
      <c r="AK3229" s="20">
        <f t="shared" si="966"/>
        <v>0.12100160608478869</v>
      </c>
      <c r="AL3229" s="17"/>
      <c r="AM3229" s="17"/>
      <c r="AN3229" s="17"/>
      <c r="AO3229" s="17"/>
      <c r="AP3229" s="28" t="str">
        <f t="shared" si="967"/>
        <v>202310</v>
      </c>
      <c r="AQ3229" s="28" t="str">
        <f t="shared" si="968"/>
        <v>202310JPY</v>
      </c>
      <c r="AR3229" s="206" t="str">
        <f t="shared" si="969"/>
        <v>YAMAHA_Mounter</v>
      </c>
      <c r="AS3229" s="22">
        <f t="shared" si="970"/>
        <v>1</v>
      </c>
      <c r="AT3229" s="24" t="str">
        <f t="shared" si="971"/>
        <v>0-3 months</v>
      </c>
    </row>
    <row r="3230" spans="1:46" s="12" customFormat="1">
      <c r="A3230" s="33" t="str">
        <f t="shared" si="959"/>
        <v>FY 23/24</v>
      </c>
      <c r="B3230" s="152">
        <v>2023</v>
      </c>
      <c r="C3230" s="152">
        <v>5</v>
      </c>
      <c r="D3230" s="33" t="str">
        <f t="shared" si="960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61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2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75"/>
        <v>1.13</v>
      </c>
      <c r="Z3230" s="18">
        <f t="shared" ref="Z3230:Z3293" si="977">IF(X3230="","",X3230*MAX(O3230,N3230))</f>
        <v>460000</v>
      </c>
      <c r="AA3230" s="13">
        <v>1.105</v>
      </c>
      <c r="AB3230" s="21">
        <f t="shared" si="963"/>
        <v>449823.00884955755</v>
      </c>
      <c r="AC3230" s="130">
        <f t="shared" si="964"/>
        <v>47141.451327433635</v>
      </c>
      <c r="AD3230" s="169">
        <v>0.1048</v>
      </c>
      <c r="AE3230" s="154">
        <f t="shared" si="965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73"/>
        <v>13640480.497522123</v>
      </c>
      <c r="AJ3230" s="19">
        <f t="shared" si="974"/>
        <v>1928605.8020906283</v>
      </c>
      <c r="AK3230" s="20">
        <f t="shared" si="966"/>
        <v>0.1413884065477731</v>
      </c>
      <c r="AL3230" s="17"/>
      <c r="AM3230" s="17"/>
      <c r="AN3230" s="17"/>
      <c r="AO3230" s="17"/>
      <c r="AP3230" s="28" t="str">
        <f t="shared" si="967"/>
        <v>20236</v>
      </c>
      <c r="AQ3230" s="28" t="str">
        <f t="shared" si="968"/>
        <v>20236RMB</v>
      </c>
      <c r="AR3230" s="206" t="str">
        <f t="shared" si="969"/>
        <v>YAMAHA_Mounter</v>
      </c>
      <c r="AS3230" s="22">
        <f t="shared" si="970"/>
        <v>1</v>
      </c>
      <c r="AT3230" s="24" t="str">
        <f t="shared" si="971"/>
        <v>0-3 months</v>
      </c>
    </row>
    <row r="3231" spans="1:46" s="12" customFormat="1">
      <c r="A3231" s="33" t="str">
        <f t="shared" si="959"/>
        <v>FY 20/21</v>
      </c>
      <c r="B3231" s="152">
        <v>2021</v>
      </c>
      <c r="C3231" s="152">
        <v>3</v>
      </c>
      <c r="D3231" s="33" t="str">
        <f t="shared" si="960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61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2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75"/>
        <v>1</v>
      </c>
      <c r="Z3231" s="18">
        <f t="shared" si="977"/>
        <v>13600000</v>
      </c>
      <c r="AA3231" s="13">
        <v>5.3100000000000001E-2</v>
      </c>
      <c r="AB3231" s="21">
        <f t="shared" si="963"/>
        <v>722160</v>
      </c>
      <c r="AC3231" s="130">
        <f t="shared" si="964"/>
        <v>72504.864000000001</v>
      </c>
      <c r="AD3231" s="213">
        <v>0.1004</v>
      </c>
      <c r="AE3231" s="154">
        <f t="shared" si="965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73"/>
        <v>21194662.454867262</v>
      </c>
      <c r="AJ3231" s="19">
        <f t="shared" si="974"/>
        <v>2981431.5970757701</v>
      </c>
      <c r="AK3231" s="20">
        <f t="shared" si="966"/>
        <v>0.14066898226968919</v>
      </c>
      <c r="AL3231" s="17"/>
      <c r="AM3231" s="17"/>
      <c r="AN3231" s="17"/>
      <c r="AO3231" s="17"/>
      <c r="AP3231" s="28" t="str">
        <f t="shared" si="967"/>
        <v>20243</v>
      </c>
      <c r="AQ3231" s="28" t="str">
        <f t="shared" si="968"/>
        <v>20243JPY</v>
      </c>
      <c r="AR3231" s="206" t="str">
        <f t="shared" si="969"/>
        <v>YAMAHA_Mounter</v>
      </c>
      <c r="AS3231" s="22">
        <f t="shared" si="970"/>
        <v>36</v>
      </c>
      <c r="AT3231" s="24" t="str">
        <f t="shared" si="971"/>
        <v>&gt; 6 months</v>
      </c>
    </row>
    <row r="3232" spans="1:46" s="12" customFormat="1">
      <c r="A3232" s="33" t="str">
        <f t="shared" si="959"/>
        <v>FY 18/19</v>
      </c>
      <c r="B3232" s="152">
        <v>2018</v>
      </c>
      <c r="C3232" s="152">
        <v>4</v>
      </c>
      <c r="D3232" s="33" t="str">
        <f t="shared" si="960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61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2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77"/>
        <v>965000</v>
      </c>
      <c r="AA3232" s="13">
        <v>1.23</v>
      </c>
      <c r="AB3232" s="21">
        <f t="shared" si="963"/>
        <v>1023232.7586206897</v>
      </c>
      <c r="AC3232" s="130">
        <f t="shared" si="964"/>
        <v>122890.25431034484</v>
      </c>
      <c r="AD3232" s="172">
        <v>0.1201</v>
      </c>
      <c r="AE3232" s="154">
        <f t="shared" si="965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73"/>
        <v>24398045.86045352</v>
      </c>
      <c r="AJ3232" s="19">
        <f t="shared" si="974"/>
        <v>3478417.4064663448</v>
      </c>
      <c r="AK3232" s="20">
        <f t="shared" si="966"/>
        <v>0.14256950849102498</v>
      </c>
      <c r="AL3232" s="17"/>
      <c r="AM3232" s="17"/>
      <c r="AN3232" s="17"/>
      <c r="AO3232" s="17" t="s">
        <v>222</v>
      </c>
      <c r="AP3232" s="28" t="str">
        <f t="shared" si="967"/>
        <v>20186</v>
      </c>
      <c r="AQ3232" s="28" t="str">
        <f t="shared" si="968"/>
        <v>20186RMB</v>
      </c>
      <c r="AR3232" s="206" t="str">
        <f t="shared" si="969"/>
        <v>YAMAHA_Mounter</v>
      </c>
      <c r="AS3232" s="22">
        <f t="shared" si="970"/>
        <v>2</v>
      </c>
      <c r="AT3232" s="24" t="str">
        <f t="shared" si="971"/>
        <v>0-3 months</v>
      </c>
    </row>
    <row r="3233" spans="1:46" s="12" customFormat="1">
      <c r="A3233" s="33" t="str">
        <f t="shared" si="959"/>
        <v>FY 19/20</v>
      </c>
      <c r="B3233" s="152">
        <v>2019</v>
      </c>
      <c r="C3233" s="152">
        <v>10</v>
      </c>
      <c r="D3233" s="33" t="str">
        <f t="shared" si="960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61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2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77"/>
        <v>1000000</v>
      </c>
      <c r="AA3233" s="13">
        <v>1.095</v>
      </c>
      <c r="AB3233" s="21">
        <f t="shared" si="963"/>
        <v>969026.54867256642</v>
      </c>
      <c r="AC3233" s="130">
        <f t="shared" si="964"/>
        <v>157369.91150442479</v>
      </c>
      <c r="AD3233" s="169">
        <v>0.16239999999999999</v>
      </c>
      <c r="AE3233" s="154">
        <f t="shared" si="965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73"/>
        <v>33477255.428389374</v>
      </c>
      <c r="AJ3233" s="19">
        <f t="shared" si="974"/>
        <v>4578663.362915583</v>
      </c>
      <c r="AK3233" s="20">
        <f t="shared" si="966"/>
        <v>0.13676937682988152</v>
      </c>
      <c r="AL3233" s="17"/>
      <c r="AM3233" s="17"/>
      <c r="AN3233" s="17"/>
      <c r="AO3233" s="17"/>
      <c r="AP3233" s="28" t="str">
        <f t="shared" si="967"/>
        <v>20204</v>
      </c>
      <c r="AQ3233" s="28" t="str">
        <f t="shared" si="968"/>
        <v>20204RMB</v>
      </c>
      <c r="AR3233" s="206" t="str">
        <f t="shared" si="969"/>
        <v>YAMAHA_Mounter</v>
      </c>
      <c r="AS3233" s="22">
        <f t="shared" si="970"/>
        <v>6</v>
      </c>
      <c r="AT3233" s="24" t="str">
        <f t="shared" si="971"/>
        <v>4-6 months</v>
      </c>
    </row>
    <row r="3234" spans="1:46" s="12" customFormat="1">
      <c r="A3234" s="33" t="str">
        <f t="shared" si="959"/>
        <v>FY 19/20</v>
      </c>
      <c r="B3234" s="152">
        <v>2019</v>
      </c>
      <c r="C3234" s="152">
        <v>10</v>
      </c>
      <c r="D3234" s="33" t="str">
        <f t="shared" si="960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61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2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77"/>
        <v>800000</v>
      </c>
      <c r="AA3234" s="13">
        <v>1.095</v>
      </c>
      <c r="AB3234" s="21">
        <f t="shared" si="963"/>
        <v>775221.23893805314</v>
      </c>
      <c r="AC3234" s="130">
        <f t="shared" si="964"/>
        <v>125895.92920353982</v>
      </c>
      <c r="AD3234" s="169">
        <v>0.16239999999999999</v>
      </c>
      <c r="AE3234" s="154">
        <f t="shared" si="965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73"/>
        <v>33477255.428389374</v>
      </c>
      <c r="AJ3234" s="19">
        <f t="shared" si="974"/>
        <v>4578663.362915583</v>
      </c>
      <c r="AK3234" s="20">
        <f t="shared" si="966"/>
        <v>0.13676937682988152</v>
      </c>
      <c r="AL3234" s="17"/>
      <c r="AM3234" s="17"/>
      <c r="AN3234" s="17"/>
      <c r="AO3234" s="17"/>
      <c r="AP3234" s="28" t="str">
        <f t="shared" si="967"/>
        <v>20204</v>
      </c>
      <c r="AQ3234" s="28" t="str">
        <f t="shared" si="968"/>
        <v>20204RMB</v>
      </c>
      <c r="AR3234" s="206" t="str">
        <f t="shared" si="969"/>
        <v>YAMAHA_Mounter</v>
      </c>
      <c r="AS3234" s="22">
        <f t="shared" si="970"/>
        <v>6</v>
      </c>
      <c r="AT3234" s="24" t="str">
        <f t="shared" si="971"/>
        <v>4-6 months</v>
      </c>
    </row>
    <row r="3235" spans="1:46" s="12" customFormat="1">
      <c r="A3235" s="33" t="str">
        <f t="shared" si="959"/>
        <v>FY 19/20</v>
      </c>
      <c r="B3235" s="152">
        <v>2020</v>
      </c>
      <c r="C3235" s="152">
        <v>1</v>
      </c>
      <c r="D3235" s="33" t="str">
        <f t="shared" si="960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61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2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77"/>
        <v>8367850</v>
      </c>
      <c r="AA3235" s="13">
        <v>7.2999999999999995E-2</v>
      </c>
      <c r="AB3235" s="21">
        <f t="shared" si="963"/>
        <v>610853.04999999993</v>
      </c>
      <c r="AC3235" s="130">
        <f t="shared" si="964"/>
        <v>100729.66794499998</v>
      </c>
      <c r="AD3235" s="169">
        <v>0.16489999999999999</v>
      </c>
      <c r="AE3235" s="154">
        <f t="shared" si="965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73"/>
        <v>23168285.927433632</v>
      </c>
      <c r="AJ3235" s="19">
        <f t="shared" si="974"/>
        <v>2764878.916878053</v>
      </c>
      <c r="AK3235" s="20">
        <f t="shared" si="966"/>
        <v>0.11933895004309111</v>
      </c>
      <c r="AL3235" s="17"/>
      <c r="AM3235" s="17"/>
      <c r="AN3235" s="17"/>
      <c r="AO3235" s="17"/>
      <c r="AP3235" s="28" t="str">
        <f t="shared" si="967"/>
        <v>20203</v>
      </c>
      <c r="AQ3235" s="28" t="str">
        <f t="shared" si="968"/>
        <v>20203JPY</v>
      </c>
      <c r="AR3235" s="206" t="str">
        <f t="shared" si="969"/>
        <v>YAMAHA_Mounter</v>
      </c>
      <c r="AS3235" s="22">
        <f t="shared" si="970"/>
        <v>2</v>
      </c>
      <c r="AT3235" s="24" t="str">
        <f t="shared" si="971"/>
        <v>0-3 months</v>
      </c>
    </row>
    <row r="3236" spans="1:46" s="12" customFormat="1">
      <c r="A3236" s="33" t="str">
        <f t="shared" si="959"/>
        <v>FY 19/20</v>
      </c>
      <c r="B3236" s="152">
        <v>2020</v>
      </c>
      <c r="C3236" s="152">
        <v>1</v>
      </c>
      <c r="D3236" s="33" t="str">
        <f t="shared" si="960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61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2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77"/>
        <v>8367850</v>
      </c>
      <c r="AA3236" s="13">
        <v>7.2999999999999995E-2</v>
      </c>
      <c r="AB3236" s="21">
        <f t="shared" si="963"/>
        <v>610853.04999999993</v>
      </c>
      <c r="AC3236" s="130">
        <f t="shared" si="964"/>
        <v>100729.66794499998</v>
      </c>
      <c r="AD3236" s="169">
        <v>0.16489999999999999</v>
      </c>
      <c r="AE3236" s="154">
        <f t="shared" si="965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73"/>
        <v>23168285.927433632</v>
      </c>
      <c r="AJ3236" s="19">
        <f t="shared" si="974"/>
        <v>2764878.916878053</v>
      </c>
      <c r="AK3236" s="20">
        <f t="shared" si="966"/>
        <v>0.11933895004309111</v>
      </c>
      <c r="AL3236" s="17"/>
      <c r="AM3236" s="17"/>
      <c r="AN3236" s="17"/>
      <c r="AO3236" s="17"/>
      <c r="AP3236" s="28" t="str">
        <f t="shared" si="967"/>
        <v>20203</v>
      </c>
      <c r="AQ3236" s="28" t="str">
        <f t="shared" si="968"/>
        <v>20203JPY</v>
      </c>
      <c r="AR3236" s="206" t="str">
        <f t="shared" si="969"/>
        <v>YAMAHA_Mounter</v>
      </c>
      <c r="AS3236" s="22">
        <f t="shared" si="970"/>
        <v>2</v>
      </c>
      <c r="AT3236" s="24" t="str">
        <f t="shared" si="971"/>
        <v>0-3 months</v>
      </c>
    </row>
    <row r="3237" spans="1:46" s="12" customFormat="1">
      <c r="A3237" s="33" t="str">
        <f t="shared" si="959"/>
        <v>FY 20/21</v>
      </c>
      <c r="B3237" s="152">
        <v>2021</v>
      </c>
      <c r="C3237" s="152">
        <v>1</v>
      </c>
      <c r="D3237" s="33" t="str">
        <f t="shared" si="960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61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2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8">IF(W3237="RMB","1.13", "1")</f>
        <v>1</v>
      </c>
      <c r="Z3237" s="18">
        <f t="shared" si="977"/>
        <v>13000000</v>
      </c>
      <c r="AA3237" s="13">
        <v>7.17E-2</v>
      </c>
      <c r="AB3237" s="21">
        <f t="shared" si="963"/>
        <v>932100</v>
      </c>
      <c r="AC3237" s="130">
        <f t="shared" si="964"/>
        <v>169455.78</v>
      </c>
      <c r="AD3237" s="172">
        <v>0.18179999999999999</v>
      </c>
      <c r="AE3237" s="154">
        <f t="shared" si="965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73"/>
        <v>43684091.636631854</v>
      </c>
      <c r="AJ3237" s="19">
        <f t="shared" si="974"/>
        <v>6483951.8242071122</v>
      </c>
      <c r="AK3237" s="20">
        <f t="shared" si="966"/>
        <v>0.14842821680123736</v>
      </c>
      <c r="AL3237" s="17"/>
      <c r="AM3237" s="17"/>
      <c r="AN3237" s="17"/>
      <c r="AO3237" s="17"/>
      <c r="AP3237" s="28" t="str">
        <f t="shared" si="967"/>
        <v>20214</v>
      </c>
      <c r="AQ3237" s="28" t="str">
        <f t="shared" si="968"/>
        <v>20214JPY</v>
      </c>
      <c r="AR3237" s="206" t="str">
        <f t="shared" si="969"/>
        <v>YAMAHA_Mounter</v>
      </c>
      <c r="AS3237" s="22">
        <f t="shared" si="970"/>
        <v>3</v>
      </c>
      <c r="AT3237" s="24" t="str">
        <f t="shared" si="971"/>
        <v>0-3 months</v>
      </c>
    </row>
    <row r="3238" spans="1:46" s="12" customFormat="1">
      <c r="A3238" s="33" t="str">
        <f t="shared" si="959"/>
        <v>FY 20/21</v>
      </c>
      <c r="B3238" s="152">
        <v>2021</v>
      </c>
      <c r="C3238" s="152">
        <v>1</v>
      </c>
      <c r="D3238" s="33" t="str">
        <f t="shared" si="960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61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2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8"/>
        <v>1</v>
      </c>
      <c r="Z3238" s="18">
        <f t="shared" si="977"/>
        <v>7907000</v>
      </c>
      <c r="AA3238" s="13">
        <v>7.17E-2</v>
      </c>
      <c r="AB3238" s="21">
        <f t="shared" si="963"/>
        <v>566931.9</v>
      </c>
      <c r="AC3238" s="130">
        <f t="shared" si="964"/>
        <v>103068.21941999999</v>
      </c>
      <c r="AD3238" s="172">
        <v>0.18179999999999999</v>
      </c>
      <c r="AE3238" s="154">
        <f t="shared" si="965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73"/>
        <v>43684091.636631854</v>
      </c>
      <c r="AJ3238" s="19">
        <f t="shared" si="974"/>
        <v>6483951.8242071122</v>
      </c>
      <c r="AK3238" s="20">
        <f t="shared" si="966"/>
        <v>0.14842821680123736</v>
      </c>
      <c r="AL3238" s="17"/>
      <c r="AM3238" s="17"/>
      <c r="AN3238" s="17"/>
      <c r="AO3238" s="17"/>
      <c r="AP3238" s="28" t="str">
        <f t="shared" si="967"/>
        <v>20214</v>
      </c>
      <c r="AQ3238" s="28" t="str">
        <f t="shared" si="968"/>
        <v>20214JPY</v>
      </c>
      <c r="AR3238" s="206" t="str">
        <f t="shared" si="969"/>
        <v>YAMAHA_Mounter</v>
      </c>
      <c r="AS3238" s="22">
        <f t="shared" si="970"/>
        <v>3</v>
      </c>
      <c r="AT3238" s="24" t="str">
        <f t="shared" si="971"/>
        <v>0-3 months</v>
      </c>
    </row>
    <row r="3239" spans="1:46" s="12" customFormat="1">
      <c r="A3239" s="33" t="str">
        <f t="shared" si="959"/>
        <v>FY 21/22</v>
      </c>
      <c r="B3239" s="152">
        <v>2021</v>
      </c>
      <c r="C3239" s="152">
        <v>12</v>
      </c>
      <c r="D3239" s="33" t="str">
        <f t="shared" si="960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61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2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8"/>
        <v>1</v>
      </c>
      <c r="Z3239" s="18">
        <f t="shared" si="977"/>
        <v>15000000</v>
      </c>
      <c r="AA3239" s="13">
        <v>5.8700000000000002E-2</v>
      </c>
      <c r="AB3239" s="21">
        <f t="shared" si="963"/>
        <v>880500</v>
      </c>
      <c r="AC3239" s="130">
        <f t="shared" si="964"/>
        <v>118251.15000000001</v>
      </c>
      <c r="AD3239" s="172">
        <v>0.1343</v>
      </c>
      <c r="AE3239" s="154">
        <f t="shared" si="965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73"/>
        <v>36480247.665929198</v>
      </c>
      <c r="AJ3239" s="19">
        <f t="shared" si="974"/>
        <v>5330996.6372757526</v>
      </c>
      <c r="AK3239" s="20">
        <f t="shared" si="966"/>
        <v>0.14613378412599562</v>
      </c>
      <c r="AL3239" s="17"/>
      <c r="AM3239" s="17"/>
      <c r="AN3239" s="17"/>
      <c r="AO3239" s="17"/>
      <c r="AP3239" s="28" t="str">
        <f t="shared" si="967"/>
        <v>20227</v>
      </c>
      <c r="AQ3239" s="28" t="str">
        <f t="shared" si="968"/>
        <v>20227JPY</v>
      </c>
      <c r="AR3239" s="206" t="str">
        <f t="shared" si="969"/>
        <v>YAMAHA_Mounter</v>
      </c>
      <c r="AS3239" s="22">
        <f t="shared" si="970"/>
        <v>7</v>
      </c>
      <c r="AT3239" s="24" t="str">
        <f t="shared" si="971"/>
        <v>&gt; 6 months</v>
      </c>
    </row>
    <row r="3240" spans="1:46" s="12" customFormat="1">
      <c r="A3240" s="33" t="str">
        <f t="shared" si="959"/>
        <v>FY 21/22</v>
      </c>
      <c r="B3240" s="152">
        <v>2021</v>
      </c>
      <c r="C3240" s="152">
        <v>12</v>
      </c>
      <c r="D3240" s="33" t="str">
        <f t="shared" si="960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61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2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8"/>
        <v>1</v>
      </c>
      <c r="Z3240" s="18">
        <f t="shared" si="977"/>
        <v>9500000</v>
      </c>
      <c r="AA3240" s="13">
        <v>5.8700000000000002E-2</v>
      </c>
      <c r="AB3240" s="21">
        <f t="shared" si="963"/>
        <v>557650</v>
      </c>
      <c r="AC3240" s="130">
        <f t="shared" si="964"/>
        <v>74892.395000000004</v>
      </c>
      <c r="AD3240" s="172">
        <v>0.1343</v>
      </c>
      <c r="AE3240" s="154">
        <f t="shared" si="965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73"/>
        <v>36480247.665929198</v>
      </c>
      <c r="AJ3240" s="19">
        <f t="shared" si="974"/>
        <v>5330996.6372757526</v>
      </c>
      <c r="AK3240" s="20">
        <f t="shared" si="966"/>
        <v>0.14613378412599562</v>
      </c>
      <c r="AL3240" s="17"/>
      <c r="AM3240" s="17"/>
      <c r="AN3240" s="17"/>
      <c r="AO3240" s="17"/>
      <c r="AP3240" s="28" t="str">
        <f t="shared" si="967"/>
        <v>20227</v>
      </c>
      <c r="AQ3240" s="28" t="str">
        <f t="shared" si="968"/>
        <v>20227JPY</v>
      </c>
      <c r="AR3240" s="206" t="str">
        <f t="shared" si="969"/>
        <v>YAMAHA_Mounter</v>
      </c>
      <c r="AS3240" s="22">
        <f t="shared" si="970"/>
        <v>7</v>
      </c>
      <c r="AT3240" s="24" t="str">
        <f t="shared" si="971"/>
        <v>&gt; 6 months</v>
      </c>
    </row>
    <row r="3241" spans="1:46" s="12" customFormat="1">
      <c r="A3241" s="33" t="str">
        <f t="shared" si="959"/>
        <v>FY 20/21</v>
      </c>
      <c r="B3241" s="152">
        <v>2021</v>
      </c>
      <c r="C3241" s="152">
        <v>1</v>
      </c>
      <c r="D3241" s="33" t="str">
        <f t="shared" si="960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61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2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8"/>
        <v>1</v>
      </c>
      <c r="Z3241" s="18">
        <f t="shared" si="977"/>
        <v>6800000</v>
      </c>
      <c r="AA3241" s="13">
        <v>7.5700000000000003E-2</v>
      </c>
      <c r="AB3241" s="21">
        <f t="shared" si="963"/>
        <v>514760</v>
      </c>
      <c r="AC3241" s="130">
        <f t="shared" si="964"/>
        <v>76905.144</v>
      </c>
      <c r="AD3241" s="172">
        <v>0.14940000000000001</v>
      </c>
      <c r="AE3241" s="154">
        <f t="shared" si="965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73"/>
        <v>31097187.02948761</v>
      </c>
      <c r="AJ3241" s="19">
        <f t="shared" si="974"/>
        <v>3892353.6644401965</v>
      </c>
      <c r="AK3241" s="20">
        <f t="shared" si="966"/>
        <v>0.12516738767237401</v>
      </c>
      <c r="AL3241" s="17"/>
      <c r="AM3241" s="17"/>
      <c r="AN3241" s="17"/>
      <c r="AO3241" s="17"/>
      <c r="AP3241" s="28" t="str">
        <f t="shared" si="967"/>
        <v>20212</v>
      </c>
      <c r="AQ3241" s="28" t="str">
        <f t="shared" si="968"/>
        <v>20212JPY</v>
      </c>
      <c r="AR3241" s="206" t="str">
        <f t="shared" si="969"/>
        <v>YAMAHA_Mounter</v>
      </c>
      <c r="AS3241" s="22">
        <f t="shared" si="970"/>
        <v>1</v>
      </c>
      <c r="AT3241" s="24" t="str">
        <f t="shared" si="971"/>
        <v>0-3 months</v>
      </c>
    </row>
    <row r="3242" spans="1:46" s="12" customFormat="1">
      <c r="A3242" s="33" t="str">
        <f t="shared" si="959"/>
        <v>FY 22/23</v>
      </c>
      <c r="B3242" s="152">
        <v>2022</v>
      </c>
      <c r="C3242" s="152">
        <v>10</v>
      </c>
      <c r="D3242" s="33" t="str">
        <f t="shared" si="960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61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2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8"/>
        <v>1.13</v>
      </c>
      <c r="Z3242" s="18">
        <f t="shared" si="977"/>
        <v>430000</v>
      </c>
      <c r="AA3242" s="13">
        <v>1.1000000000000001</v>
      </c>
      <c r="AB3242" s="21">
        <f t="shared" si="963"/>
        <v>418584.07079646026</v>
      </c>
      <c r="AC3242" s="130">
        <f t="shared" si="964"/>
        <v>55755.398230088511</v>
      </c>
      <c r="AD3242" s="169">
        <v>0.13320000000000001</v>
      </c>
      <c r="AE3242" s="154">
        <f t="shared" si="965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73"/>
        <v>22717528.991150443</v>
      </c>
      <c r="AJ3242" s="19">
        <f t="shared" si="974"/>
        <v>3947747.192555753</v>
      </c>
      <c r="AK3242" s="20">
        <f t="shared" si="966"/>
        <v>0.1737753782153679</v>
      </c>
      <c r="AL3242" s="17"/>
      <c r="AM3242" s="17"/>
      <c r="AN3242" s="17"/>
      <c r="AO3242" s="17"/>
      <c r="AP3242" s="28" t="str">
        <f t="shared" si="967"/>
        <v>202210</v>
      </c>
      <c r="AQ3242" s="28" t="str">
        <f t="shared" si="968"/>
        <v>202210RMB</v>
      </c>
      <c r="AR3242" s="206" t="str">
        <f t="shared" si="969"/>
        <v>YAMAHA_Mounter</v>
      </c>
      <c r="AS3242" s="22">
        <f t="shared" si="970"/>
        <v>0</v>
      </c>
      <c r="AT3242" s="24" t="str">
        <f t="shared" si="971"/>
        <v>0-3 months</v>
      </c>
    </row>
    <row r="3243" spans="1:46" s="12" customFormat="1">
      <c r="A3243" s="33" t="str">
        <f t="shared" si="959"/>
        <v>FY 19/20</v>
      </c>
      <c r="B3243" s="152">
        <v>2020</v>
      </c>
      <c r="C3243" s="152">
        <v>1</v>
      </c>
      <c r="D3243" s="33" t="str">
        <f t="shared" si="960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61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2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77"/>
        <v>850000</v>
      </c>
      <c r="AA3243" s="13">
        <v>1.1100000000000001</v>
      </c>
      <c r="AB3243" s="21">
        <f t="shared" si="963"/>
        <v>834955.75221238949</v>
      </c>
      <c r="AC3243" s="130">
        <f t="shared" si="964"/>
        <v>91511.150442477883</v>
      </c>
      <c r="AD3243" s="169">
        <v>0.1096</v>
      </c>
      <c r="AE3243" s="154">
        <f t="shared" si="965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73"/>
        <v>23168285.927433632</v>
      </c>
      <c r="AJ3243" s="19">
        <f t="shared" si="974"/>
        <v>2764878.916878053</v>
      </c>
      <c r="AK3243" s="20">
        <f t="shared" si="966"/>
        <v>0.11933895004309111</v>
      </c>
      <c r="AL3243" s="17"/>
      <c r="AM3243" s="17"/>
      <c r="AN3243" s="17"/>
      <c r="AO3243" s="17"/>
      <c r="AP3243" s="28" t="str">
        <f t="shared" si="967"/>
        <v>20203</v>
      </c>
      <c r="AQ3243" s="28" t="str">
        <f t="shared" si="968"/>
        <v>20203RMB</v>
      </c>
      <c r="AR3243" s="206" t="str">
        <f t="shared" si="969"/>
        <v>YAMAHA_Mounter</v>
      </c>
      <c r="AS3243" s="22">
        <f t="shared" si="970"/>
        <v>2</v>
      </c>
      <c r="AT3243" s="24" t="str">
        <f t="shared" si="971"/>
        <v>0-3 months</v>
      </c>
    </row>
    <row r="3244" spans="1:46" s="12" customFormat="1">
      <c r="A3244" s="33" t="str">
        <f t="shared" ref="A3244:A3307" si="979">IF(C3244="cancel","cancel",IFERROR(IF(D3244="Q4","FY "&amp;RIGHT(B3244,2)-1&amp;"/"&amp;RIGHT(B3244,2),"FY "&amp;RIGHT(B3244,2)&amp;"/"&amp;RIGHT(B3244,2)+1),""))</f>
        <v>FY 19/20</v>
      </c>
      <c r="B3244" s="152">
        <v>2020</v>
      </c>
      <c r="C3244" s="152">
        <v>1</v>
      </c>
      <c r="D3244" s="33" t="str">
        <f t="shared" ref="D3244:D3307" si="980">IF(B3244="","",IF(AND(C3244&gt;=10,C3244&lt;=12),"Q3",IF(AND(C3244&gt;=1,C3244&lt;=3),"Q4",IF(AND(C3244&gt;=7,C3244&lt;=9),"Q2",IF(AND(C3244&gt;=4,C3244&lt;=6),"Q1")))))</f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ref="I3244:I3307" si="981">IFERROR(IF(F3244="","",IF(F3244="TBA","TBA",IF(F3244="Cancel","Cancel",IF(AND(G3244&gt;=10,G3244&lt;=12),"Q3",IF(AND(G3244&gt;=1,G3244&lt;=3),"Q4",IF(AND(G3244&gt;=7,G3244&lt;=9),"Q2",IF(AND(G3244&gt;=4,G3244&lt;=6),"Q1"))))))),"")</f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ref="P3244:P3307" si="982">IF(M3244="","",IF(AND(N3244&gt;0,L3244&lt;&gt;""),"MAIN UNIT",IF(AND(O3244&gt;0,L3244&lt;&gt;""),"SERVICE/ PARTS","C66 SERVICE/OTHERS")))</f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77"/>
        <v>850000</v>
      </c>
      <c r="AA3244" s="13">
        <v>1.1100000000000001</v>
      </c>
      <c r="AB3244" s="21">
        <f t="shared" ref="AB3244:AB3307" si="983">IF(AND(R3244&lt;&gt;"C66",R3244&lt;&gt;""),Z3244/Y3244*AA3244,"")</f>
        <v>834955.75221238949</v>
      </c>
      <c r="AC3244" s="130">
        <f t="shared" ref="AC3244:AC3307" si="984">IF(R3244&lt;&gt;"",AB3244*AD3244,"")</f>
        <v>91511.150442477883</v>
      </c>
      <c r="AD3244" s="169">
        <v>0.1096</v>
      </c>
      <c r="AE3244" s="154">
        <f t="shared" ref="AE3244:AE3307" si="985">IF(Q3244="","",IF(Q3244="Yes",1,0))</f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73"/>
        <v>23168285.927433632</v>
      </c>
      <c r="AJ3244" s="19">
        <f t="shared" si="974"/>
        <v>2764878.916878053</v>
      </c>
      <c r="AK3244" s="20">
        <f t="shared" ref="AK3244:AK3307" si="986">IF(AJ3244&gt;0,AJ3244/AI3244,"")</f>
        <v>0.11933895004309111</v>
      </c>
      <c r="AL3244" s="17"/>
      <c r="AM3244" s="17"/>
      <c r="AN3244" s="17"/>
      <c r="AO3244" s="17"/>
      <c r="AP3244" s="28" t="str">
        <f t="shared" ref="AP3244:AP3307" si="987">IF(F3244="","",F3244&amp;G3244)</f>
        <v>20203</v>
      </c>
      <c r="AQ3244" s="28" t="str">
        <f t="shared" ref="AQ3244:AQ3307" si="988">IF(W3244="","",F3244&amp;G3244&amp;W3244)</f>
        <v>20203RMB</v>
      </c>
      <c r="AR3244" s="206" t="str">
        <f t="shared" ref="AR3244:AR3307" si="989">IFERROR(IF(AND(M3244="YAMAHA", R3244="C28"), "YAMAHA_Non_Mounter", IF(AND(M3244="YAMAHA", R3244="C49"), "YAMAHA_Mounter", M3244)),"")</f>
        <v>YAMAHA_Mounter</v>
      </c>
      <c r="AS3244" s="22">
        <f t="shared" ref="AS3244:AS3307" si="990">IFERROR(IF(OR(G3244="TBA", G3244=""), "", DATEDIF(DATE(B3244, C3244, 1), DATE(F3244, G3244, 1), "M")),"")</f>
        <v>2</v>
      </c>
      <c r="AT3244" s="24" t="str">
        <f t="shared" ref="AT3244:AT3307" si="991">IF(ISNUMBER(AS3244), IF(AS3244&gt;=0, IF(AS3244&lt;=3, "0-3 months", IF(AS3244&lt;=6, "4-6 months", "&gt; 6 months"))), "")</f>
        <v>0-3 months</v>
      </c>
    </row>
    <row r="3245" spans="1:46" s="12" customFormat="1">
      <c r="A3245" s="33" t="str">
        <f t="shared" si="979"/>
        <v>FY 20/21</v>
      </c>
      <c r="B3245" s="152">
        <v>2021</v>
      </c>
      <c r="C3245" s="152">
        <v>1</v>
      </c>
      <c r="D3245" s="33" t="str">
        <f t="shared" si="980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81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82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77"/>
        <v>875000</v>
      </c>
      <c r="AA3245" s="13">
        <v>1.18</v>
      </c>
      <c r="AB3245" s="21">
        <f t="shared" si="983"/>
        <v>913716.81415929215</v>
      </c>
      <c r="AC3245" s="130">
        <f t="shared" si="984"/>
        <v>115676.54867256638</v>
      </c>
      <c r="AD3245" s="169">
        <v>0.12659999999999999</v>
      </c>
      <c r="AE3245" s="154">
        <f t="shared" si="985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73"/>
        <v>43684091.636631854</v>
      </c>
      <c r="AJ3245" s="19">
        <f t="shared" si="974"/>
        <v>6483951.8242071122</v>
      </c>
      <c r="AK3245" s="20">
        <f t="shared" si="986"/>
        <v>0.14842821680123736</v>
      </c>
      <c r="AL3245" s="17"/>
      <c r="AM3245" s="17"/>
      <c r="AN3245" s="17"/>
      <c r="AO3245" s="17"/>
      <c r="AP3245" s="28" t="str">
        <f t="shared" si="987"/>
        <v>20214</v>
      </c>
      <c r="AQ3245" s="28" t="str">
        <f t="shared" si="988"/>
        <v>20214RMB</v>
      </c>
      <c r="AR3245" s="206" t="str">
        <f t="shared" si="989"/>
        <v>YAMAHA_Mounter</v>
      </c>
      <c r="AS3245" s="22">
        <f t="shared" si="990"/>
        <v>3</v>
      </c>
      <c r="AT3245" s="24" t="str">
        <f t="shared" si="991"/>
        <v>0-3 months</v>
      </c>
    </row>
    <row r="3246" spans="1:46" s="12" customFormat="1">
      <c r="A3246" s="33" t="str">
        <f t="shared" si="979"/>
        <v>FY 20/21</v>
      </c>
      <c r="B3246" s="152">
        <v>2021</v>
      </c>
      <c r="C3246" s="152">
        <v>1</v>
      </c>
      <c r="D3246" s="33" t="str">
        <f t="shared" si="980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81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82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77"/>
        <v>875000</v>
      </c>
      <c r="AA3246" s="13">
        <v>1.18</v>
      </c>
      <c r="AB3246" s="21">
        <f t="shared" si="983"/>
        <v>913716.81415929215</v>
      </c>
      <c r="AC3246" s="130">
        <f t="shared" si="984"/>
        <v>115676.54867256638</v>
      </c>
      <c r="AD3246" s="169">
        <v>0.12659999999999999</v>
      </c>
      <c r="AE3246" s="154">
        <f t="shared" si="985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73"/>
        <v>43684091.636631854</v>
      </c>
      <c r="AJ3246" s="19">
        <f t="shared" si="974"/>
        <v>6483951.8242071122</v>
      </c>
      <c r="AK3246" s="20">
        <f t="shared" si="986"/>
        <v>0.14842821680123736</v>
      </c>
      <c r="AL3246" s="17"/>
      <c r="AM3246" s="17"/>
      <c r="AN3246" s="17"/>
      <c r="AO3246" s="17"/>
      <c r="AP3246" s="28" t="str">
        <f t="shared" si="987"/>
        <v>20214</v>
      </c>
      <c r="AQ3246" s="28" t="str">
        <f t="shared" si="988"/>
        <v>20214RMB</v>
      </c>
      <c r="AR3246" s="206" t="str">
        <f t="shared" si="989"/>
        <v>YAMAHA_Mounter</v>
      </c>
      <c r="AS3246" s="22">
        <f t="shared" si="990"/>
        <v>3</v>
      </c>
      <c r="AT3246" s="24" t="str">
        <f t="shared" si="991"/>
        <v>0-3 months</v>
      </c>
    </row>
    <row r="3247" spans="1:46" s="12" customFormat="1">
      <c r="A3247" s="33" t="str">
        <f t="shared" si="979"/>
        <v>FY 20/21</v>
      </c>
      <c r="B3247" s="152">
        <v>2021</v>
      </c>
      <c r="C3247" s="152">
        <v>1</v>
      </c>
      <c r="D3247" s="33" t="str">
        <f t="shared" si="980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81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82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77"/>
        <v>875000</v>
      </c>
      <c r="AA3247" s="13">
        <v>1.18</v>
      </c>
      <c r="AB3247" s="21">
        <f t="shared" si="983"/>
        <v>913716.81415929215</v>
      </c>
      <c r="AC3247" s="130">
        <f t="shared" si="984"/>
        <v>115676.54867256638</v>
      </c>
      <c r="AD3247" s="169">
        <v>0.12659999999999999</v>
      </c>
      <c r="AE3247" s="154">
        <f t="shared" si="985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73"/>
        <v>43684091.636631854</v>
      </c>
      <c r="AJ3247" s="19">
        <f t="shared" si="974"/>
        <v>6483951.8242071122</v>
      </c>
      <c r="AK3247" s="20">
        <f t="shared" si="986"/>
        <v>0.14842821680123736</v>
      </c>
      <c r="AL3247" s="17"/>
      <c r="AM3247" s="17"/>
      <c r="AN3247" s="17"/>
      <c r="AO3247" s="17"/>
      <c r="AP3247" s="28" t="str">
        <f t="shared" si="987"/>
        <v>20214</v>
      </c>
      <c r="AQ3247" s="28" t="str">
        <f t="shared" si="988"/>
        <v>20214RMB</v>
      </c>
      <c r="AR3247" s="206" t="str">
        <f t="shared" si="989"/>
        <v>YAMAHA_Mounter</v>
      </c>
      <c r="AS3247" s="22">
        <f t="shared" si="990"/>
        <v>3</v>
      </c>
      <c r="AT3247" s="24" t="str">
        <f t="shared" si="991"/>
        <v>0-3 months</v>
      </c>
    </row>
    <row r="3248" spans="1:46" s="12" customFormat="1">
      <c r="A3248" s="33" t="str">
        <f t="shared" si="979"/>
        <v>FY 20/21</v>
      </c>
      <c r="B3248" s="152">
        <v>2021</v>
      </c>
      <c r="C3248" s="152">
        <v>1</v>
      </c>
      <c r="D3248" s="33" t="str">
        <f t="shared" si="980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81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82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77"/>
        <v>875000</v>
      </c>
      <c r="AA3248" s="13">
        <v>1.18</v>
      </c>
      <c r="AB3248" s="21">
        <f t="shared" si="983"/>
        <v>913716.81415929215</v>
      </c>
      <c r="AC3248" s="130">
        <f t="shared" si="984"/>
        <v>115676.54867256638</v>
      </c>
      <c r="AD3248" s="169">
        <v>0.12659999999999999</v>
      </c>
      <c r="AE3248" s="154">
        <f t="shared" si="985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73"/>
        <v>43684091.636631854</v>
      </c>
      <c r="AJ3248" s="19">
        <f t="shared" si="974"/>
        <v>6483951.8242071122</v>
      </c>
      <c r="AK3248" s="20">
        <f t="shared" si="986"/>
        <v>0.14842821680123736</v>
      </c>
      <c r="AL3248" s="17"/>
      <c r="AM3248" s="17"/>
      <c r="AN3248" s="17"/>
      <c r="AO3248" s="17"/>
      <c r="AP3248" s="28" t="str">
        <f t="shared" si="987"/>
        <v>20214</v>
      </c>
      <c r="AQ3248" s="28" t="str">
        <f t="shared" si="988"/>
        <v>20214RMB</v>
      </c>
      <c r="AR3248" s="206" t="str">
        <f t="shared" si="989"/>
        <v>YAMAHA_Mounter</v>
      </c>
      <c r="AS3248" s="22">
        <f t="shared" si="990"/>
        <v>3</v>
      </c>
      <c r="AT3248" s="24" t="str">
        <f t="shared" si="991"/>
        <v>0-3 months</v>
      </c>
    </row>
    <row r="3249" spans="1:46" s="12" customFormat="1">
      <c r="A3249" s="33" t="str">
        <f t="shared" si="979"/>
        <v>FY 19/20</v>
      </c>
      <c r="B3249" s="152">
        <v>2020</v>
      </c>
      <c r="C3249" s="152">
        <v>2</v>
      </c>
      <c r="D3249" s="33" t="str">
        <f t="shared" si="980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81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82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77"/>
        <v>528000</v>
      </c>
      <c r="AA3249" s="13">
        <v>1.095</v>
      </c>
      <c r="AB3249" s="21">
        <f t="shared" si="983"/>
        <v>511646.01769911509</v>
      </c>
      <c r="AC3249" s="130">
        <f t="shared" si="984"/>
        <v>46457.458407079655</v>
      </c>
      <c r="AD3249" s="169">
        <v>9.0800000000000006E-2</v>
      </c>
      <c r="AE3249" s="154">
        <f t="shared" si="985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73"/>
        <v>23168285.927433632</v>
      </c>
      <c r="AJ3249" s="19">
        <f t="shared" si="974"/>
        <v>2764878.916878053</v>
      </c>
      <c r="AK3249" s="20">
        <f t="shared" si="986"/>
        <v>0.11933895004309111</v>
      </c>
      <c r="AL3249" s="17"/>
      <c r="AM3249" s="17"/>
      <c r="AN3249" s="17"/>
      <c r="AO3249" s="17"/>
      <c r="AP3249" s="28" t="str">
        <f t="shared" si="987"/>
        <v>20203</v>
      </c>
      <c r="AQ3249" s="28" t="str">
        <f t="shared" si="988"/>
        <v>20203RMB</v>
      </c>
      <c r="AR3249" s="206" t="str">
        <f t="shared" si="989"/>
        <v>YAMAHA_Mounter</v>
      </c>
      <c r="AS3249" s="22">
        <f t="shared" si="990"/>
        <v>1</v>
      </c>
      <c r="AT3249" s="24" t="str">
        <f t="shared" si="991"/>
        <v>0-3 months</v>
      </c>
    </row>
    <row r="3250" spans="1:46" s="12" customFormat="1">
      <c r="A3250" s="33" t="str">
        <f t="shared" si="979"/>
        <v>FY 19/20</v>
      </c>
      <c r="B3250" s="152">
        <v>2020</v>
      </c>
      <c r="C3250" s="152">
        <v>2</v>
      </c>
      <c r="D3250" s="33" t="str">
        <f t="shared" si="980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81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82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77"/>
        <v>800000</v>
      </c>
      <c r="AA3250" s="13">
        <v>1.095</v>
      </c>
      <c r="AB3250" s="21">
        <f t="shared" si="983"/>
        <v>775221.23893805314</v>
      </c>
      <c r="AC3250" s="130">
        <f t="shared" si="984"/>
        <v>70390.088495575226</v>
      </c>
      <c r="AD3250" s="169">
        <v>9.0800000000000006E-2</v>
      </c>
      <c r="AE3250" s="154">
        <f t="shared" si="985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73"/>
        <v>23168285.927433632</v>
      </c>
      <c r="AJ3250" s="19">
        <f t="shared" si="974"/>
        <v>2764878.916878053</v>
      </c>
      <c r="AK3250" s="20">
        <f t="shared" si="986"/>
        <v>0.11933895004309111</v>
      </c>
      <c r="AL3250" s="17"/>
      <c r="AM3250" s="17"/>
      <c r="AN3250" s="17"/>
      <c r="AO3250" s="17"/>
      <c r="AP3250" s="28" t="str">
        <f t="shared" si="987"/>
        <v>20203</v>
      </c>
      <c r="AQ3250" s="28" t="str">
        <f t="shared" si="988"/>
        <v>20203RMB</v>
      </c>
      <c r="AR3250" s="206" t="str">
        <f t="shared" si="989"/>
        <v>YAMAHA_Mounter</v>
      </c>
      <c r="AS3250" s="22">
        <f t="shared" si="990"/>
        <v>1</v>
      </c>
      <c r="AT3250" s="24" t="str">
        <f t="shared" si="991"/>
        <v>0-3 months</v>
      </c>
    </row>
    <row r="3251" spans="1:46" s="12" customFormat="1">
      <c r="A3251" s="33" t="str">
        <f t="shared" si="979"/>
        <v>FY 22/23</v>
      </c>
      <c r="B3251" s="152">
        <v>2022</v>
      </c>
      <c r="C3251" s="152">
        <v>6</v>
      </c>
      <c r="D3251" s="33" t="str">
        <f t="shared" si="980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81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82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77"/>
        <v>13980000</v>
      </c>
      <c r="AA3251" s="13">
        <v>5.5399999999999998E-2</v>
      </c>
      <c r="AB3251" s="21">
        <f t="shared" si="983"/>
        <v>774492</v>
      </c>
      <c r="AC3251" s="130">
        <f t="shared" si="984"/>
        <v>111371.94960000001</v>
      </c>
      <c r="AD3251" s="169">
        <v>0.14380000000000001</v>
      </c>
      <c r="AE3251" s="154">
        <f t="shared" si="985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73"/>
        <v>22717528.991150443</v>
      </c>
      <c r="AJ3251" s="19">
        <f t="shared" si="974"/>
        <v>3947747.192555753</v>
      </c>
      <c r="AK3251" s="20">
        <f t="shared" si="986"/>
        <v>0.1737753782153679</v>
      </c>
      <c r="AL3251" s="17"/>
      <c r="AM3251" s="17"/>
      <c r="AN3251" s="17"/>
      <c r="AO3251" s="17"/>
      <c r="AP3251" s="28" t="str">
        <f t="shared" si="987"/>
        <v>202210</v>
      </c>
      <c r="AQ3251" s="28" t="str">
        <f t="shared" si="988"/>
        <v>202210JPY</v>
      </c>
      <c r="AR3251" s="206" t="str">
        <f t="shared" si="989"/>
        <v>YAMAHA_Mounter</v>
      </c>
      <c r="AS3251" s="22">
        <f t="shared" si="990"/>
        <v>4</v>
      </c>
      <c r="AT3251" s="24" t="str">
        <f t="shared" si="991"/>
        <v>4-6 months</v>
      </c>
    </row>
    <row r="3252" spans="1:46" s="12" customFormat="1">
      <c r="A3252" s="33" t="str">
        <f t="shared" si="979"/>
        <v>FY 22/23</v>
      </c>
      <c r="B3252" s="152">
        <v>2023</v>
      </c>
      <c r="C3252" s="152">
        <v>2</v>
      </c>
      <c r="D3252" s="33" t="str">
        <f t="shared" si="980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81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82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77"/>
        <v>771000</v>
      </c>
      <c r="AA3252" s="13">
        <v>1.1599999999999999</v>
      </c>
      <c r="AB3252" s="21">
        <f t="shared" si="983"/>
        <v>791469.02654867258</v>
      </c>
      <c r="AC3252" s="130">
        <f t="shared" si="984"/>
        <v>98696.187610619469</v>
      </c>
      <c r="AD3252" s="169">
        <v>0.12470000000000001</v>
      </c>
      <c r="AE3252" s="154">
        <f t="shared" si="985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73"/>
        <v>21045012.884955753</v>
      </c>
      <c r="AJ3252" s="19">
        <f t="shared" si="974"/>
        <v>2650260.9603327443</v>
      </c>
      <c r="AK3252" s="20">
        <f t="shared" si="986"/>
        <v>0.12593296924172048</v>
      </c>
      <c r="AL3252" s="17"/>
      <c r="AM3252" s="17"/>
      <c r="AN3252" s="17"/>
      <c r="AO3252" s="17"/>
      <c r="AP3252" s="28" t="str">
        <f t="shared" si="987"/>
        <v>20232</v>
      </c>
      <c r="AQ3252" s="28" t="str">
        <f t="shared" si="988"/>
        <v>20232RMB</v>
      </c>
      <c r="AR3252" s="206" t="str">
        <f t="shared" si="989"/>
        <v>YAMAHA_Mounter</v>
      </c>
      <c r="AS3252" s="22">
        <f t="shared" si="990"/>
        <v>0</v>
      </c>
      <c r="AT3252" s="24" t="str">
        <f t="shared" si="991"/>
        <v>0-3 months</v>
      </c>
    </row>
    <row r="3253" spans="1:46" s="12" customFormat="1">
      <c r="A3253" s="33" t="str">
        <f t="shared" si="979"/>
        <v>FY 24/25</v>
      </c>
      <c r="B3253" s="23">
        <v>2024</v>
      </c>
      <c r="C3253" s="152">
        <v>4</v>
      </c>
      <c r="D3253" s="33" t="str">
        <f t="shared" si="980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81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82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77"/>
        <v>7668000</v>
      </c>
      <c r="AA3253" s="22">
        <v>5.5599999999999997E-2</v>
      </c>
      <c r="AB3253" s="21">
        <f t="shared" si="983"/>
        <v>426340.8</v>
      </c>
      <c r="AC3253" s="25">
        <f t="shared" si="984"/>
        <v>51160.895999999993</v>
      </c>
      <c r="AD3253" s="169">
        <v>0.12</v>
      </c>
      <c r="AE3253" s="26">
        <f t="shared" si="985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73"/>
        <v>22399988.308672566</v>
      </c>
      <c r="AJ3253" s="27">
        <f t="shared" si="974"/>
        <v>2687998.5970407082</v>
      </c>
      <c r="AK3253" s="28">
        <f t="shared" si="986"/>
        <v>0.12000000000000001</v>
      </c>
      <c r="AL3253" s="24"/>
      <c r="AM3253" s="24"/>
      <c r="AN3253" s="24"/>
      <c r="AO3253" s="24"/>
      <c r="AP3253" s="28" t="str">
        <f t="shared" si="987"/>
        <v>202412</v>
      </c>
      <c r="AQ3253" s="28" t="str">
        <f t="shared" si="988"/>
        <v>202412JPY</v>
      </c>
      <c r="AR3253" s="206" t="str">
        <f t="shared" si="989"/>
        <v>YAMAHA_Mounter</v>
      </c>
      <c r="AS3253" s="22">
        <f t="shared" si="990"/>
        <v>8</v>
      </c>
      <c r="AT3253" s="24" t="str">
        <f t="shared" si="991"/>
        <v>&gt; 6 months</v>
      </c>
    </row>
    <row r="3254" spans="1:46" s="12" customFormat="1">
      <c r="A3254" s="33" t="str">
        <f t="shared" si="979"/>
        <v>FY 18/19</v>
      </c>
      <c r="B3254" s="152">
        <v>2018</v>
      </c>
      <c r="C3254" s="152">
        <v>10</v>
      </c>
      <c r="D3254" s="33" t="str">
        <f t="shared" si="980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81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82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77"/>
        <v>16250000</v>
      </c>
      <c r="AA3254" s="13">
        <v>7.0699999999999999E-2</v>
      </c>
      <c r="AB3254" s="21">
        <f t="shared" si="983"/>
        <v>1148875</v>
      </c>
      <c r="AC3254" s="130">
        <f t="shared" si="984"/>
        <v>262288.16249999998</v>
      </c>
      <c r="AD3254" s="169">
        <v>0.2283</v>
      </c>
      <c r="AE3254" s="154">
        <f t="shared" si="985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73"/>
        <v>10785027.603448275</v>
      </c>
      <c r="AJ3254" s="19">
        <f t="shared" si="974"/>
        <v>1540894.1297982759</v>
      </c>
      <c r="AK3254" s="20">
        <f t="shared" si="986"/>
        <v>0.1428734525728621</v>
      </c>
      <c r="AL3254" s="17"/>
      <c r="AM3254" s="17"/>
      <c r="AN3254" s="17"/>
      <c r="AO3254" s="17"/>
      <c r="AP3254" s="28" t="str">
        <f t="shared" si="987"/>
        <v>201811</v>
      </c>
      <c r="AQ3254" s="28" t="str">
        <f t="shared" si="988"/>
        <v>201811JPY</v>
      </c>
      <c r="AR3254" s="206" t="str">
        <f t="shared" si="989"/>
        <v>YAMAHA_Mounter</v>
      </c>
      <c r="AS3254" s="22">
        <f t="shared" si="990"/>
        <v>1</v>
      </c>
      <c r="AT3254" s="24" t="str">
        <f t="shared" si="991"/>
        <v>0-3 months</v>
      </c>
    </row>
    <row r="3255" spans="1:46" s="12" customFormat="1">
      <c r="A3255" s="33" t="str">
        <f t="shared" si="979"/>
        <v>cancel</v>
      </c>
      <c r="B3255" s="152"/>
      <c r="C3255" s="152" t="s">
        <v>186</v>
      </c>
      <c r="D3255" s="33" t="str">
        <f t="shared" si="980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81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82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77"/>
        <v>14700000</v>
      </c>
      <c r="AA3255" s="13">
        <v>7.2900000000000006E-2</v>
      </c>
      <c r="AB3255" s="21">
        <f t="shared" si="983"/>
        <v>1071630</v>
      </c>
      <c r="AC3255" s="130">
        <f t="shared" si="984"/>
        <v>128595.59999999999</v>
      </c>
      <c r="AD3255" s="169">
        <v>0.12</v>
      </c>
      <c r="AE3255" s="154">
        <f t="shared" si="985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73"/>
        <v>477651199.57437885</v>
      </c>
      <c r="AJ3255" s="19">
        <f t="shared" si="974"/>
        <v>56918800.518691957</v>
      </c>
      <c r="AK3255" s="20">
        <f t="shared" si="986"/>
        <v>0.11916394341605475</v>
      </c>
      <c r="AL3255" s="17"/>
      <c r="AM3255" s="17"/>
      <c r="AN3255" s="17"/>
      <c r="AO3255" s="17"/>
      <c r="AP3255" s="28" t="str">
        <f t="shared" si="987"/>
        <v>CancelCancel</v>
      </c>
      <c r="AQ3255" s="28" t="str">
        <f t="shared" si="988"/>
        <v>CancelCancelJPY</v>
      </c>
      <c r="AR3255" s="206" t="str">
        <f t="shared" si="989"/>
        <v>YAMAHA_Mounter</v>
      </c>
      <c r="AS3255" s="22" t="str">
        <f t="shared" si="990"/>
        <v/>
      </c>
      <c r="AT3255" s="24" t="str">
        <f t="shared" si="991"/>
        <v/>
      </c>
    </row>
    <row r="3256" spans="1:46" s="12" customFormat="1">
      <c r="A3256" s="33" t="str">
        <f t="shared" si="979"/>
        <v>FY 20/21</v>
      </c>
      <c r="B3256" s="152">
        <v>2020</v>
      </c>
      <c r="C3256" s="152">
        <v>7</v>
      </c>
      <c r="D3256" s="33" t="str">
        <f t="shared" si="980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81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82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77"/>
        <v>14000000</v>
      </c>
      <c r="AA3256" s="13">
        <v>7.5700000000000003E-2</v>
      </c>
      <c r="AB3256" s="21">
        <f t="shared" si="983"/>
        <v>1059800</v>
      </c>
      <c r="AC3256" s="130">
        <f t="shared" si="984"/>
        <v>149325.82</v>
      </c>
      <c r="AD3256" s="172">
        <v>0.1409</v>
      </c>
      <c r="AE3256" s="154">
        <f t="shared" si="985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73"/>
        <v>37969334.083628319</v>
      </c>
      <c r="AJ3256" s="19">
        <f t="shared" si="974"/>
        <v>5097226.4551657084</v>
      </c>
      <c r="AK3256" s="20">
        <f t="shared" si="986"/>
        <v>0.13424587441904964</v>
      </c>
      <c r="AL3256" s="17"/>
      <c r="AM3256" s="17"/>
      <c r="AN3256" s="17"/>
      <c r="AO3256" s="17"/>
      <c r="AP3256" s="28" t="str">
        <f t="shared" si="987"/>
        <v>20208</v>
      </c>
      <c r="AQ3256" s="28" t="str">
        <f t="shared" si="988"/>
        <v>20208JPY</v>
      </c>
      <c r="AR3256" s="206" t="str">
        <f t="shared" si="989"/>
        <v>YAMAHA_Mounter</v>
      </c>
      <c r="AS3256" s="22">
        <f t="shared" si="990"/>
        <v>1</v>
      </c>
      <c r="AT3256" s="24" t="str">
        <f t="shared" si="991"/>
        <v>0-3 months</v>
      </c>
    </row>
    <row r="3257" spans="1:46" s="12" customFormat="1">
      <c r="A3257" s="33" t="str">
        <f t="shared" si="979"/>
        <v>FY 20/21</v>
      </c>
      <c r="B3257" s="152">
        <v>2020</v>
      </c>
      <c r="C3257" s="152">
        <v>7</v>
      </c>
      <c r="D3257" s="33" t="str">
        <f t="shared" si="980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81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82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77"/>
        <v>14000000</v>
      </c>
      <c r="AA3257" s="13">
        <v>7.5700000000000003E-2</v>
      </c>
      <c r="AB3257" s="21">
        <f t="shared" si="983"/>
        <v>1059800</v>
      </c>
      <c r="AC3257" s="130">
        <f t="shared" si="984"/>
        <v>149325.82</v>
      </c>
      <c r="AD3257" s="169">
        <v>0.1409</v>
      </c>
      <c r="AE3257" s="154">
        <f t="shared" si="985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73"/>
        <v>37969334.083628319</v>
      </c>
      <c r="AJ3257" s="19">
        <f t="shared" si="974"/>
        <v>5097226.4551657084</v>
      </c>
      <c r="AK3257" s="20">
        <f t="shared" si="986"/>
        <v>0.13424587441904964</v>
      </c>
      <c r="AL3257" s="17"/>
      <c r="AM3257" s="17"/>
      <c r="AN3257" s="17"/>
      <c r="AO3257" s="17"/>
      <c r="AP3257" s="28" t="str">
        <f t="shared" si="987"/>
        <v>20208</v>
      </c>
      <c r="AQ3257" s="28" t="str">
        <f t="shared" si="988"/>
        <v>20208JPY</v>
      </c>
      <c r="AR3257" s="206" t="str">
        <f t="shared" si="989"/>
        <v>YAMAHA_Mounter</v>
      </c>
      <c r="AS3257" s="22">
        <f t="shared" si="990"/>
        <v>1</v>
      </c>
      <c r="AT3257" s="24" t="str">
        <f t="shared" si="991"/>
        <v>0-3 months</v>
      </c>
    </row>
    <row r="3258" spans="1:46" s="12" customFormat="1" ht="15.5" customHeight="1">
      <c r="A3258" s="33" t="str">
        <f t="shared" si="979"/>
        <v>FY 20/21</v>
      </c>
      <c r="B3258" s="152">
        <v>2020</v>
      </c>
      <c r="C3258" s="152">
        <v>7</v>
      </c>
      <c r="D3258" s="33" t="str">
        <f t="shared" si="980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81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82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77"/>
        <v>14000000</v>
      </c>
      <c r="AA3258" s="13">
        <v>7.5700000000000003E-2</v>
      </c>
      <c r="AB3258" s="21">
        <f t="shared" si="983"/>
        <v>1059800</v>
      </c>
      <c r="AC3258" s="130">
        <f t="shared" si="984"/>
        <v>149325.82</v>
      </c>
      <c r="AD3258" s="169">
        <v>0.1409</v>
      </c>
      <c r="AE3258" s="154">
        <f t="shared" si="985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73"/>
        <v>37969334.083628319</v>
      </c>
      <c r="AJ3258" s="19">
        <f t="shared" si="974"/>
        <v>5097226.4551657084</v>
      </c>
      <c r="AK3258" s="20">
        <f t="shared" si="986"/>
        <v>0.13424587441904964</v>
      </c>
      <c r="AL3258" s="17"/>
      <c r="AM3258" s="17"/>
      <c r="AN3258" s="17"/>
      <c r="AO3258" s="17"/>
      <c r="AP3258" s="28" t="str">
        <f t="shared" si="987"/>
        <v>20208</v>
      </c>
      <c r="AQ3258" s="28" t="str">
        <f t="shared" si="988"/>
        <v>20208JPY</v>
      </c>
      <c r="AR3258" s="206" t="str">
        <f t="shared" si="989"/>
        <v>YAMAHA_Mounter</v>
      </c>
      <c r="AS3258" s="22">
        <f t="shared" si="990"/>
        <v>1</v>
      </c>
      <c r="AT3258" s="24" t="str">
        <f t="shared" si="991"/>
        <v>0-3 months</v>
      </c>
    </row>
    <row r="3259" spans="1:46" s="12" customFormat="1">
      <c r="A3259" s="33" t="str">
        <f t="shared" si="979"/>
        <v>FY 20/21</v>
      </c>
      <c r="B3259" s="152">
        <v>2020</v>
      </c>
      <c r="C3259" s="152">
        <v>7</v>
      </c>
      <c r="D3259" s="33" t="str">
        <f t="shared" si="980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81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82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77"/>
        <v>14000000</v>
      </c>
      <c r="AA3259" s="13">
        <v>7.5700000000000003E-2</v>
      </c>
      <c r="AB3259" s="21">
        <f t="shared" si="983"/>
        <v>1059800</v>
      </c>
      <c r="AC3259" s="130">
        <f t="shared" si="984"/>
        <v>149325.82</v>
      </c>
      <c r="AD3259" s="169">
        <v>0.1409</v>
      </c>
      <c r="AE3259" s="154">
        <f t="shared" si="985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73"/>
        <v>37969334.083628319</v>
      </c>
      <c r="AJ3259" s="19">
        <f t="shared" si="974"/>
        <v>5097226.4551657084</v>
      </c>
      <c r="AK3259" s="20">
        <f t="shared" si="986"/>
        <v>0.13424587441904964</v>
      </c>
      <c r="AL3259" s="17"/>
      <c r="AM3259" s="17"/>
      <c r="AN3259" s="17"/>
      <c r="AO3259" s="17"/>
      <c r="AP3259" s="28" t="str">
        <f t="shared" si="987"/>
        <v>20208</v>
      </c>
      <c r="AQ3259" s="28" t="str">
        <f t="shared" si="988"/>
        <v>20208JPY</v>
      </c>
      <c r="AR3259" s="206" t="str">
        <f t="shared" si="989"/>
        <v>YAMAHA_Mounter</v>
      </c>
      <c r="AS3259" s="22">
        <f t="shared" si="990"/>
        <v>1</v>
      </c>
      <c r="AT3259" s="24" t="str">
        <f t="shared" si="991"/>
        <v>0-3 months</v>
      </c>
    </row>
    <row r="3260" spans="1:46" s="12" customFormat="1">
      <c r="A3260" s="33" t="str">
        <f t="shared" si="979"/>
        <v>FY 20/21</v>
      </c>
      <c r="B3260" s="152">
        <v>2020</v>
      </c>
      <c r="C3260" s="152">
        <v>7</v>
      </c>
      <c r="D3260" s="33" t="str">
        <f t="shared" si="980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81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82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77"/>
        <v>24000000</v>
      </c>
      <c r="AA3260" s="13">
        <v>7.5700000000000003E-2</v>
      </c>
      <c r="AB3260" s="21">
        <f t="shared" si="983"/>
        <v>1816800</v>
      </c>
      <c r="AC3260" s="130">
        <f t="shared" si="984"/>
        <v>255987.12</v>
      </c>
      <c r="AD3260" s="169">
        <v>0.1409</v>
      </c>
      <c r="AE3260" s="154">
        <f t="shared" si="985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73"/>
        <v>37969334.083628319</v>
      </c>
      <c r="AJ3260" s="19">
        <f t="shared" si="974"/>
        <v>5097226.4551657084</v>
      </c>
      <c r="AK3260" s="20">
        <f t="shared" si="986"/>
        <v>0.13424587441904964</v>
      </c>
      <c r="AL3260" s="17"/>
      <c r="AM3260" s="17"/>
      <c r="AN3260" s="17"/>
      <c r="AO3260" s="17"/>
      <c r="AP3260" s="28" t="str">
        <f t="shared" si="987"/>
        <v>20208</v>
      </c>
      <c r="AQ3260" s="28" t="str">
        <f t="shared" si="988"/>
        <v>20208JPY</v>
      </c>
      <c r="AR3260" s="206" t="str">
        <f t="shared" si="989"/>
        <v>YAMAHA_Mounter</v>
      </c>
      <c r="AS3260" s="22">
        <f t="shared" si="990"/>
        <v>1</v>
      </c>
      <c r="AT3260" s="24" t="str">
        <f t="shared" si="991"/>
        <v>0-3 months</v>
      </c>
    </row>
    <row r="3261" spans="1:46" s="12" customFormat="1">
      <c r="A3261" s="33" t="str">
        <f t="shared" si="979"/>
        <v>FY 22/23</v>
      </c>
      <c r="B3261" s="152">
        <v>2023</v>
      </c>
      <c r="C3261" s="152">
        <v>1</v>
      </c>
      <c r="D3261" s="33" t="str">
        <f t="shared" si="980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81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82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92">IF(W3261="RMB","1.13", "1")</f>
        <v>1.13</v>
      </c>
      <c r="Z3261" s="18">
        <f t="shared" si="977"/>
        <v>900000</v>
      </c>
      <c r="AA3261" s="13">
        <v>1.1299999999999999</v>
      </c>
      <c r="AB3261" s="21">
        <f t="shared" si="983"/>
        <v>900000</v>
      </c>
      <c r="AC3261" s="130">
        <f t="shared" si="984"/>
        <v>176220</v>
      </c>
      <c r="AD3261" s="169">
        <v>0.1958</v>
      </c>
      <c r="AE3261" s="154">
        <f t="shared" si="985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73"/>
        <v>33543315.897345133</v>
      </c>
      <c r="AJ3261" s="19">
        <f t="shared" si="974"/>
        <v>4706169.3252984071</v>
      </c>
      <c r="AK3261" s="20">
        <f t="shared" si="986"/>
        <v>0.14030125523967318</v>
      </c>
      <c r="AL3261" s="17"/>
      <c r="AM3261" s="17"/>
      <c r="AN3261" s="17"/>
      <c r="AO3261" s="17"/>
      <c r="AP3261" s="28" t="str">
        <f t="shared" si="987"/>
        <v>20233</v>
      </c>
      <c r="AQ3261" s="28" t="str">
        <f t="shared" si="988"/>
        <v>20233RMB</v>
      </c>
      <c r="AR3261" s="206" t="str">
        <f t="shared" si="989"/>
        <v>YAMAHA_Mounter</v>
      </c>
      <c r="AS3261" s="22">
        <f t="shared" si="990"/>
        <v>2</v>
      </c>
      <c r="AT3261" s="24" t="str">
        <f t="shared" si="991"/>
        <v>0-3 months</v>
      </c>
    </row>
    <row r="3262" spans="1:46" s="12" customFormat="1">
      <c r="A3262" s="33" t="str">
        <f t="shared" si="979"/>
        <v>FY 20/21</v>
      </c>
      <c r="B3262" s="152">
        <v>2021</v>
      </c>
      <c r="C3262" s="152">
        <v>2</v>
      </c>
      <c r="D3262" s="33" t="str">
        <f t="shared" si="980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81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82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92"/>
        <v>1</v>
      </c>
      <c r="Z3262" s="18">
        <f t="shared" si="977"/>
        <v>14000000</v>
      </c>
      <c r="AA3262" s="13">
        <v>7.4499999999999997E-2</v>
      </c>
      <c r="AB3262" s="21">
        <f t="shared" si="983"/>
        <v>1043000</v>
      </c>
      <c r="AC3262" s="130">
        <f t="shared" si="984"/>
        <v>156554.30000000002</v>
      </c>
      <c r="AD3262" s="169">
        <v>0.15010000000000001</v>
      </c>
      <c r="AE3262" s="154">
        <f t="shared" si="985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73"/>
        <v>57778307.282035396</v>
      </c>
      <c r="AJ3262" s="19">
        <f t="shared" si="974"/>
        <v>7259860.7225420559</v>
      </c>
      <c r="AK3262" s="20">
        <f t="shared" si="986"/>
        <v>0.12565028406083667</v>
      </c>
      <c r="AL3262" s="17"/>
      <c r="AM3262" s="17"/>
      <c r="AN3262" s="17"/>
      <c r="AO3262" s="17"/>
      <c r="AP3262" s="28" t="str">
        <f t="shared" si="987"/>
        <v>20213</v>
      </c>
      <c r="AQ3262" s="28" t="str">
        <f t="shared" si="988"/>
        <v>20213JPY</v>
      </c>
      <c r="AR3262" s="206" t="str">
        <f t="shared" si="989"/>
        <v>YAMAHA_Mounter</v>
      </c>
      <c r="AS3262" s="22">
        <f t="shared" si="990"/>
        <v>1</v>
      </c>
      <c r="AT3262" s="24" t="str">
        <f t="shared" si="991"/>
        <v>0-3 months</v>
      </c>
    </row>
    <row r="3263" spans="1:46" s="12" customFormat="1">
      <c r="A3263" s="33" t="str">
        <f t="shared" si="979"/>
        <v>FY 20/21</v>
      </c>
      <c r="B3263" s="152">
        <v>2021</v>
      </c>
      <c r="C3263" s="152">
        <v>2</v>
      </c>
      <c r="D3263" s="33" t="str">
        <f t="shared" si="980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81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82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92"/>
        <v>1</v>
      </c>
      <c r="Z3263" s="18">
        <f t="shared" si="977"/>
        <v>10000000</v>
      </c>
      <c r="AA3263" s="13">
        <v>7.4499999999999997E-2</v>
      </c>
      <c r="AB3263" s="21">
        <f t="shared" si="983"/>
        <v>745000</v>
      </c>
      <c r="AC3263" s="130">
        <f t="shared" si="984"/>
        <v>111824.50000000001</v>
      </c>
      <c r="AD3263" s="169">
        <v>0.15010000000000001</v>
      </c>
      <c r="AE3263" s="154">
        <f t="shared" si="985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73"/>
        <v>57778307.282035396</v>
      </c>
      <c r="AJ3263" s="19">
        <f t="shared" si="974"/>
        <v>7259860.7225420559</v>
      </c>
      <c r="AK3263" s="20">
        <f t="shared" si="986"/>
        <v>0.12565028406083667</v>
      </c>
      <c r="AL3263" s="17"/>
      <c r="AM3263" s="17"/>
      <c r="AN3263" s="17"/>
      <c r="AO3263" s="17"/>
      <c r="AP3263" s="28" t="str">
        <f t="shared" si="987"/>
        <v>20213</v>
      </c>
      <c r="AQ3263" s="28" t="str">
        <f t="shared" si="988"/>
        <v>20213JPY</v>
      </c>
      <c r="AR3263" s="206" t="str">
        <f t="shared" si="989"/>
        <v>YAMAHA_Mounter</v>
      </c>
      <c r="AS3263" s="22">
        <f t="shared" si="990"/>
        <v>1</v>
      </c>
      <c r="AT3263" s="24" t="str">
        <f t="shared" si="991"/>
        <v>0-3 months</v>
      </c>
    </row>
    <row r="3264" spans="1:46" s="12" customFormat="1">
      <c r="A3264" s="33" t="str">
        <f t="shared" si="979"/>
        <v>FY 20/21</v>
      </c>
      <c r="B3264" s="152">
        <v>2021</v>
      </c>
      <c r="C3264" s="152">
        <v>2</v>
      </c>
      <c r="D3264" s="33" t="str">
        <f t="shared" si="980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81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82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92"/>
        <v>1</v>
      </c>
      <c r="Z3264" s="18">
        <f t="shared" si="977"/>
        <v>11000000</v>
      </c>
      <c r="AA3264" s="13">
        <v>7.17E-2</v>
      </c>
      <c r="AB3264" s="21">
        <f t="shared" si="983"/>
        <v>788700</v>
      </c>
      <c r="AC3264" s="130">
        <f t="shared" si="984"/>
        <v>111443.31000000001</v>
      </c>
      <c r="AD3264" s="169">
        <v>0.14130000000000001</v>
      </c>
      <c r="AE3264" s="154">
        <f t="shared" si="985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73"/>
        <v>43684091.636631854</v>
      </c>
      <c r="AJ3264" s="19">
        <f t="shared" si="974"/>
        <v>6483951.8242071122</v>
      </c>
      <c r="AK3264" s="20">
        <f t="shared" si="986"/>
        <v>0.14842821680123736</v>
      </c>
      <c r="AL3264" s="17"/>
      <c r="AM3264" s="17"/>
      <c r="AN3264" s="17"/>
      <c r="AO3264" s="17"/>
      <c r="AP3264" s="28" t="str">
        <f t="shared" si="987"/>
        <v>20214</v>
      </c>
      <c r="AQ3264" s="28" t="str">
        <f t="shared" si="988"/>
        <v>20214JPY</v>
      </c>
      <c r="AR3264" s="206" t="str">
        <f t="shared" si="989"/>
        <v>YAMAHA_Mounter</v>
      </c>
      <c r="AS3264" s="22">
        <f t="shared" si="990"/>
        <v>2</v>
      </c>
      <c r="AT3264" s="24" t="str">
        <f t="shared" si="991"/>
        <v>0-3 months</v>
      </c>
    </row>
    <row r="3265" spans="1:46" s="12" customFormat="1">
      <c r="A3265" s="33" t="str">
        <f t="shared" si="979"/>
        <v>FY 20/21</v>
      </c>
      <c r="B3265" s="152">
        <v>2021</v>
      </c>
      <c r="C3265" s="152">
        <v>2</v>
      </c>
      <c r="D3265" s="33" t="str">
        <f t="shared" si="980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81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82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92"/>
        <v>1</v>
      </c>
      <c r="Z3265" s="18">
        <f t="shared" si="977"/>
        <v>7350000</v>
      </c>
      <c r="AA3265" s="13">
        <v>7.17E-2</v>
      </c>
      <c r="AB3265" s="21">
        <f t="shared" si="983"/>
        <v>526995</v>
      </c>
      <c r="AC3265" s="130">
        <f t="shared" si="984"/>
        <v>74464.393500000006</v>
      </c>
      <c r="AD3265" s="169">
        <v>0.14130000000000001</v>
      </c>
      <c r="AE3265" s="154">
        <f t="shared" si="985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73"/>
        <v>43684091.636631854</v>
      </c>
      <c r="AJ3265" s="19">
        <f t="shared" si="974"/>
        <v>6483951.8242071122</v>
      </c>
      <c r="AK3265" s="20">
        <f t="shared" si="986"/>
        <v>0.14842821680123736</v>
      </c>
      <c r="AL3265" s="17"/>
      <c r="AM3265" s="17"/>
      <c r="AN3265" s="17"/>
      <c r="AO3265" s="17"/>
      <c r="AP3265" s="28" t="str">
        <f t="shared" si="987"/>
        <v>20214</v>
      </c>
      <c r="AQ3265" s="28" t="str">
        <f t="shared" si="988"/>
        <v>20214JPY</v>
      </c>
      <c r="AR3265" s="206" t="str">
        <f t="shared" si="989"/>
        <v>YAMAHA_Mounter</v>
      </c>
      <c r="AS3265" s="22">
        <f t="shared" si="990"/>
        <v>2</v>
      </c>
      <c r="AT3265" s="24" t="str">
        <f t="shared" si="991"/>
        <v>0-3 months</v>
      </c>
    </row>
    <row r="3266" spans="1:46" s="12" customFormat="1">
      <c r="A3266" s="33" t="str">
        <f t="shared" si="979"/>
        <v>FY 21/22</v>
      </c>
      <c r="B3266" s="152">
        <v>2021</v>
      </c>
      <c r="C3266" s="152">
        <v>4</v>
      </c>
      <c r="D3266" s="33" t="str">
        <f t="shared" si="980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81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82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92"/>
        <v>1</v>
      </c>
      <c r="Z3266" s="18">
        <f t="shared" si="977"/>
        <v>11000000</v>
      </c>
      <c r="AA3266" s="13">
        <v>7.2400000000000006E-2</v>
      </c>
      <c r="AB3266" s="21">
        <f t="shared" si="983"/>
        <v>796400.00000000012</v>
      </c>
      <c r="AC3266" s="130">
        <f t="shared" si="984"/>
        <v>83303.440000000017</v>
      </c>
      <c r="AD3266" s="169">
        <v>0.1046</v>
      </c>
      <c r="AE3266" s="154">
        <f t="shared" si="985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93">IF(P3266="C66 SERVICE","",SUMIFS(AB:AB,F:F,F3266,G:G,G3266,E:E,E3266))</f>
        <v>47458373.787610628</v>
      </c>
      <c r="AJ3266" s="19">
        <f t="shared" ref="AJ3266:AJ3329" si="994">IF(P3266="C66 SERVICE","",SUMIFS(AC:AC,F:F,F3266,G:G,G3266,E:E,E3266))</f>
        <v>7436880.1411522133</v>
      </c>
      <c r="AK3266" s="20">
        <f t="shared" si="986"/>
        <v>0.15670322321692506</v>
      </c>
      <c r="AL3266" s="17"/>
      <c r="AM3266" s="17"/>
      <c r="AN3266" s="17"/>
      <c r="AO3266" s="17"/>
      <c r="AP3266" s="28" t="str">
        <f t="shared" si="987"/>
        <v>20218</v>
      </c>
      <c r="AQ3266" s="28" t="str">
        <f t="shared" si="988"/>
        <v>20218JPY</v>
      </c>
      <c r="AR3266" s="206" t="str">
        <f t="shared" si="989"/>
        <v>YAMAHA_Mounter</v>
      </c>
      <c r="AS3266" s="22">
        <f t="shared" si="990"/>
        <v>4</v>
      </c>
      <c r="AT3266" s="24" t="str">
        <f t="shared" si="991"/>
        <v>4-6 months</v>
      </c>
    </row>
    <row r="3267" spans="1:46" s="12" customFormat="1">
      <c r="A3267" s="33" t="str">
        <f t="shared" si="979"/>
        <v>FY 21/22</v>
      </c>
      <c r="B3267" s="152">
        <v>2021</v>
      </c>
      <c r="C3267" s="152">
        <v>4</v>
      </c>
      <c r="D3267" s="33" t="str">
        <f t="shared" si="980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81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82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92"/>
        <v>1</v>
      </c>
      <c r="Z3267" s="18">
        <f t="shared" si="977"/>
        <v>11000000</v>
      </c>
      <c r="AA3267" s="13">
        <v>7.2300000000000003E-2</v>
      </c>
      <c r="AB3267" s="21">
        <f t="shared" si="983"/>
        <v>795300</v>
      </c>
      <c r="AC3267" s="130">
        <f t="shared" si="984"/>
        <v>83745.09</v>
      </c>
      <c r="AD3267" s="169">
        <v>0.1053</v>
      </c>
      <c r="AE3267" s="154">
        <f t="shared" si="985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93"/>
        <v>10844605.840707963</v>
      </c>
      <c r="AJ3267" s="19">
        <f t="shared" si="994"/>
        <v>1523130.9860707966</v>
      </c>
      <c r="AK3267" s="20">
        <f t="shared" si="986"/>
        <v>0.14045056209911663</v>
      </c>
      <c r="AL3267" s="17"/>
      <c r="AM3267" s="17"/>
      <c r="AN3267" s="17"/>
      <c r="AO3267" s="17"/>
      <c r="AP3267" s="28" t="str">
        <f t="shared" si="987"/>
        <v>20219</v>
      </c>
      <c r="AQ3267" s="28" t="str">
        <f t="shared" si="988"/>
        <v>20219JPY</v>
      </c>
      <c r="AR3267" s="206" t="str">
        <f t="shared" si="989"/>
        <v>YAMAHA_Mounter</v>
      </c>
      <c r="AS3267" s="22">
        <f t="shared" si="990"/>
        <v>5</v>
      </c>
      <c r="AT3267" s="24" t="str">
        <f t="shared" si="991"/>
        <v>4-6 months</v>
      </c>
    </row>
    <row r="3268" spans="1:46" s="12" customFormat="1">
      <c r="A3268" s="33" t="str">
        <f t="shared" si="979"/>
        <v>FY 18/19</v>
      </c>
      <c r="B3268" s="152">
        <v>2018</v>
      </c>
      <c r="C3268" s="152">
        <v>8</v>
      </c>
      <c r="D3268" s="33" t="str">
        <f t="shared" si="980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81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82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77"/>
        <v>750000</v>
      </c>
      <c r="AA3268" s="13">
        <v>1.1499999999999999</v>
      </c>
      <c r="AB3268" s="21">
        <f t="shared" si="983"/>
        <v>743534.48275862075</v>
      </c>
      <c r="AC3268" s="130">
        <f t="shared" si="984"/>
        <v>123872.84482758622</v>
      </c>
      <c r="AD3268" s="169">
        <v>0.1666</v>
      </c>
      <c r="AE3268" s="154">
        <f t="shared" si="985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93"/>
        <v>26492741.106427077</v>
      </c>
      <c r="AJ3268" s="19">
        <f t="shared" si="994"/>
        <v>3348032.1325698122</v>
      </c>
      <c r="AK3268" s="20">
        <f t="shared" si="986"/>
        <v>0.12637545201985867</v>
      </c>
      <c r="AL3268" s="17"/>
      <c r="AM3268" s="17"/>
      <c r="AN3268" s="17"/>
      <c r="AO3268" s="17"/>
      <c r="AP3268" s="28" t="str">
        <f t="shared" si="987"/>
        <v>20189</v>
      </c>
      <c r="AQ3268" s="28" t="str">
        <f t="shared" si="988"/>
        <v>20189RMB</v>
      </c>
      <c r="AR3268" s="206" t="str">
        <f t="shared" si="989"/>
        <v>YAMAHA_Mounter</v>
      </c>
      <c r="AS3268" s="22">
        <f t="shared" si="990"/>
        <v>1</v>
      </c>
      <c r="AT3268" s="24" t="str">
        <f t="shared" si="991"/>
        <v>0-3 months</v>
      </c>
    </row>
    <row r="3269" spans="1:46" s="12" customFormat="1">
      <c r="A3269" s="33" t="str">
        <f t="shared" si="979"/>
        <v>FY 18/19</v>
      </c>
      <c r="B3269" s="152">
        <v>2018</v>
      </c>
      <c r="C3269" s="152">
        <v>8</v>
      </c>
      <c r="D3269" s="33" t="str">
        <f t="shared" si="980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81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82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77"/>
        <v>520000</v>
      </c>
      <c r="AA3269" s="13">
        <v>1.1499999999999999</v>
      </c>
      <c r="AB3269" s="21">
        <f t="shared" si="983"/>
        <v>515517.24137931038</v>
      </c>
      <c r="AC3269" s="130">
        <f t="shared" si="984"/>
        <v>85885.172413793101</v>
      </c>
      <c r="AD3269" s="169">
        <v>0.1666</v>
      </c>
      <c r="AE3269" s="154">
        <f t="shared" si="985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93"/>
        <v>26492741.106427077</v>
      </c>
      <c r="AJ3269" s="19">
        <f t="shared" si="994"/>
        <v>3348032.1325698122</v>
      </c>
      <c r="AK3269" s="20">
        <f t="shared" si="986"/>
        <v>0.12637545201985867</v>
      </c>
      <c r="AL3269" s="17"/>
      <c r="AM3269" s="17"/>
      <c r="AN3269" s="17"/>
      <c r="AO3269" s="17"/>
      <c r="AP3269" s="28" t="str">
        <f t="shared" si="987"/>
        <v>20189</v>
      </c>
      <c r="AQ3269" s="28" t="str">
        <f t="shared" si="988"/>
        <v>20189RMB</v>
      </c>
      <c r="AR3269" s="206" t="str">
        <f t="shared" si="989"/>
        <v>YAMAHA_Mounter</v>
      </c>
      <c r="AS3269" s="22">
        <f t="shared" si="990"/>
        <v>1</v>
      </c>
      <c r="AT3269" s="24" t="str">
        <f t="shared" si="991"/>
        <v>0-3 months</v>
      </c>
    </row>
    <row r="3270" spans="1:46" s="12" customFormat="1">
      <c r="A3270" s="33" t="str">
        <f t="shared" si="979"/>
        <v>FY 17/18</v>
      </c>
      <c r="B3270" s="152">
        <v>2018</v>
      </c>
      <c r="C3270" s="152">
        <v>3</v>
      </c>
      <c r="D3270" s="33" t="str">
        <f t="shared" si="980"/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si="981"/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82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77"/>
        <v>7350000</v>
      </c>
      <c r="AA3270" s="13">
        <v>7.51E-2</v>
      </c>
      <c r="AB3270" s="21">
        <f t="shared" si="983"/>
        <v>551985</v>
      </c>
      <c r="AC3270" s="130">
        <f t="shared" si="984"/>
        <v>58565.608500000002</v>
      </c>
      <c r="AD3270" s="169">
        <v>0.1061</v>
      </c>
      <c r="AE3270" s="154">
        <f t="shared" si="985"/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93"/>
        <v>29288201.603076916</v>
      </c>
      <c r="AJ3270" s="19">
        <f t="shared" si="994"/>
        <v>3870159.1769246152</v>
      </c>
      <c r="AK3270" s="20">
        <f t="shared" si="986"/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si="987"/>
        <v>20184</v>
      </c>
      <c r="AQ3270" s="28" t="str">
        <f t="shared" si="988"/>
        <v>20184JPY</v>
      </c>
      <c r="AR3270" s="206" t="str">
        <f t="shared" si="989"/>
        <v>YAMAHA_Mounter</v>
      </c>
      <c r="AS3270" s="22">
        <f t="shared" si="990"/>
        <v>1</v>
      </c>
      <c r="AT3270" s="24" t="str">
        <f t="shared" si="991"/>
        <v>0-3 months</v>
      </c>
    </row>
    <row r="3271" spans="1:46" s="12" customFormat="1">
      <c r="A3271" s="33" t="str">
        <f t="shared" si="979"/>
        <v>FY 21/22</v>
      </c>
      <c r="B3271" s="152">
        <v>2021</v>
      </c>
      <c r="C3271" s="152">
        <v>4</v>
      </c>
      <c r="D3271" s="33" t="str">
        <f t="shared" si="980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81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82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95">IF(W3271="RMB","1.13", "1")</f>
        <v>1.13</v>
      </c>
      <c r="Z3271" s="18">
        <f t="shared" si="977"/>
        <v>832000</v>
      </c>
      <c r="AA3271" s="13">
        <v>1.1950000000000001</v>
      </c>
      <c r="AB3271" s="21">
        <f t="shared" si="983"/>
        <v>879858.40707964625</v>
      </c>
      <c r="AC3271" s="130">
        <f t="shared" si="984"/>
        <v>103383.36283185842</v>
      </c>
      <c r="AD3271" s="169">
        <v>0.11749999999999999</v>
      </c>
      <c r="AE3271" s="154">
        <f t="shared" si="985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93"/>
        <v>63006605.696460173</v>
      </c>
      <c r="AJ3271" s="19">
        <f t="shared" si="994"/>
        <v>8897485.660753984</v>
      </c>
      <c r="AK3271" s="20">
        <f t="shared" si="986"/>
        <v>0.141215124388995</v>
      </c>
      <c r="AL3271" s="17"/>
      <c r="AM3271" s="17"/>
      <c r="AN3271" s="17"/>
      <c r="AO3271" s="17"/>
      <c r="AP3271" s="28" t="str">
        <f t="shared" si="987"/>
        <v>20215</v>
      </c>
      <c r="AQ3271" s="28" t="str">
        <f t="shared" si="988"/>
        <v>20215RMB</v>
      </c>
      <c r="AR3271" s="206" t="str">
        <f t="shared" si="989"/>
        <v>YAMAHA_Mounter</v>
      </c>
      <c r="AS3271" s="22">
        <f t="shared" si="990"/>
        <v>1</v>
      </c>
      <c r="AT3271" s="24" t="str">
        <f t="shared" si="991"/>
        <v>0-3 months</v>
      </c>
    </row>
    <row r="3272" spans="1:46" s="12" customFormat="1">
      <c r="A3272" s="33" t="str">
        <f t="shared" si="979"/>
        <v>FY 21/22</v>
      </c>
      <c r="B3272" s="152">
        <v>2021</v>
      </c>
      <c r="C3272" s="152">
        <v>4</v>
      </c>
      <c r="D3272" s="33" t="str">
        <f t="shared" si="980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81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82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95"/>
        <v>1.13</v>
      </c>
      <c r="Z3272" s="18">
        <f t="shared" si="977"/>
        <v>590000</v>
      </c>
      <c r="AA3272" s="13">
        <v>1.1950000000000001</v>
      </c>
      <c r="AB3272" s="21">
        <f t="shared" si="983"/>
        <v>623938.05309734517</v>
      </c>
      <c r="AC3272" s="130">
        <f t="shared" si="984"/>
        <v>73312.721238938058</v>
      </c>
      <c r="AD3272" s="169">
        <v>0.11749999999999999</v>
      </c>
      <c r="AE3272" s="154">
        <f t="shared" si="985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93"/>
        <v>63006605.696460173</v>
      </c>
      <c r="AJ3272" s="19">
        <f t="shared" si="994"/>
        <v>8897485.660753984</v>
      </c>
      <c r="AK3272" s="20">
        <f t="shared" si="986"/>
        <v>0.141215124388995</v>
      </c>
      <c r="AL3272" s="17"/>
      <c r="AM3272" s="17"/>
      <c r="AN3272" s="17"/>
      <c r="AO3272" s="17"/>
      <c r="AP3272" s="28" t="str">
        <f t="shared" si="987"/>
        <v>20215</v>
      </c>
      <c r="AQ3272" s="28" t="str">
        <f t="shared" si="988"/>
        <v>20215RMB</v>
      </c>
      <c r="AR3272" s="206" t="str">
        <f t="shared" si="989"/>
        <v>YAMAHA_Mounter</v>
      </c>
      <c r="AS3272" s="22">
        <f t="shared" si="990"/>
        <v>1</v>
      </c>
      <c r="AT3272" s="24" t="str">
        <f t="shared" si="991"/>
        <v>0-3 months</v>
      </c>
    </row>
    <row r="3273" spans="1:46" s="12" customFormat="1">
      <c r="A3273" s="33" t="str">
        <f t="shared" si="979"/>
        <v>FY 21/22</v>
      </c>
      <c r="B3273" s="152">
        <v>2021</v>
      </c>
      <c r="C3273" s="152">
        <v>4</v>
      </c>
      <c r="D3273" s="33" t="str">
        <f t="shared" si="980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81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82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95"/>
        <v>1</v>
      </c>
      <c r="Z3273" s="18">
        <f t="shared" si="977"/>
        <v>12300000</v>
      </c>
      <c r="AA3273" s="13">
        <v>6.2799999999999995E-2</v>
      </c>
      <c r="AB3273" s="21">
        <f t="shared" si="983"/>
        <v>772439.99999999988</v>
      </c>
      <c r="AC3273" s="130">
        <f t="shared" si="984"/>
        <v>77552.975999999995</v>
      </c>
      <c r="AD3273" s="169">
        <v>0.1004</v>
      </c>
      <c r="AE3273" s="154">
        <f t="shared" si="985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93"/>
        <v>44014086.982070789</v>
      </c>
      <c r="AJ3273" s="19">
        <f t="shared" si="994"/>
        <v>6419974.0221889298</v>
      </c>
      <c r="AK3273" s="20">
        <f t="shared" si="986"/>
        <v>0.14586180158193709</v>
      </c>
      <c r="AL3273" s="17"/>
      <c r="AM3273" s="17"/>
      <c r="AN3273" s="17"/>
      <c r="AO3273" s="17"/>
      <c r="AP3273" s="28" t="str">
        <f t="shared" si="987"/>
        <v>20225</v>
      </c>
      <c r="AQ3273" s="28" t="str">
        <f t="shared" si="988"/>
        <v>20225JPY</v>
      </c>
      <c r="AR3273" s="206" t="str">
        <f t="shared" si="989"/>
        <v>YAMAHA_Mounter</v>
      </c>
      <c r="AS3273" s="22">
        <f t="shared" si="990"/>
        <v>13</v>
      </c>
      <c r="AT3273" s="24" t="str">
        <f t="shared" si="991"/>
        <v>&gt; 6 months</v>
      </c>
    </row>
    <row r="3274" spans="1:46" s="12" customFormat="1">
      <c r="A3274" s="33" t="str">
        <f t="shared" si="979"/>
        <v>FY 21/22</v>
      </c>
      <c r="B3274" s="152">
        <v>2021</v>
      </c>
      <c r="C3274" s="152">
        <v>4</v>
      </c>
      <c r="D3274" s="33" t="str">
        <f t="shared" si="980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81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82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95"/>
        <v>1</v>
      </c>
      <c r="Z3274" s="18">
        <f t="shared" si="977"/>
        <v>12300000</v>
      </c>
      <c r="AA3274" s="13">
        <v>6.2799999999999995E-2</v>
      </c>
      <c r="AB3274" s="21">
        <f t="shared" si="983"/>
        <v>772439.99999999988</v>
      </c>
      <c r="AC3274" s="130">
        <f t="shared" si="984"/>
        <v>77552.975999999995</v>
      </c>
      <c r="AD3274" s="172">
        <v>0.1004</v>
      </c>
      <c r="AE3274" s="154">
        <f t="shared" si="985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93"/>
        <v>44014086.982070789</v>
      </c>
      <c r="AJ3274" s="19">
        <f t="shared" si="994"/>
        <v>6419974.0221889298</v>
      </c>
      <c r="AK3274" s="20">
        <f t="shared" si="986"/>
        <v>0.14586180158193709</v>
      </c>
      <c r="AL3274" s="17"/>
      <c r="AM3274" s="17"/>
      <c r="AN3274" s="17"/>
      <c r="AO3274" s="17"/>
      <c r="AP3274" s="28" t="str">
        <f t="shared" si="987"/>
        <v>20225</v>
      </c>
      <c r="AQ3274" s="28" t="str">
        <f t="shared" si="988"/>
        <v>20225JPY</v>
      </c>
      <c r="AR3274" s="206" t="str">
        <f t="shared" si="989"/>
        <v>YAMAHA_Mounter</v>
      </c>
      <c r="AS3274" s="22">
        <f t="shared" si="990"/>
        <v>13</v>
      </c>
      <c r="AT3274" s="24" t="str">
        <f t="shared" si="991"/>
        <v>&gt; 6 months</v>
      </c>
    </row>
    <row r="3275" spans="1:46" s="12" customFormat="1">
      <c r="A3275" s="33" t="str">
        <f t="shared" si="979"/>
        <v>FY 22/23</v>
      </c>
      <c r="B3275" s="152">
        <v>2022</v>
      </c>
      <c r="C3275" s="152">
        <v>4</v>
      </c>
      <c r="D3275" s="33" t="str">
        <f t="shared" si="980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81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82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95"/>
        <v>1</v>
      </c>
      <c r="Z3275" s="18">
        <f t="shared" si="977"/>
        <v>13900000</v>
      </c>
      <c r="AA3275" s="13">
        <v>5.96E-2</v>
      </c>
      <c r="AB3275" s="21">
        <f t="shared" si="983"/>
        <v>828440</v>
      </c>
      <c r="AC3275" s="130">
        <f t="shared" si="984"/>
        <v>83341.063999999998</v>
      </c>
      <c r="AD3275" s="169">
        <v>0.10059999999999999</v>
      </c>
      <c r="AE3275" s="154">
        <f t="shared" si="985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93"/>
        <v>35073581.838938057</v>
      </c>
      <c r="AJ3275" s="19">
        <f t="shared" si="994"/>
        <v>5034113.9728989396</v>
      </c>
      <c r="AK3275" s="20">
        <f t="shared" si="986"/>
        <v>0.14353007902118958</v>
      </c>
      <c r="AL3275" s="17"/>
      <c r="AM3275" s="17"/>
      <c r="AN3275" s="17"/>
      <c r="AO3275" s="17"/>
      <c r="AP3275" s="28" t="str">
        <f t="shared" si="987"/>
        <v>20228</v>
      </c>
      <c r="AQ3275" s="28" t="str">
        <f t="shared" si="988"/>
        <v>20228JPY</v>
      </c>
      <c r="AR3275" s="206" t="str">
        <f t="shared" si="989"/>
        <v>YAMAHA_Mounter</v>
      </c>
      <c r="AS3275" s="22">
        <f t="shared" si="990"/>
        <v>4</v>
      </c>
      <c r="AT3275" s="24" t="str">
        <f t="shared" si="991"/>
        <v>4-6 months</v>
      </c>
    </row>
    <row r="3276" spans="1:46" s="12" customFormat="1">
      <c r="A3276" s="33" t="str">
        <f t="shared" si="979"/>
        <v>FY 22/23</v>
      </c>
      <c r="B3276" s="152">
        <v>2022</v>
      </c>
      <c r="C3276" s="152">
        <v>4</v>
      </c>
      <c r="D3276" s="33" t="str">
        <f t="shared" si="980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81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82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95"/>
        <v>1</v>
      </c>
      <c r="Z3276" s="18">
        <f t="shared" si="977"/>
        <v>9978000</v>
      </c>
      <c r="AA3276" s="13">
        <v>5.96E-2</v>
      </c>
      <c r="AB3276" s="21">
        <f t="shared" si="983"/>
        <v>594688.80000000005</v>
      </c>
      <c r="AC3276" s="130">
        <f t="shared" si="984"/>
        <v>59825.69328</v>
      </c>
      <c r="AD3276" s="169">
        <v>0.10059999999999999</v>
      </c>
      <c r="AE3276" s="154">
        <f t="shared" si="985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93"/>
        <v>35073581.838938057</v>
      </c>
      <c r="AJ3276" s="19">
        <f t="shared" si="994"/>
        <v>5034113.9728989396</v>
      </c>
      <c r="AK3276" s="20">
        <f t="shared" si="986"/>
        <v>0.14353007902118958</v>
      </c>
      <c r="AL3276" s="17"/>
      <c r="AM3276" s="17"/>
      <c r="AN3276" s="17"/>
      <c r="AO3276" s="17"/>
      <c r="AP3276" s="28" t="str">
        <f t="shared" si="987"/>
        <v>20228</v>
      </c>
      <c r="AQ3276" s="28" t="str">
        <f t="shared" si="988"/>
        <v>20228JPY</v>
      </c>
      <c r="AR3276" s="206" t="str">
        <f t="shared" si="989"/>
        <v>YAMAHA_Mounter</v>
      </c>
      <c r="AS3276" s="22">
        <f t="shared" si="990"/>
        <v>4</v>
      </c>
      <c r="AT3276" s="24" t="str">
        <f t="shared" si="991"/>
        <v>4-6 months</v>
      </c>
    </row>
    <row r="3277" spans="1:46" s="12" customFormat="1">
      <c r="A3277" s="33" t="str">
        <f t="shared" si="979"/>
        <v>FY 24/25</v>
      </c>
      <c r="B3277" s="23">
        <v>2024</v>
      </c>
      <c r="C3277" s="152">
        <v>4</v>
      </c>
      <c r="D3277" s="33" t="str">
        <f t="shared" si="980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81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82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77"/>
        <v>7668000</v>
      </c>
      <c r="AA3277" s="22">
        <v>5.5599999999999997E-2</v>
      </c>
      <c r="AB3277" s="21">
        <f t="shared" si="983"/>
        <v>426340.8</v>
      </c>
      <c r="AC3277" s="25">
        <f t="shared" si="984"/>
        <v>51160.895999999993</v>
      </c>
      <c r="AD3277" s="169">
        <v>0.12</v>
      </c>
      <c r="AE3277" s="26">
        <f t="shared" si="985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93"/>
        <v>22399988.308672566</v>
      </c>
      <c r="AJ3277" s="27">
        <f t="shared" si="994"/>
        <v>2687998.5970407082</v>
      </c>
      <c r="AK3277" s="28">
        <f t="shared" si="986"/>
        <v>0.12000000000000001</v>
      </c>
      <c r="AL3277" s="24"/>
      <c r="AM3277" s="24"/>
      <c r="AN3277" s="24"/>
      <c r="AO3277" s="24"/>
      <c r="AP3277" s="28" t="str">
        <f t="shared" si="987"/>
        <v>202412</v>
      </c>
      <c r="AQ3277" s="28" t="str">
        <f t="shared" si="988"/>
        <v>202412JPY</v>
      </c>
      <c r="AR3277" s="206" t="str">
        <f t="shared" si="989"/>
        <v>YAMAHA_Mounter</v>
      </c>
      <c r="AS3277" s="22">
        <f t="shared" si="990"/>
        <v>8</v>
      </c>
      <c r="AT3277" s="24" t="str">
        <f t="shared" si="991"/>
        <v>&gt; 6 months</v>
      </c>
    </row>
    <row r="3278" spans="1:46" s="12" customFormat="1">
      <c r="A3278" s="33" t="str">
        <f t="shared" si="979"/>
        <v>FY 24/25</v>
      </c>
      <c r="B3278" s="23">
        <v>2024</v>
      </c>
      <c r="C3278" s="152">
        <v>4</v>
      </c>
      <c r="D3278" s="202" t="str">
        <f t="shared" si="980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81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82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77"/>
        <v>420000</v>
      </c>
      <c r="AA3278" s="22">
        <v>1.1080000000000001</v>
      </c>
      <c r="AB3278" s="197">
        <f t="shared" si="983"/>
        <v>411823.00884955761</v>
      </c>
      <c r="AC3278" s="198">
        <f t="shared" si="984"/>
        <v>49418.761061946912</v>
      </c>
      <c r="AD3278" s="169">
        <v>0.12</v>
      </c>
      <c r="AE3278" s="199">
        <f t="shared" si="985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93"/>
        <v>24129972.828771491</v>
      </c>
      <c r="AJ3278" s="200">
        <f t="shared" si="994"/>
        <v>2880955.0890193055</v>
      </c>
      <c r="AK3278" s="201">
        <f t="shared" si="986"/>
        <v>0.11939321728469518</v>
      </c>
      <c r="AL3278" s="22"/>
      <c r="AM3278" s="22"/>
      <c r="AN3278" s="22"/>
      <c r="AO3278" s="22"/>
      <c r="AP3278" s="28" t="str">
        <f t="shared" si="987"/>
        <v>202411</v>
      </c>
      <c r="AQ3278" s="28" t="str">
        <f t="shared" si="988"/>
        <v>202411RMB</v>
      </c>
      <c r="AR3278" s="206" t="str">
        <f t="shared" si="989"/>
        <v>YAMAHA_Mounter</v>
      </c>
      <c r="AS3278" s="22">
        <f t="shared" si="990"/>
        <v>7</v>
      </c>
      <c r="AT3278" s="24" t="str">
        <f t="shared" si="991"/>
        <v>&gt; 6 months</v>
      </c>
    </row>
    <row r="3279" spans="1:46" s="12" customFormat="1">
      <c r="A3279" s="33" t="str">
        <f t="shared" si="979"/>
        <v>FY 20/21</v>
      </c>
      <c r="B3279" s="152">
        <v>2020</v>
      </c>
      <c r="C3279" s="152">
        <v>7</v>
      </c>
      <c r="D3279" s="33" t="str">
        <f t="shared" si="980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81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82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77"/>
        <v>575200</v>
      </c>
      <c r="AA3279" s="13">
        <v>1.095</v>
      </c>
      <c r="AB3279" s="21">
        <f t="shared" si="983"/>
        <v>557384.07079646026</v>
      </c>
      <c r="AC3279" s="130">
        <f t="shared" si="984"/>
        <v>90296.219469026561</v>
      </c>
      <c r="AD3279" s="172">
        <v>0.16200000000000001</v>
      </c>
      <c r="AE3279" s="154">
        <f t="shared" si="985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93"/>
        <v>35384300.169380538</v>
      </c>
      <c r="AJ3279" s="19">
        <f t="shared" si="994"/>
        <v>5044538.8896988509</v>
      </c>
      <c r="AK3279" s="20">
        <f t="shared" si="986"/>
        <v>0.14256432557804533</v>
      </c>
      <c r="AL3279" s="17"/>
      <c r="AM3279" s="17"/>
      <c r="AN3279" s="17"/>
      <c r="AO3279" s="17"/>
      <c r="AP3279" s="28" t="str">
        <f t="shared" si="987"/>
        <v>20207</v>
      </c>
      <c r="AQ3279" s="28" t="str">
        <f t="shared" si="988"/>
        <v>20207RMB</v>
      </c>
      <c r="AR3279" s="206" t="str">
        <f t="shared" si="989"/>
        <v>YAMAHA_Mounter</v>
      </c>
      <c r="AS3279" s="22">
        <f t="shared" si="990"/>
        <v>0</v>
      </c>
      <c r="AT3279" s="24" t="str">
        <f t="shared" si="991"/>
        <v>0-3 months</v>
      </c>
    </row>
    <row r="3280" spans="1:46" s="12" customFormat="1">
      <c r="A3280" s="33" t="str">
        <f t="shared" si="979"/>
        <v>FY 20/21</v>
      </c>
      <c r="B3280" s="152">
        <v>2020</v>
      </c>
      <c r="C3280" s="152">
        <v>8</v>
      </c>
      <c r="D3280" s="33" t="str">
        <f t="shared" si="980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81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82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77"/>
        <v>773800</v>
      </c>
      <c r="AA3280" s="13">
        <v>1.1299999999999999</v>
      </c>
      <c r="AB3280" s="21">
        <f t="shared" si="983"/>
        <v>773800</v>
      </c>
      <c r="AC3280" s="130">
        <f t="shared" si="984"/>
        <v>79546.64</v>
      </c>
      <c r="AD3280" s="169">
        <v>0.1028</v>
      </c>
      <c r="AE3280" s="154">
        <f t="shared" si="985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93"/>
        <v>47907808.356810622</v>
      </c>
      <c r="AJ3280" s="19">
        <f t="shared" si="994"/>
        <v>6027384.8806384448</v>
      </c>
      <c r="AK3280" s="20">
        <f t="shared" si="986"/>
        <v>0.12581216063459488</v>
      </c>
      <c r="AL3280" s="17"/>
      <c r="AM3280" s="17"/>
      <c r="AN3280" s="17"/>
      <c r="AO3280" s="17"/>
      <c r="AP3280" s="28" t="str">
        <f t="shared" si="987"/>
        <v>20209</v>
      </c>
      <c r="AQ3280" s="28" t="str">
        <f t="shared" si="988"/>
        <v>20209RMB</v>
      </c>
      <c r="AR3280" s="206" t="str">
        <f t="shared" si="989"/>
        <v>YAMAHA_Mounter</v>
      </c>
      <c r="AS3280" s="22">
        <f t="shared" si="990"/>
        <v>1</v>
      </c>
      <c r="AT3280" s="24" t="str">
        <f t="shared" si="991"/>
        <v>0-3 months</v>
      </c>
    </row>
    <row r="3281" spans="1:46" s="12" customFormat="1">
      <c r="A3281" s="33" t="str">
        <f t="shared" si="979"/>
        <v>FY 20/21</v>
      </c>
      <c r="B3281" s="152">
        <v>2020</v>
      </c>
      <c r="C3281" s="152">
        <v>8</v>
      </c>
      <c r="D3281" s="33" t="str">
        <f t="shared" si="980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81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82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77"/>
        <v>966000</v>
      </c>
      <c r="AA3281" s="13">
        <v>1.1299999999999999</v>
      </c>
      <c r="AB3281" s="21">
        <f t="shared" si="983"/>
        <v>966000</v>
      </c>
      <c r="AC3281" s="130">
        <f t="shared" si="984"/>
        <v>99304.8</v>
      </c>
      <c r="AD3281" s="169">
        <v>0.1028</v>
      </c>
      <c r="AE3281" s="154">
        <f t="shared" si="985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93"/>
        <v>47907808.356810622</v>
      </c>
      <c r="AJ3281" s="19">
        <f t="shared" si="994"/>
        <v>6027384.8806384448</v>
      </c>
      <c r="AK3281" s="20">
        <f t="shared" si="986"/>
        <v>0.12581216063459488</v>
      </c>
      <c r="AL3281" s="17"/>
      <c r="AM3281" s="17"/>
      <c r="AN3281" s="17"/>
      <c r="AO3281" s="17"/>
      <c r="AP3281" s="28" t="str">
        <f t="shared" si="987"/>
        <v>20209</v>
      </c>
      <c r="AQ3281" s="28" t="str">
        <f t="shared" si="988"/>
        <v>20209RMB</v>
      </c>
      <c r="AR3281" s="206" t="str">
        <f t="shared" si="989"/>
        <v>YAMAHA_Mounter</v>
      </c>
      <c r="AS3281" s="22">
        <f t="shared" si="990"/>
        <v>1</v>
      </c>
      <c r="AT3281" s="24" t="str">
        <f t="shared" si="991"/>
        <v>0-3 months</v>
      </c>
    </row>
    <row r="3282" spans="1:46" s="12" customFormat="1" ht="28">
      <c r="A3282" s="33" t="str">
        <f t="shared" si="979"/>
        <v>FY 20/21</v>
      </c>
      <c r="B3282" s="152">
        <v>2020</v>
      </c>
      <c r="C3282" s="152">
        <v>8</v>
      </c>
      <c r="D3282" s="33" t="str">
        <f t="shared" si="980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81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82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77"/>
        <v>260200</v>
      </c>
      <c r="AA3282" s="13">
        <v>1.1299999999999999</v>
      </c>
      <c r="AB3282" s="21">
        <f t="shared" si="983"/>
        <v>260200</v>
      </c>
      <c r="AC3282" s="130">
        <f t="shared" si="984"/>
        <v>26748.560000000001</v>
      </c>
      <c r="AD3282" s="169">
        <v>0.1028</v>
      </c>
      <c r="AE3282" s="154">
        <f t="shared" si="985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93"/>
        <v>47907808.356810622</v>
      </c>
      <c r="AJ3282" s="19">
        <f t="shared" si="994"/>
        <v>6027384.8806384448</v>
      </c>
      <c r="AK3282" s="20">
        <f t="shared" si="986"/>
        <v>0.12581216063459488</v>
      </c>
      <c r="AL3282" s="17"/>
      <c r="AM3282" s="17"/>
      <c r="AN3282" s="17"/>
      <c r="AO3282" s="17"/>
      <c r="AP3282" s="28" t="str">
        <f t="shared" si="987"/>
        <v>20209</v>
      </c>
      <c r="AQ3282" s="28" t="str">
        <f t="shared" si="988"/>
        <v>20209RMB</v>
      </c>
      <c r="AR3282" s="206" t="str">
        <f t="shared" si="989"/>
        <v>LOCAL SUPPLIER</v>
      </c>
      <c r="AS3282" s="22">
        <f t="shared" si="990"/>
        <v>1</v>
      </c>
      <c r="AT3282" s="24" t="str">
        <f t="shared" si="991"/>
        <v>0-3 months</v>
      </c>
    </row>
    <row r="3283" spans="1:46" s="12" customFormat="1">
      <c r="A3283" s="33" t="str">
        <f t="shared" si="979"/>
        <v>FY 20/21</v>
      </c>
      <c r="B3283" s="152">
        <v>2020</v>
      </c>
      <c r="C3283" s="152">
        <v>4</v>
      </c>
      <c r="D3283" s="33" t="str">
        <f t="shared" si="980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81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82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77"/>
        <v>670000</v>
      </c>
      <c r="AA3283" s="13">
        <v>1.095</v>
      </c>
      <c r="AB3283" s="21">
        <f t="shared" si="983"/>
        <v>649247.78761061956</v>
      </c>
      <c r="AC3283" s="130">
        <f t="shared" si="984"/>
        <v>87129.053097345153</v>
      </c>
      <c r="AD3283" s="169">
        <v>0.13420000000000001</v>
      </c>
      <c r="AE3283" s="154">
        <f t="shared" si="985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93"/>
        <v>28065694.408805311</v>
      </c>
      <c r="AJ3283" s="19">
        <f t="shared" si="994"/>
        <v>4157433.2906989697</v>
      </c>
      <c r="AK3283" s="20">
        <f t="shared" si="986"/>
        <v>0.14813220831602228</v>
      </c>
      <c r="AL3283" s="17"/>
      <c r="AM3283" s="17"/>
      <c r="AN3283" s="17"/>
      <c r="AO3283" s="17"/>
      <c r="AP3283" s="28" t="str">
        <f t="shared" si="987"/>
        <v>20205</v>
      </c>
      <c r="AQ3283" s="28" t="str">
        <f t="shared" si="988"/>
        <v>20205RMB</v>
      </c>
      <c r="AR3283" s="206" t="str">
        <f t="shared" si="989"/>
        <v>YAMAHA_Mounter</v>
      </c>
      <c r="AS3283" s="22">
        <f t="shared" si="990"/>
        <v>1</v>
      </c>
      <c r="AT3283" s="24" t="str">
        <f t="shared" si="991"/>
        <v>0-3 months</v>
      </c>
    </row>
    <row r="3284" spans="1:46" s="12" customFormat="1">
      <c r="A3284" s="33" t="str">
        <f t="shared" si="979"/>
        <v>FY 22/23</v>
      </c>
      <c r="B3284" s="152">
        <v>2023</v>
      </c>
      <c r="C3284" s="152">
        <v>2</v>
      </c>
      <c r="D3284" s="33" t="str">
        <f t="shared" si="980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81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82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96">IF(W3284="RMB","1.13", "1")</f>
        <v>1.13</v>
      </c>
      <c r="Z3284" s="18">
        <f t="shared" si="977"/>
        <v>1150000</v>
      </c>
      <c r="AA3284" s="13">
        <v>1.105</v>
      </c>
      <c r="AB3284" s="21">
        <f t="shared" si="983"/>
        <v>1124557.522123894</v>
      </c>
      <c r="AC3284" s="130">
        <f t="shared" si="984"/>
        <v>283163.5840707965</v>
      </c>
      <c r="AD3284" s="172">
        <v>0.25180000000000002</v>
      </c>
      <c r="AE3284" s="154">
        <f t="shared" si="985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93"/>
        <v>13640480.497522123</v>
      </c>
      <c r="AJ3284" s="19">
        <f t="shared" si="994"/>
        <v>1928605.8020906283</v>
      </c>
      <c r="AK3284" s="20">
        <f t="shared" si="986"/>
        <v>0.1413884065477731</v>
      </c>
      <c r="AL3284" s="17"/>
      <c r="AM3284" s="17"/>
      <c r="AN3284" s="17"/>
      <c r="AO3284" s="17"/>
      <c r="AP3284" s="28" t="str">
        <f t="shared" si="987"/>
        <v>20236</v>
      </c>
      <c r="AQ3284" s="28" t="str">
        <f t="shared" si="988"/>
        <v>20236RMB</v>
      </c>
      <c r="AR3284" s="206" t="str">
        <f t="shared" si="989"/>
        <v>YAMAHA_Mounter</v>
      </c>
      <c r="AS3284" s="22">
        <f t="shared" si="990"/>
        <v>4</v>
      </c>
      <c r="AT3284" s="24" t="str">
        <f t="shared" si="991"/>
        <v>4-6 months</v>
      </c>
    </row>
    <row r="3285" spans="1:46" s="12" customFormat="1">
      <c r="A3285" s="33" t="str">
        <f t="shared" si="979"/>
        <v>FY 21/22</v>
      </c>
      <c r="B3285" s="152">
        <v>2021</v>
      </c>
      <c r="C3285" s="152">
        <v>12</v>
      </c>
      <c r="D3285" s="33" t="str">
        <f t="shared" si="980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81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82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96"/>
        <v>1</v>
      </c>
      <c r="Z3285" s="18">
        <f t="shared" si="977"/>
        <v>13220000</v>
      </c>
      <c r="AA3285" s="13">
        <v>6.2799999999999995E-2</v>
      </c>
      <c r="AB3285" s="21">
        <f t="shared" si="983"/>
        <v>830215.99999999988</v>
      </c>
      <c r="AC3285" s="130">
        <f t="shared" si="984"/>
        <v>74968.504799999995</v>
      </c>
      <c r="AD3285" s="169">
        <v>9.0300000000000005E-2</v>
      </c>
      <c r="AE3285" s="154">
        <f t="shared" si="985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93"/>
        <v>44014086.982070789</v>
      </c>
      <c r="AJ3285" s="19">
        <f t="shared" si="994"/>
        <v>6419974.0221889298</v>
      </c>
      <c r="AK3285" s="20">
        <f t="shared" si="986"/>
        <v>0.14586180158193709</v>
      </c>
      <c r="AL3285" s="17"/>
      <c r="AM3285" s="17"/>
      <c r="AN3285" s="17"/>
      <c r="AO3285" s="17"/>
      <c r="AP3285" s="28" t="str">
        <f t="shared" si="987"/>
        <v>20225</v>
      </c>
      <c r="AQ3285" s="28" t="str">
        <f t="shared" si="988"/>
        <v>20225JPY</v>
      </c>
      <c r="AR3285" s="206" t="str">
        <f t="shared" si="989"/>
        <v>YAMAHA_Mounter</v>
      </c>
      <c r="AS3285" s="22">
        <f t="shared" si="990"/>
        <v>5</v>
      </c>
      <c r="AT3285" s="24" t="str">
        <f t="shared" si="991"/>
        <v>4-6 months</v>
      </c>
    </row>
    <row r="3286" spans="1:46" s="12" customFormat="1">
      <c r="A3286" s="33" t="str">
        <f t="shared" si="979"/>
        <v>FY 21/22</v>
      </c>
      <c r="B3286" s="152">
        <v>2021</v>
      </c>
      <c r="C3286" s="152">
        <v>12</v>
      </c>
      <c r="D3286" s="33" t="str">
        <f t="shared" si="980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81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si="982"/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96"/>
        <v>1</v>
      </c>
      <c r="Z3286" s="18">
        <f t="shared" si="977"/>
        <v>13220000</v>
      </c>
      <c r="AA3286" s="13">
        <v>6.2799999999999995E-2</v>
      </c>
      <c r="AB3286" s="21">
        <f t="shared" si="983"/>
        <v>830215.99999999988</v>
      </c>
      <c r="AC3286" s="130">
        <f t="shared" si="984"/>
        <v>74968.504799999995</v>
      </c>
      <c r="AD3286" s="169">
        <v>9.0300000000000005E-2</v>
      </c>
      <c r="AE3286" s="154">
        <f t="shared" si="985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93"/>
        <v>44014086.982070789</v>
      </c>
      <c r="AJ3286" s="19">
        <f t="shared" si="994"/>
        <v>6419974.0221889298</v>
      </c>
      <c r="AK3286" s="20">
        <f t="shared" si="986"/>
        <v>0.14586180158193709</v>
      </c>
      <c r="AL3286" s="17"/>
      <c r="AM3286" s="17"/>
      <c r="AN3286" s="17"/>
      <c r="AO3286" s="17"/>
      <c r="AP3286" s="28" t="str">
        <f t="shared" si="987"/>
        <v>20225</v>
      </c>
      <c r="AQ3286" s="28" t="str">
        <f t="shared" si="988"/>
        <v>20225JPY</v>
      </c>
      <c r="AR3286" s="206" t="str">
        <f t="shared" si="989"/>
        <v>YAMAHA_Mounter</v>
      </c>
      <c r="AS3286" s="22">
        <f t="shared" si="990"/>
        <v>5</v>
      </c>
      <c r="AT3286" s="24" t="str">
        <f t="shared" si="991"/>
        <v>4-6 months</v>
      </c>
    </row>
    <row r="3287" spans="1:46" s="12" customFormat="1">
      <c r="A3287" s="33" t="str">
        <f t="shared" si="979"/>
        <v>FY 21/22</v>
      </c>
      <c r="B3287" s="152">
        <v>2021</v>
      </c>
      <c r="C3287" s="152">
        <v>12</v>
      </c>
      <c r="D3287" s="33" t="str">
        <f t="shared" si="980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81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2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96"/>
        <v>1</v>
      </c>
      <c r="Z3287" s="18">
        <f t="shared" si="977"/>
        <v>13220000</v>
      </c>
      <c r="AA3287" s="13">
        <v>6.2799999999999995E-2</v>
      </c>
      <c r="AB3287" s="21">
        <f t="shared" si="983"/>
        <v>830215.99999999988</v>
      </c>
      <c r="AC3287" s="130">
        <f t="shared" si="984"/>
        <v>74968.504799999995</v>
      </c>
      <c r="AD3287" s="169">
        <v>9.0300000000000005E-2</v>
      </c>
      <c r="AE3287" s="154">
        <f t="shared" si="985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93"/>
        <v>44014086.982070789</v>
      </c>
      <c r="AJ3287" s="19">
        <f t="shared" si="994"/>
        <v>6419974.0221889298</v>
      </c>
      <c r="AK3287" s="20">
        <f t="shared" si="986"/>
        <v>0.14586180158193709</v>
      </c>
      <c r="AL3287" s="17"/>
      <c r="AM3287" s="17"/>
      <c r="AN3287" s="17"/>
      <c r="AO3287" s="17"/>
      <c r="AP3287" s="28" t="str">
        <f t="shared" si="987"/>
        <v>20225</v>
      </c>
      <c r="AQ3287" s="28" t="str">
        <f t="shared" si="988"/>
        <v>20225JPY</v>
      </c>
      <c r="AR3287" s="206" t="str">
        <f t="shared" si="989"/>
        <v>YAMAHA_Mounter</v>
      </c>
      <c r="AS3287" s="22">
        <f t="shared" si="990"/>
        <v>5</v>
      </c>
      <c r="AT3287" s="24" t="str">
        <f t="shared" si="991"/>
        <v>4-6 months</v>
      </c>
    </row>
    <row r="3288" spans="1:46" s="12" customFormat="1">
      <c r="A3288" s="33" t="str">
        <f t="shared" si="979"/>
        <v>FY 21/22</v>
      </c>
      <c r="B3288" s="152">
        <v>2021</v>
      </c>
      <c r="C3288" s="152">
        <v>12</v>
      </c>
      <c r="D3288" s="33" t="str">
        <f t="shared" si="980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81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2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96"/>
        <v>1</v>
      </c>
      <c r="Z3288" s="18">
        <f t="shared" si="977"/>
        <v>13220000</v>
      </c>
      <c r="AA3288" s="13">
        <v>6.2799999999999995E-2</v>
      </c>
      <c r="AB3288" s="21">
        <f t="shared" si="983"/>
        <v>830215.99999999988</v>
      </c>
      <c r="AC3288" s="130">
        <f t="shared" si="984"/>
        <v>74968.504799999995</v>
      </c>
      <c r="AD3288" s="169">
        <v>9.0300000000000005E-2</v>
      </c>
      <c r="AE3288" s="154">
        <f t="shared" si="985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93"/>
        <v>44014086.982070789</v>
      </c>
      <c r="AJ3288" s="19">
        <f t="shared" si="994"/>
        <v>6419974.0221889298</v>
      </c>
      <c r="AK3288" s="20">
        <f t="shared" si="986"/>
        <v>0.14586180158193709</v>
      </c>
      <c r="AL3288" s="17"/>
      <c r="AM3288" s="17"/>
      <c r="AN3288" s="17"/>
      <c r="AO3288" s="17"/>
      <c r="AP3288" s="28" t="str">
        <f t="shared" si="987"/>
        <v>20225</v>
      </c>
      <c r="AQ3288" s="28" t="str">
        <f t="shared" si="988"/>
        <v>20225JPY</v>
      </c>
      <c r="AR3288" s="206" t="str">
        <f t="shared" si="989"/>
        <v>YAMAHA_Mounter</v>
      </c>
      <c r="AS3288" s="22">
        <f t="shared" si="990"/>
        <v>5</v>
      </c>
      <c r="AT3288" s="24" t="str">
        <f t="shared" si="991"/>
        <v>4-6 months</v>
      </c>
    </row>
    <row r="3289" spans="1:46" s="12" customFormat="1">
      <c r="A3289" s="33" t="str">
        <f t="shared" si="979"/>
        <v>FY 22/23</v>
      </c>
      <c r="B3289" s="152">
        <v>2023</v>
      </c>
      <c r="C3289" s="152">
        <v>1</v>
      </c>
      <c r="D3289" s="33" t="str">
        <f t="shared" si="980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81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2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96"/>
        <v>1.13</v>
      </c>
      <c r="Z3289" s="18">
        <f t="shared" si="977"/>
        <v>776666</v>
      </c>
      <c r="AA3289" s="13">
        <v>1.1599999999999999</v>
      </c>
      <c r="AB3289" s="21">
        <f t="shared" si="983"/>
        <v>797285.45132743369</v>
      </c>
      <c r="AC3289" s="130">
        <f t="shared" si="984"/>
        <v>72313.790435398245</v>
      </c>
      <c r="AD3289" s="172">
        <v>9.0700000000000003E-2</v>
      </c>
      <c r="AE3289" s="154">
        <f t="shared" si="985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93"/>
        <v>21045012.884955753</v>
      </c>
      <c r="AJ3289" s="19">
        <f t="shared" si="994"/>
        <v>2650260.9603327443</v>
      </c>
      <c r="AK3289" s="20">
        <f t="shared" si="986"/>
        <v>0.12593296924172048</v>
      </c>
      <c r="AL3289" s="17"/>
      <c r="AM3289" s="17"/>
      <c r="AN3289" s="17"/>
      <c r="AO3289" s="17" t="s">
        <v>2412</v>
      </c>
      <c r="AP3289" s="28" t="str">
        <f t="shared" si="987"/>
        <v>20232</v>
      </c>
      <c r="AQ3289" s="28" t="str">
        <f t="shared" si="988"/>
        <v>20232RMB</v>
      </c>
      <c r="AR3289" s="206" t="str">
        <f t="shared" si="989"/>
        <v>YAMAHA_Mounter</v>
      </c>
      <c r="AS3289" s="22">
        <f t="shared" si="990"/>
        <v>1</v>
      </c>
      <c r="AT3289" s="24" t="str">
        <f t="shared" si="991"/>
        <v>0-3 months</v>
      </c>
    </row>
    <row r="3290" spans="1:46" s="12" customFormat="1">
      <c r="A3290" s="33" t="str">
        <f t="shared" si="979"/>
        <v>FY 22/23</v>
      </c>
      <c r="B3290" s="152">
        <v>2023</v>
      </c>
      <c r="C3290" s="152">
        <v>1</v>
      </c>
      <c r="D3290" s="33" t="str">
        <f t="shared" si="980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81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2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96"/>
        <v>1.13</v>
      </c>
      <c r="Z3290" s="18">
        <f t="shared" si="977"/>
        <v>776666</v>
      </c>
      <c r="AA3290" s="13">
        <v>1.1599999999999999</v>
      </c>
      <c r="AB3290" s="21">
        <f t="shared" si="983"/>
        <v>797285.45132743369</v>
      </c>
      <c r="AC3290" s="130">
        <f t="shared" si="984"/>
        <v>72313.790435398245</v>
      </c>
      <c r="AD3290" s="169">
        <v>9.0700000000000003E-2</v>
      </c>
      <c r="AE3290" s="154">
        <f t="shared" si="985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93"/>
        <v>21045012.884955753</v>
      </c>
      <c r="AJ3290" s="19">
        <f t="shared" si="994"/>
        <v>2650260.9603327443</v>
      </c>
      <c r="AK3290" s="20">
        <f t="shared" si="986"/>
        <v>0.12593296924172048</v>
      </c>
      <c r="AL3290" s="17"/>
      <c r="AM3290" s="17"/>
      <c r="AN3290" s="17"/>
      <c r="AO3290" s="17" t="s">
        <v>2412</v>
      </c>
      <c r="AP3290" s="28" t="str">
        <f t="shared" si="987"/>
        <v>20232</v>
      </c>
      <c r="AQ3290" s="28" t="str">
        <f t="shared" si="988"/>
        <v>20232RMB</v>
      </c>
      <c r="AR3290" s="206" t="str">
        <f t="shared" si="989"/>
        <v>YAMAHA_Mounter</v>
      </c>
      <c r="AS3290" s="22">
        <f t="shared" si="990"/>
        <v>1</v>
      </c>
      <c r="AT3290" s="24" t="str">
        <f t="shared" si="991"/>
        <v>0-3 months</v>
      </c>
    </row>
    <row r="3291" spans="1:46" s="12" customFormat="1">
      <c r="A3291" s="33" t="str">
        <f t="shared" si="979"/>
        <v>FY 22/23</v>
      </c>
      <c r="B3291" s="152">
        <v>2023</v>
      </c>
      <c r="C3291" s="152">
        <v>1</v>
      </c>
      <c r="D3291" s="33" t="str">
        <f t="shared" si="980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81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2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96"/>
        <v>1.13</v>
      </c>
      <c r="Z3291" s="18">
        <f t="shared" si="977"/>
        <v>776666</v>
      </c>
      <c r="AA3291" s="13">
        <v>1.1599999999999999</v>
      </c>
      <c r="AB3291" s="21">
        <f t="shared" si="983"/>
        <v>797285.45132743369</v>
      </c>
      <c r="AC3291" s="130">
        <f t="shared" si="984"/>
        <v>72313.790435398245</v>
      </c>
      <c r="AD3291" s="169">
        <v>9.0700000000000003E-2</v>
      </c>
      <c r="AE3291" s="154">
        <f t="shared" si="985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93"/>
        <v>21045012.884955753</v>
      </c>
      <c r="AJ3291" s="19">
        <f t="shared" si="994"/>
        <v>2650260.9603327443</v>
      </c>
      <c r="AK3291" s="20">
        <f t="shared" si="986"/>
        <v>0.12593296924172048</v>
      </c>
      <c r="AL3291" s="17"/>
      <c r="AM3291" s="17"/>
      <c r="AN3291" s="17"/>
      <c r="AO3291" s="17" t="s">
        <v>2412</v>
      </c>
      <c r="AP3291" s="28" t="str">
        <f t="shared" si="987"/>
        <v>20232</v>
      </c>
      <c r="AQ3291" s="28" t="str">
        <f t="shared" si="988"/>
        <v>20232RMB</v>
      </c>
      <c r="AR3291" s="206" t="str">
        <f t="shared" si="989"/>
        <v>YAMAHA_Mounter</v>
      </c>
      <c r="AS3291" s="22">
        <f t="shared" si="990"/>
        <v>1</v>
      </c>
      <c r="AT3291" s="24" t="str">
        <f t="shared" si="991"/>
        <v>0-3 months</v>
      </c>
    </row>
    <row r="3292" spans="1:46" s="12" customFormat="1">
      <c r="A3292" s="33" t="str">
        <f t="shared" si="979"/>
        <v>FY 21/22</v>
      </c>
      <c r="B3292" s="152">
        <v>2021</v>
      </c>
      <c r="C3292" s="152">
        <v>4</v>
      </c>
      <c r="D3292" s="33" t="str">
        <f t="shared" si="980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81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2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96"/>
        <v>1.13</v>
      </c>
      <c r="Z3292" s="18">
        <f t="shared" si="977"/>
        <v>906000</v>
      </c>
      <c r="AA3292" s="13">
        <v>1.2</v>
      </c>
      <c r="AB3292" s="21">
        <f t="shared" si="983"/>
        <v>962123.89380530978</v>
      </c>
      <c r="AC3292" s="130">
        <f t="shared" si="984"/>
        <v>101792.70796460178</v>
      </c>
      <c r="AD3292" s="169">
        <v>0.10580000000000001</v>
      </c>
      <c r="AE3292" s="154">
        <f t="shared" si="985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93"/>
        <v>47458373.787610628</v>
      </c>
      <c r="AJ3292" s="19">
        <f t="shared" si="994"/>
        <v>7436880.1411522133</v>
      </c>
      <c r="AK3292" s="20">
        <f t="shared" si="986"/>
        <v>0.15670322321692506</v>
      </c>
      <c r="AL3292" s="17"/>
      <c r="AM3292" s="17"/>
      <c r="AN3292" s="17"/>
      <c r="AO3292" s="17"/>
      <c r="AP3292" s="28" t="str">
        <f t="shared" si="987"/>
        <v>20218</v>
      </c>
      <c r="AQ3292" s="28" t="str">
        <f t="shared" si="988"/>
        <v>20218RMB</v>
      </c>
      <c r="AR3292" s="206" t="str">
        <f t="shared" si="989"/>
        <v>YAMAHA_Mounter</v>
      </c>
      <c r="AS3292" s="22">
        <f t="shared" si="990"/>
        <v>4</v>
      </c>
      <c r="AT3292" s="24" t="str">
        <f t="shared" si="991"/>
        <v>4-6 months</v>
      </c>
    </row>
    <row r="3293" spans="1:46" s="12" customFormat="1">
      <c r="A3293" s="33" t="str">
        <f t="shared" si="979"/>
        <v>FY 20/21</v>
      </c>
      <c r="B3293" s="152">
        <v>2020</v>
      </c>
      <c r="C3293" s="152">
        <v>7</v>
      </c>
      <c r="D3293" s="33" t="str">
        <f t="shared" si="980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81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2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96"/>
        <v>1.13</v>
      </c>
      <c r="Z3293" s="18">
        <f t="shared" si="977"/>
        <v>400000</v>
      </c>
      <c r="AA3293" s="13">
        <v>1.1299999999999999</v>
      </c>
      <c r="AB3293" s="21">
        <f t="shared" si="983"/>
        <v>400000</v>
      </c>
      <c r="AC3293" s="130">
        <f t="shared" si="984"/>
        <v>64400</v>
      </c>
      <c r="AD3293" s="169">
        <v>0.161</v>
      </c>
      <c r="AE3293" s="154">
        <f t="shared" si="985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93"/>
        <v>47907808.356810622</v>
      </c>
      <c r="AJ3293" s="19">
        <f t="shared" si="994"/>
        <v>6027384.8806384448</v>
      </c>
      <c r="AK3293" s="20">
        <f t="shared" si="986"/>
        <v>0.12581216063459488</v>
      </c>
      <c r="AL3293" s="17"/>
      <c r="AM3293" s="17"/>
      <c r="AN3293" s="17"/>
      <c r="AO3293" s="17"/>
      <c r="AP3293" s="28" t="str">
        <f t="shared" si="987"/>
        <v>20209</v>
      </c>
      <c r="AQ3293" s="28" t="str">
        <f t="shared" si="988"/>
        <v>20209RMB</v>
      </c>
      <c r="AR3293" s="206" t="str">
        <f t="shared" si="989"/>
        <v>SHIMADZU</v>
      </c>
      <c r="AS3293" s="22">
        <f t="shared" si="990"/>
        <v>2</v>
      </c>
      <c r="AT3293" s="24" t="str">
        <f t="shared" si="991"/>
        <v>0-3 months</v>
      </c>
    </row>
    <row r="3294" spans="1:46" s="12" customFormat="1">
      <c r="A3294" s="33" t="str">
        <f t="shared" si="979"/>
        <v>FY 20/21</v>
      </c>
      <c r="B3294" s="152">
        <v>2020</v>
      </c>
      <c r="C3294" s="152">
        <v>7</v>
      </c>
      <c r="D3294" s="33" t="str">
        <f t="shared" si="980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81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2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96"/>
        <v>1.13</v>
      </c>
      <c r="Z3294" s="18">
        <f t="shared" ref="Z3294:Z3357" si="997">IF(X3294="","",X3294*MAX(O3294,N3294))</f>
        <v>1400000</v>
      </c>
      <c r="AA3294" s="13">
        <v>1.1299999999999999</v>
      </c>
      <c r="AB3294" s="21">
        <f t="shared" si="983"/>
        <v>1400000</v>
      </c>
      <c r="AC3294" s="130">
        <f t="shared" si="984"/>
        <v>227359.99999999997</v>
      </c>
      <c r="AD3294" s="169">
        <v>0.16239999999999999</v>
      </c>
      <c r="AE3294" s="154">
        <f t="shared" si="985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93"/>
        <v>47907808.356810622</v>
      </c>
      <c r="AJ3294" s="19">
        <f t="shared" si="994"/>
        <v>6027384.8806384448</v>
      </c>
      <c r="AK3294" s="20">
        <f t="shared" si="986"/>
        <v>0.12581216063459488</v>
      </c>
      <c r="AL3294" s="17"/>
      <c r="AM3294" s="17"/>
      <c r="AN3294" s="17"/>
      <c r="AO3294" s="17"/>
      <c r="AP3294" s="28" t="str">
        <f t="shared" si="987"/>
        <v>20209</v>
      </c>
      <c r="AQ3294" s="28" t="str">
        <f t="shared" si="988"/>
        <v>20209RMB</v>
      </c>
      <c r="AR3294" s="206" t="str">
        <f t="shared" si="989"/>
        <v>SHIMADZU</v>
      </c>
      <c r="AS3294" s="22">
        <f t="shared" si="990"/>
        <v>2</v>
      </c>
      <c r="AT3294" s="24" t="str">
        <f t="shared" si="991"/>
        <v>0-3 months</v>
      </c>
    </row>
    <row r="3295" spans="1:46" s="12" customFormat="1">
      <c r="A3295" s="33" t="str">
        <f t="shared" si="979"/>
        <v>FY 20/21</v>
      </c>
      <c r="B3295" s="152">
        <v>2020</v>
      </c>
      <c r="C3295" s="152">
        <v>4</v>
      </c>
      <c r="D3295" s="33" t="str">
        <f t="shared" si="980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81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2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97"/>
        <v>1050000</v>
      </c>
      <c r="AA3295" s="13">
        <v>1.095</v>
      </c>
      <c r="AB3295" s="21">
        <f t="shared" si="983"/>
        <v>1017477.8761061948</v>
      </c>
      <c r="AC3295" s="130">
        <f t="shared" si="984"/>
        <v>155063.62831858409</v>
      </c>
      <c r="AD3295" s="169">
        <v>0.15240000000000001</v>
      </c>
      <c r="AE3295" s="154">
        <f t="shared" si="985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93"/>
        <v>28065694.408805311</v>
      </c>
      <c r="AJ3295" s="19">
        <f t="shared" si="994"/>
        <v>4157433.2906989697</v>
      </c>
      <c r="AK3295" s="20">
        <f t="shared" si="986"/>
        <v>0.14813220831602228</v>
      </c>
      <c r="AL3295" s="17"/>
      <c r="AM3295" s="17"/>
      <c r="AN3295" s="17"/>
      <c r="AO3295" s="17" t="s">
        <v>1287</v>
      </c>
      <c r="AP3295" s="28" t="str">
        <f t="shared" si="987"/>
        <v>20205</v>
      </c>
      <c r="AQ3295" s="28" t="str">
        <f t="shared" si="988"/>
        <v>20205RMB</v>
      </c>
      <c r="AR3295" s="206" t="str">
        <f t="shared" si="989"/>
        <v>YAMAHA_Mounter</v>
      </c>
      <c r="AS3295" s="22">
        <f t="shared" si="990"/>
        <v>1</v>
      </c>
      <c r="AT3295" s="24" t="str">
        <f t="shared" si="991"/>
        <v>0-3 months</v>
      </c>
    </row>
    <row r="3296" spans="1:46" s="12" customFormat="1">
      <c r="A3296" s="33" t="str">
        <f t="shared" si="979"/>
        <v>FY 20/21</v>
      </c>
      <c r="B3296" s="152">
        <v>2020</v>
      </c>
      <c r="C3296" s="152">
        <v>4</v>
      </c>
      <c r="D3296" s="33" t="str">
        <f t="shared" si="980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81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2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97"/>
        <v>700000</v>
      </c>
      <c r="AA3296" s="13">
        <v>1.095</v>
      </c>
      <c r="AB3296" s="21">
        <f t="shared" si="983"/>
        <v>678318.5840707965</v>
      </c>
      <c r="AC3296" s="130">
        <f t="shared" si="984"/>
        <v>103375.75221238939</v>
      </c>
      <c r="AD3296" s="169">
        <v>0.15240000000000001</v>
      </c>
      <c r="AE3296" s="154">
        <f t="shared" si="985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93"/>
        <v>28065694.408805311</v>
      </c>
      <c r="AJ3296" s="19">
        <f t="shared" si="994"/>
        <v>4157433.2906989697</v>
      </c>
      <c r="AK3296" s="20">
        <f t="shared" si="986"/>
        <v>0.14813220831602228</v>
      </c>
      <c r="AL3296" s="17"/>
      <c r="AM3296" s="17"/>
      <c r="AN3296" s="17"/>
      <c r="AO3296" s="17" t="s">
        <v>1287</v>
      </c>
      <c r="AP3296" s="28" t="str">
        <f t="shared" si="987"/>
        <v>20205</v>
      </c>
      <c r="AQ3296" s="28" t="str">
        <f t="shared" si="988"/>
        <v>20205RMB</v>
      </c>
      <c r="AR3296" s="206" t="str">
        <f t="shared" si="989"/>
        <v>YAMAHA_Mounter</v>
      </c>
      <c r="AS3296" s="22">
        <f t="shared" si="990"/>
        <v>1</v>
      </c>
      <c r="AT3296" s="24" t="str">
        <f t="shared" si="991"/>
        <v>0-3 months</v>
      </c>
    </row>
    <row r="3297" spans="1:46" s="12" customFormat="1">
      <c r="A3297" s="33" t="str">
        <f t="shared" si="979"/>
        <v>FY 20/21</v>
      </c>
      <c r="B3297" s="152">
        <v>2020</v>
      </c>
      <c r="C3297" s="152">
        <v>7</v>
      </c>
      <c r="D3297" s="33" t="str">
        <f t="shared" si="980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81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2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97"/>
        <v>14000000</v>
      </c>
      <c r="AA3297" s="13">
        <v>7.4899999999999994E-2</v>
      </c>
      <c r="AB3297" s="21">
        <f t="shared" si="983"/>
        <v>1048600</v>
      </c>
      <c r="AC3297" s="130">
        <f t="shared" si="984"/>
        <v>159072.62</v>
      </c>
      <c r="AD3297" s="169">
        <v>0.1517</v>
      </c>
      <c r="AE3297" s="154">
        <f t="shared" si="985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93"/>
        <v>47907808.356810622</v>
      </c>
      <c r="AJ3297" s="19">
        <f t="shared" si="994"/>
        <v>6027384.8806384448</v>
      </c>
      <c r="AK3297" s="20">
        <f t="shared" si="986"/>
        <v>0.12581216063459488</v>
      </c>
      <c r="AL3297" s="17"/>
      <c r="AM3297" s="17"/>
      <c r="AN3297" s="17"/>
      <c r="AO3297" s="17"/>
      <c r="AP3297" s="28" t="str">
        <f t="shared" si="987"/>
        <v>20209</v>
      </c>
      <c r="AQ3297" s="28" t="str">
        <f t="shared" si="988"/>
        <v>20209JPY</v>
      </c>
      <c r="AR3297" s="206" t="str">
        <f t="shared" si="989"/>
        <v>YAMAHA_Mounter</v>
      </c>
      <c r="AS3297" s="22">
        <f t="shared" si="990"/>
        <v>2</v>
      </c>
      <c r="AT3297" s="24" t="str">
        <f t="shared" si="991"/>
        <v>0-3 months</v>
      </c>
    </row>
    <row r="3298" spans="1:46" s="12" customFormat="1">
      <c r="A3298" s="33" t="str">
        <f t="shared" si="979"/>
        <v>FY 20/21</v>
      </c>
      <c r="B3298" s="152">
        <v>2020</v>
      </c>
      <c r="C3298" s="152">
        <v>7</v>
      </c>
      <c r="D3298" s="33" t="str">
        <f t="shared" si="980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81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2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97"/>
        <v>10000000</v>
      </c>
      <c r="AA3298" s="13">
        <v>7.4899999999999994E-2</v>
      </c>
      <c r="AB3298" s="21">
        <f t="shared" si="983"/>
        <v>749000</v>
      </c>
      <c r="AC3298" s="130">
        <f t="shared" si="984"/>
        <v>113623.3</v>
      </c>
      <c r="AD3298" s="169">
        <v>0.1517</v>
      </c>
      <c r="AE3298" s="154">
        <f t="shared" si="985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93"/>
        <v>47907808.356810622</v>
      </c>
      <c r="AJ3298" s="19">
        <f t="shared" si="994"/>
        <v>6027384.8806384448</v>
      </c>
      <c r="AK3298" s="20">
        <f t="shared" si="986"/>
        <v>0.12581216063459488</v>
      </c>
      <c r="AL3298" s="17"/>
      <c r="AM3298" s="17"/>
      <c r="AN3298" s="17"/>
      <c r="AO3298" s="17"/>
      <c r="AP3298" s="28" t="str">
        <f t="shared" si="987"/>
        <v>20209</v>
      </c>
      <c r="AQ3298" s="28" t="str">
        <f t="shared" si="988"/>
        <v>20209JPY</v>
      </c>
      <c r="AR3298" s="206" t="str">
        <f t="shared" si="989"/>
        <v>YAMAHA_Mounter</v>
      </c>
      <c r="AS3298" s="22">
        <f t="shared" si="990"/>
        <v>2</v>
      </c>
      <c r="AT3298" s="24" t="str">
        <f t="shared" si="991"/>
        <v>0-3 months</v>
      </c>
    </row>
    <row r="3299" spans="1:46" s="12" customFormat="1">
      <c r="A3299" s="33" t="str">
        <f t="shared" si="979"/>
        <v>FY 20/21</v>
      </c>
      <c r="B3299" s="152">
        <v>2020</v>
      </c>
      <c r="C3299" s="152">
        <v>8</v>
      </c>
      <c r="D3299" s="33" t="str">
        <f t="shared" si="980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81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2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97"/>
        <v>12545000</v>
      </c>
      <c r="AA3299" s="13">
        <v>7.4899999999999994E-2</v>
      </c>
      <c r="AB3299" s="21">
        <f t="shared" si="983"/>
        <v>939620.49999999988</v>
      </c>
      <c r="AC3299" s="130">
        <f t="shared" si="984"/>
        <v>115197.47329999998</v>
      </c>
      <c r="AD3299" s="172">
        <v>0.1226</v>
      </c>
      <c r="AE3299" s="154">
        <f t="shared" si="985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93"/>
        <v>47907808.356810622</v>
      </c>
      <c r="AJ3299" s="19">
        <f t="shared" si="994"/>
        <v>6027384.8806384448</v>
      </c>
      <c r="AK3299" s="20">
        <f t="shared" si="986"/>
        <v>0.12581216063459488</v>
      </c>
      <c r="AL3299" s="17"/>
      <c r="AM3299" s="17"/>
      <c r="AN3299" s="17"/>
      <c r="AO3299" s="17"/>
      <c r="AP3299" s="28" t="str">
        <f t="shared" si="987"/>
        <v>20209</v>
      </c>
      <c r="AQ3299" s="28" t="str">
        <f t="shared" si="988"/>
        <v>20209JPY</v>
      </c>
      <c r="AR3299" s="206" t="str">
        <f t="shared" si="989"/>
        <v>YAMAHA_Mounter</v>
      </c>
      <c r="AS3299" s="22">
        <f t="shared" si="990"/>
        <v>1</v>
      </c>
      <c r="AT3299" s="24" t="str">
        <f t="shared" si="991"/>
        <v>0-3 months</v>
      </c>
    </row>
    <row r="3300" spans="1:46" s="12" customFormat="1">
      <c r="A3300" s="33" t="str">
        <f t="shared" si="979"/>
        <v>FY 20/21</v>
      </c>
      <c r="B3300" s="152">
        <v>2020</v>
      </c>
      <c r="C3300" s="152">
        <v>11</v>
      </c>
      <c r="D3300" s="33" t="str">
        <f t="shared" si="980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81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2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97"/>
        <v>12000000</v>
      </c>
      <c r="AA3300" s="13">
        <v>7.5700000000000003E-2</v>
      </c>
      <c r="AB3300" s="21">
        <f t="shared" si="983"/>
        <v>908400</v>
      </c>
      <c r="AC3300" s="130">
        <f t="shared" si="984"/>
        <v>109371.36</v>
      </c>
      <c r="AD3300" s="169">
        <v>0.12039999999999999</v>
      </c>
      <c r="AE3300" s="154">
        <f t="shared" si="985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93"/>
        <v>31097187.02948761</v>
      </c>
      <c r="AJ3300" s="19">
        <f t="shared" si="994"/>
        <v>3892353.6644401965</v>
      </c>
      <c r="AK3300" s="20">
        <f t="shared" si="986"/>
        <v>0.12516738767237401</v>
      </c>
      <c r="AL3300" s="17"/>
      <c r="AM3300" s="17"/>
      <c r="AN3300" s="17"/>
      <c r="AO3300" s="17"/>
      <c r="AP3300" s="28" t="str">
        <f t="shared" si="987"/>
        <v>20212</v>
      </c>
      <c r="AQ3300" s="28" t="str">
        <f t="shared" si="988"/>
        <v>20212JPY</v>
      </c>
      <c r="AR3300" s="206" t="str">
        <f t="shared" si="989"/>
        <v>YAMAHA_Mounter</v>
      </c>
      <c r="AS3300" s="22">
        <f t="shared" si="990"/>
        <v>3</v>
      </c>
      <c r="AT3300" s="24" t="str">
        <f t="shared" si="991"/>
        <v>0-3 months</v>
      </c>
    </row>
    <row r="3301" spans="1:46" s="12" customFormat="1">
      <c r="A3301" s="33" t="str">
        <f t="shared" si="979"/>
        <v>FY 23/24</v>
      </c>
      <c r="B3301" s="23">
        <v>2024</v>
      </c>
      <c r="C3301" s="152">
        <v>1</v>
      </c>
      <c r="D3301" s="33" t="str">
        <f t="shared" si="980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81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2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97"/>
        <v>12660000</v>
      </c>
      <c r="AA3301" s="22">
        <v>5.4100000000000002E-2</v>
      </c>
      <c r="AB3301" s="21">
        <f t="shared" si="983"/>
        <v>684906</v>
      </c>
      <c r="AC3301" s="25">
        <f t="shared" si="984"/>
        <v>55956.820199999995</v>
      </c>
      <c r="AD3301" s="172">
        <v>8.1699999999999995E-2</v>
      </c>
      <c r="AE3301" s="26">
        <f t="shared" si="985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93"/>
        <v>10524262.405309737</v>
      </c>
      <c r="AJ3301" s="27">
        <f t="shared" si="994"/>
        <v>1479050.9527127435</v>
      </c>
      <c r="AK3301" s="28">
        <f t="shared" si="986"/>
        <v>0.14053725532028996</v>
      </c>
      <c r="AL3301" s="24"/>
      <c r="AM3301" s="24"/>
      <c r="AN3301" s="24"/>
      <c r="AO3301" s="24"/>
      <c r="AP3301" s="28" t="str">
        <f t="shared" si="987"/>
        <v>20242</v>
      </c>
      <c r="AQ3301" s="28" t="str">
        <f t="shared" si="988"/>
        <v>20242JPY</v>
      </c>
      <c r="AR3301" s="206" t="str">
        <f t="shared" si="989"/>
        <v>YAMAHA_Mounter</v>
      </c>
      <c r="AS3301" s="22">
        <f t="shared" si="990"/>
        <v>1</v>
      </c>
      <c r="AT3301" s="24" t="str">
        <f t="shared" si="991"/>
        <v>0-3 months</v>
      </c>
    </row>
    <row r="3302" spans="1:46" s="12" customFormat="1">
      <c r="A3302" s="33" t="str">
        <f t="shared" si="979"/>
        <v>FY 23/24</v>
      </c>
      <c r="B3302" s="23">
        <v>2024</v>
      </c>
      <c r="C3302" s="152">
        <v>3</v>
      </c>
      <c r="D3302" s="33" t="str">
        <f t="shared" si="980"/>
        <v>Q4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4</v>
      </c>
      <c r="H3302" s="29"/>
      <c r="I3302" s="33" t="str">
        <f t="shared" si="981"/>
        <v>Q1</v>
      </c>
      <c r="J3302" s="188" t="s">
        <v>3320</v>
      </c>
      <c r="K3302" s="29" t="s">
        <v>1548</v>
      </c>
      <c r="L3302" s="17" t="s">
        <v>68</v>
      </c>
      <c r="M3302" s="13" t="s">
        <v>61</v>
      </c>
      <c r="N3302" s="22">
        <v>1</v>
      </c>
      <c r="O3302" s="22"/>
      <c r="P3302" s="33" t="str">
        <f t="shared" si="982"/>
        <v>MAIN UNIT</v>
      </c>
      <c r="Q3302" s="13" t="s">
        <v>62</v>
      </c>
      <c r="R3302" s="22" t="s">
        <v>63</v>
      </c>
      <c r="S3302" s="22" t="s">
        <v>50</v>
      </c>
      <c r="T3302" s="22" t="s">
        <v>79</v>
      </c>
      <c r="U3302" s="22" t="s">
        <v>79</v>
      </c>
      <c r="V3302" s="22" t="s">
        <v>127</v>
      </c>
      <c r="W3302" s="22" t="s">
        <v>110</v>
      </c>
      <c r="X3302" s="30">
        <v>8050000</v>
      </c>
      <c r="Y3302" s="31" t="str">
        <f>IF(W3302="","",IF(W3302="RMB","1.13", "1"))</f>
        <v>1</v>
      </c>
      <c r="Z3302" s="18">
        <f t="shared" si="997"/>
        <v>8050000</v>
      </c>
      <c r="AA3302" s="13">
        <v>5.2699999999999997E-2</v>
      </c>
      <c r="AB3302" s="21">
        <f t="shared" si="983"/>
        <v>424235</v>
      </c>
      <c r="AC3302" s="25">
        <f t="shared" si="984"/>
        <v>41532.606500000002</v>
      </c>
      <c r="AD3302" s="169">
        <v>9.7900000000000001E-2</v>
      </c>
      <c r="AE3302" s="26">
        <f t="shared" si="985"/>
        <v>0</v>
      </c>
      <c r="AF3302" s="26" t="str">
        <f>IF(AND(COUNTIFS($J$18:J3302,J3302)=1,AE3302=1),1,"")</f>
        <v/>
      </c>
      <c r="AG3302" s="26">
        <f>IF(C3302="","",IF(AND(COUNTIFS($J$18:J3302,J3302)=1,C3302&lt;&gt;""),1,""))</f>
        <v>1</v>
      </c>
      <c r="AH3302" s="26">
        <f>IF(G3302="","",IF(AND(COUNTIFS($J$18:J3302,J3302)=1,G3302&lt;&gt;""),1,""))</f>
        <v>1</v>
      </c>
      <c r="AI3302" s="27">
        <f t="shared" si="993"/>
        <v>20319282.700884953</v>
      </c>
      <c r="AJ3302" s="27">
        <f t="shared" si="994"/>
        <v>2408851.9638623013</v>
      </c>
      <c r="AK3302" s="28">
        <f t="shared" si="986"/>
        <v>0.11855004919821259</v>
      </c>
      <c r="AL3302" s="24"/>
      <c r="AM3302" s="24"/>
      <c r="AN3302" s="24"/>
      <c r="AO3302" s="24"/>
      <c r="AP3302" s="28" t="str">
        <f t="shared" si="987"/>
        <v>20244</v>
      </c>
      <c r="AQ3302" s="28" t="str">
        <f t="shared" si="988"/>
        <v>20244JPY</v>
      </c>
      <c r="AR3302" s="206" t="str">
        <f t="shared" si="989"/>
        <v>YAMAHA_Mounter</v>
      </c>
      <c r="AS3302" s="22">
        <f t="shared" si="990"/>
        <v>1</v>
      </c>
      <c r="AT3302" s="24" t="str">
        <f t="shared" si="991"/>
        <v>0-3 months</v>
      </c>
    </row>
    <row r="3303" spans="1:46" s="12" customFormat="1">
      <c r="A3303" s="33" t="str">
        <f t="shared" si="979"/>
        <v>FY 20/21</v>
      </c>
      <c r="B3303" s="152">
        <v>2020</v>
      </c>
      <c r="C3303" s="152">
        <v>9</v>
      </c>
      <c r="D3303" s="33" t="str">
        <f t="shared" si="980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81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2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97"/>
        <v>982000</v>
      </c>
      <c r="AA3303" s="13">
        <v>1.135</v>
      </c>
      <c r="AB3303" s="21">
        <f t="shared" si="983"/>
        <v>986345.13274336292</v>
      </c>
      <c r="AC3303" s="130">
        <f t="shared" si="984"/>
        <v>130098.92300884955</v>
      </c>
      <c r="AD3303" s="172">
        <v>0.13189999999999999</v>
      </c>
      <c r="AE3303" s="154">
        <f t="shared" si="985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93"/>
        <v>28011162.254106201</v>
      </c>
      <c r="AJ3303" s="19">
        <f t="shared" si="994"/>
        <v>3401347.1124888416</v>
      </c>
      <c r="AK3303" s="20">
        <f t="shared" si="986"/>
        <v>0.12142827497242578</v>
      </c>
      <c r="AL3303" s="17"/>
      <c r="AM3303" s="17"/>
      <c r="AN3303" s="17"/>
      <c r="AO3303" s="17"/>
      <c r="AP3303" s="28" t="str">
        <f t="shared" si="987"/>
        <v>202010</v>
      </c>
      <c r="AQ3303" s="28" t="str">
        <f t="shared" si="988"/>
        <v>202010RMB</v>
      </c>
      <c r="AR3303" s="206" t="str">
        <f t="shared" si="989"/>
        <v>YAMAHA_Mounter</v>
      </c>
      <c r="AS3303" s="22">
        <f t="shared" si="990"/>
        <v>1</v>
      </c>
      <c r="AT3303" s="24" t="str">
        <f t="shared" si="991"/>
        <v>0-3 months</v>
      </c>
    </row>
    <row r="3304" spans="1:46" s="12" customFormat="1">
      <c r="A3304" s="33" t="str">
        <f t="shared" si="979"/>
        <v>FY 18/19</v>
      </c>
      <c r="B3304" s="152">
        <v>2019</v>
      </c>
      <c r="C3304" s="152">
        <v>3</v>
      </c>
      <c r="D3304" s="33" t="str">
        <f t="shared" si="980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81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2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97"/>
        <v>15000000</v>
      </c>
      <c r="AA3304" s="13">
        <v>7.2300000000000003E-2</v>
      </c>
      <c r="AB3304" s="21">
        <f t="shared" si="983"/>
        <v>1084500</v>
      </c>
      <c r="AC3304" s="130">
        <f t="shared" si="984"/>
        <v>151613.1</v>
      </c>
      <c r="AD3304" s="172">
        <v>0.13980000000000001</v>
      </c>
      <c r="AE3304" s="154">
        <f t="shared" si="985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93"/>
        <v>32843736.557277881</v>
      </c>
      <c r="AJ3304" s="19">
        <f t="shared" si="994"/>
        <v>3921470.6822663117</v>
      </c>
      <c r="AK3304" s="20">
        <f t="shared" si="986"/>
        <v>0.11939782416131177</v>
      </c>
      <c r="AL3304" s="17"/>
      <c r="AM3304" s="17"/>
      <c r="AN3304" s="17"/>
      <c r="AO3304" s="17"/>
      <c r="AP3304" s="28" t="str">
        <f t="shared" si="987"/>
        <v>20194</v>
      </c>
      <c r="AQ3304" s="28" t="str">
        <f t="shared" si="988"/>
        <v>20194JPY</v>
      </c>
      <c r="AR3304" s="206" t="str">
        <f t="shared" si="989"/>
        <v>YAMAHA_Mounter</v>
      </c>
      <c r="AS3304" s="22">
        <f t="shared" si="990"/>
        <v>1</v>
      </c>
      <c r="AT3304" s="24" t="str">
        <f t="shared" si="991"/>
        <v>0-3 months</v>
      </c>
    </row>
    <row r="3305" spans="1:46" s="12" customFormat="1">
      <c r="A3305" s="33" t="str">
        <f t="shared" si="979"/>
        <v>FY 18/19</v>
      </c>
      <c r="B3305" s="152">
        <v>2019</v>
      </c>
      <c r="C3305" s="152">
        <v>3</v>
      </c>
      <c r="D3305" s="33" t="str">
        <f t="shared" si="980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81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2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97"/>
        <v>12000000</v>
      </c>
      <c r="AA3305" s="13">
        <v>7.2300000000000003E-2</v>
      </c>
      <c r="AB3305" s="21">
        <f t="shared" si="983"/>
        <v>867600</v>
      </c>
      <c r="AC3305" s="130">
        <f t="shared" si="984"/>
        <v>121290.48000000001</v>
      </c>
      <c r="AD3305" s="169">
        <v>0.13980000000000001</v>
      </c>
      <c r="AE3305" s="154">
        <f t="shared" si="985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93"/>
        <v>32843736.557277881</v>
      </c>
      <c r="AJ3305" s="19">
        <f t="shared" si="994"/>
        <v>3921470.6822663117</v>
      </c>
      <c r="AK3305" s="20">
        <f t="shared" si="986"/>
        <v>0.11939782416131177</v>
      </c>
      <c r="AL3305" s="17"/>
      <c r="AM3305" s="17"/>
      <c r="AN3305" s="17"/>
      <c r="AO3305" s="17"/>
      <c r="AP3305" s="28" t="str">
        <f t="shared" si="987"/>
        <v>20194</v>
      </c>
      <c r="AQ3305" s="28" t="str">
        <f t="shared" si="988"/>
        <v>20194JPY</v>
      </c>
      <c r="AR3305" s="206" t="str">
        <f t="shared" si="989"/>
        <v>YAMAHA_Mounter</v>
      </c>
      <c r="AS3305" s="22">
        <f t="shared" si="990"/>
        <v>1</v>
      </c>
      <c r="AT3305" s="24" t="str">
        <f t="shared" si="991"/>
        <v>0-3 months</v>
      </c>
    </row>
    <row r="3306" spans="1:46" s="12" customFormat="1">
      <c r="A3306" s="33" t="str">
        <f t="shared" si="979"/>
        <v>FY 19/20</v>
      </c>
      <c r="B3306" s="152">
        <v>2019</v>
      </c>
      <c r="C3306" s="152">
        <v>10</v>
      </c>
      <c r="D3306" s="33" t="str">
        <f t="shared" si="980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81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2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97"/>
        <v>15000000</v>
      </c>
      <c r="AA3306" s="13">
        <v>7.2900000000000006E-2</v>
      </c>
      <c r="AB3306" s="21">
        <f t="shared" si="983"/>
        <v>1093500</v>
      </c>
      <c r="AC3306" s="130">
        <f t="shared" si="984"/>
        <v>183926.69999999998</v>
      </c>
      <c r="AD3306" s="169">
        <v>0.16819999999999999</v>
      </c>
      <c r="AE3306" s="154">
        <f t="shared" si="985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93"/>
        <v>27318180.088495575</v>
      </c>
      <c r="AJ3306" s="19">
        <f t="shared" si="994"/>
        <v>3014099.212353982</v>
      </c>
      <c r="AK3306" s="20">
        <f t="shared" si="986"/>
        <v>0.11033308963444827</v>
      </c>
      <c r="AL3306" s="17"/>
      <c r="AM3306" s="17"/>
      <c r="AN3306" s="17"/>
      <c r="AO3306" s="17"/>
      <c r="AP3306" s="28" t="str">
        <f t="shared" si="987"/>
        <v>201912</v>
      </c>
      <c r="AQ3306" s="28" t="str">
        <f t="shared" si="988"/>
        <v>201912JPY</v>
      </c>
      <c r="AR3306" s="206" t="str">
        <f t="shared" si="989"/>
        <v>YAMAHA_Mounter</v>
      </c>
      <c r="AS3306" s="22">
        <f t="shared" si="990"/>
        <v>2</v>
      </c>
      <c r="AT3306" s="24" t="str">
        <f t="shared" si="991"/>
        <v>0-3 months</v>
      </c>
    </row>
    <row r="3307" spans="1:46" s="12" customFormat="1">
      <c r="A3307" s="33" t="str">
        <f t="shared" si="979"/>
        <v>FY 19/20</v>
      </c>
      <c r="B3307" s="152">
        <v>2019</v>
      </c>
      <c r="C3307" s="152">
        <v>10</v>
      </c>
      <c r="D3307" s="33" t="str">
        <f t="shared" si="980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81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2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97"/>
        <v>15000000</v>
      </c>
      <c r="AA3307" s="13">
        <v>7.2900000000000006E-2</v>
      </c>
      <c r="AB3307" s="21">
        <f t="shared" si="983"/>
        <v>1093500</v>
      </c>
      <c r="AC3307" s="130">
        <f t="shared" si="984"/>
        <v>183926.69999999998</v>
      </c>
      <c r="AD3307" s="172">
        <v>0.16819999999999999</v>
      </c>
      <c r="AE3307" s="154">
        <f t="shared" si="985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93"/>
        <v>27318180.088495575</v>
      </c>
      <c r="AJ3307" s="19">
        <f t="shared" si="994"/>
        <v>3014099.212353982</v>
      </c>
      <c r="AK3307" s="20">
        <f t="shared" si="986"/>
        <v>0.11033308963444827</v>
      </c>
      <c r="AL3307" s="17"/>
      <c r="AM3307" s="17"/>
      <c r="AN3307" s="17"/>
      <c r="AO3307" s="17"/>
      <c r="AP3307" s="28" t="str">
        <f t="shared" si="987"/>
        <v>201912</v>
      </c>
      <c r="AQ3307" s="28" t="str">
        <f t="shared" si="988"/>
        <v>201912JPY</v>
      </c>
      <c r="AR3307" s="206" t="str">
        <f t="shared" si="989"/>
        <v>YAMAHA_Mounter</v>
      </c>
      <c r="AS3307" s="22">
        <f t="shared" si="990"/>
        <v>2</v>
      </c>
      <c r="AT3307" s="24" t="str">
        <f t="shared" si="991"/>
        <v>0-3 months</v>
      </c>
    </row>
    <row r="3308" spans="1:46" s="12" customFormat="1">
      <c r="A3308" s="33" t="str">
        <f t="shared" ref="A3308:A3371" si="998">IF(C3308="cancel","cancel",IFERROR(IF(D3308="Q4","FY "&amp;RIGHT(B3308,2)-1&amp;"/"&amp;RIGHT(B3308,2),"FY "&amp;RIGHT(B3308,2)&amp;"/"&amp;RIGHT(B3308,2)+1),""))</f>
        <v>FY 19/20</v>
      </c>
      <c r="B3308" s="152">
        <v>2019</v>
      </c>
      <c r="C3308" s="152">
        <v>10</v>
      </c>
      <c r="D3308" s="33" t="str">
        <f t="shared" ref="D3308:D3371" si="999">IF(B3308="","",IF(AND(C3308&gt;=10,C3308&lt;=12),"Q3",IF(AND(C3308&gt;=1,C3308&lt;=3),"Q4",IF(AND(C3308&gt;=7,C3308&lt;=9),"Q2",IF(AND(C3308&gt;=4,C3308&lt;=6),"Q1")))))</f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ref="I3308:I3371" si="1000">IFERROR(IF(F3308="","",IF(F3308="TBA","TBA",IF(F3308="Cancel","Cancel",IF(AND(G3308&gt;=10,G3308&lt;=12),"Q3",IF(AND(G3308&gt;=1,G3308&lt;=3),"Q4",IF(AND(G3308&gt;=7,G3308&lt;=9),"Q2",IF(AND(G3308&gt;=4,G3308&lt;=6),"Q1"))))))),"")</f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ref="P3308:P3371" si="1001">IF(M3308="","",IF(AND(N3308&gt;0,L3308&lt;&gt;""),"MAIN UNIT",IF(AND(O3308&gt;0,L3308&lt;&gt;""),"SERVICE/ PARTS","C66 SERVICE/OTHERS")))</f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97"/>
        <v>12000000</v>
      </c>
      <c r="AA3308" s="13">
        <v>7.2900000000000006E-2</v>
      </c>
      <c r="AB3308" s="21">
        <f t="shared" ref="AB3308:AB3345" si="1002">IF(AND(R3308&lt;&gt;"C66",R3308&lt;&gt;""),Z3308/Y3308*AA3308,"")</f>
        <v>874800.00000000012</v>
      </c>
      <c r="AC3308" s="130">
        <f t="shared" ref="AC3308:AC3371" si="1003">IF(R3308&lt;&gt;"",AB3308*AD3308,"")</f>
        <v>147141.36000000002</v>
      </c>
      <c r="AD3308" s="169">
        <v>0.16819999999999999</v>
      </c>
      <c r="AE3308" s="154">
        <f t="shared" ref="AE3308:AE3371" si="1004">IF(Q3308="","",IF(Q3308="Yes",1,0))</f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93"/>
        <v>27318180.088495575</v>
      </c>
      <c r="AJ3308" s="19">
        <f t="shared" si="994"/>
        <v>3014099.212353982</v>
      </c>
      <c r="AK3308" s="20">
        <f t="shared" ref="AK3308:AK3371" si="1005">IF(AJ3308&gt;0,AJ3308/AI3308,"")</f>
        <v>0.11033308963444827</v>
      </c>
      <c r="AL3308" s="17"/>
      <c r="AM3308" s="17"/>
      <c r="AN3308" s="17"/>
      <c r="AO3308" s="17"/>
      <c r="AP3308" s="28" t="str">
        <f t="shared" ref="AP3308:AP3371" si="1006">IF(F3308="","",F3308&amp;G3308)</f>
        <v>201912</v>
      </c>
      <c r="AQ3308" s="28" t="str">
        <f t="shared" ref="AQ3308:AQ3371" si="1007">IF(W3308="","",F3308&amp;G3308&amp;W3308)</f>
        <v>201912JPY</v>
      </c>
      <c r="AR3308" s="206" t="str">
        <f t="shared" ref="AR3308:AR3371" si="1008">IFERROR(IF(AND(M3308="YAMAHA", R3308="C28"), "YAMAHA_Non_Mounter", IF(AND(M3308="YAMAHA", R3308="C49"), "YAMAHA_Mounter", M3308)),"")</f>
        <v>YAMAHA_Mounter</v>
      </c>
      <c r="AS3308" s="22">
        <f t="shared" ref="AS3308:AS3371" si="1009">IFERROR(IF(OR(G3308="TBA", G3308=""), "", DATEDIF(DATE(B3308, C3308, 1), DATE(F3308, G3308, 1), "M")),"")</f>
        <v>2</v>
      </c>
      <c r="AT3308" s="24" t="str">
        <f t="shared" ref="AT3308:AT3371" si="1010">IF(ISNUMBER(AS3308), IF(AS3308&gt;=0, IF(AS3308&lt;=3, "0-3 months", IF(AS3308&lt;=6, "4-6 months", "&gt; 6 months"))), "")</f>
        <v>0-3 months</v>
      </c>
    </row>
    <row r="3309" spans="1:46" s="12" customFormat="1">
      <c r="A3309" s="33" t="str">
        <f t="shared" si="998"/>
        <v>FY 19/20</v>
      </c>
      <c r="B3309" s="152">
        <v>2019</v>
      </c>
      <c r="C3309" s="152">
        <v>10</v>
      </c>
      <c r="D3309" s="33" t="str">
        <f t="shared" si="999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1000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1001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97"/>
        <v>12000000</v>
      </c>
      <c r="AA3309" s="13">
        <v>7.2900000000000006E-2</v>
      </c>
      <c r="AB3309" s="21">
        <f t="shared" si="1002"/>
        <v>874800.00000000012</v>
      </c>
      <c r="AC3309" s="130">
        <f t="shared" si="1003"/>
        <v>147141.36000000002</v>
      </c>
      <c r="AD3309" s="169">
        <v>0.16819999999999999</v>
      </c>
      <c r="AE3309" s="154">
        <f t="shared" si="1004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93"/>
        <v>27318180.088495575</v>
      </c>
      <c r="AJ3309" s="19">
        <f t="shared" si="994"/>
        <v>3014099.212353982</v>
      </c>
      <c r="AK3309" s="20">
        <f t="shared" si="1005"/>
        <v>0.11033308963444827</v>
      </c>
      <c r="AL3309" s="17"/>
      <c r="AM3309" s="17"/>
      <c r="AN3309" s="17"/>
      <c r="AO3309" s="17"/>
      <c r="AP3309" s="28" t="str">
        <f t="shared" si="1006"/>
        <v>201912</v>
      </c>
      <c r="AQ3309" s="28" t="str">
        <f t="shared" si="1007"/>
        <v>201912JPY</v>
      </c>
      <c r="AR3309" s="206" t="str">
        <f t="shared" si="1008"/>
        <v>YAMAHA_Mounter</v>
      </c>
      <c r="AS3309" s="22">
        <f t="shared" si="1009"/>
        <v>2</v>
      </c>
      <c r="AT3309" s="24" t="str">
        <f t="shared" si="1010"/>
        <v>0-3 months</v>
      </c>
    </row>
    <row r="3310" spans="1:46" s="12" customFormat="1">
      <c r="A3310" s="33" t="str">
        <f t="shared" si="998"/>
        <v>FY 19/20</v>
      </c>
      <c r="B3310" s="152">
        <v>2019</v>
      </c>
      <c r="C3310" s="152">
        <v>10</v>
      </c>
      <c r="D3310" s="33" t="str">
        <f t="shared" si="999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1000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1001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97"/>
        <v>15000000</v>
      </c>
      <c r="AA3310" s="13">
        <v>7.5700000000000003E-2</v>
      </c>
      <c r="AB3310" s="21">
        <f t="shared" si="1002"/>
        <v>1135500</v>
      </c>
      <c r="AC3310" s="130">
        <f t="shared" si="1003"/>
        <v>236184</v>
      </c>
      <c r="AD3310" s="169">
        <v>0.20799999999999999</v>
      </c>
      <c r="AE3310" s="154">
        <f t="shared" si="1004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93"/>
        <v>37969334.083628319</v>
      </c>
      <c r="AJ3310" s="19">
        <f t="shared" si="994"/>
        <v>5097226.4551657084</v>
      </c>
      <c r="AK3310" s="20">
        <f t="shared" si="1005"/>
        <v>0.13424587441904964</v>
      </c>
      <c r="AL3310" s="17"/>
      <c r="AM3310" s="17"/>
      <c r="AN3310" s="17"/>
      <c r="AO3310" s="17"/>
      <c r="AP3310" s="28" t="str">
        <f t="shared" si="1006"/>
        <v>20208</v>
      </c>
      <c r="AQ3310" s="28" t="str">
        <f t="shared" si="1007"/>
        <v>20208JPY</v>
      </c>
      <c r="AR3310" s="206" t="str">
        <f t="shared" si="1008"/>
        <v>YAMAHA_Mounter</v>
      </c>
      <c r="AS3310" s="22">
        <f t="shared" si="1009"/>
        <v>10</v>
      </c>
      <c r="AT3310" s="24" t="str">
        <f t="shared" si="1010"/>
        <v>&gt; 6 months</v>
      </c>
    </row>
    <row r="3311" spans="1:46" s="12" customFormat="1">
      <c r="A3311" s="33" t="str">
        <f t="shared" si="998"/>
        <v>FY 19/20</v>
      </c>
      <c r="B3311" s="152">
        <v>2019</v>
      </c>
      <c r="C3311" s="152">
        <v>10</v>
      </c>
      <c r="D3311" s="33" t="str">
        <f t="shared" si="999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1000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1001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97"/>
        <v>12000000</v>
      </c>
      <c r="AA3311" s="13">
        <v>7.5700000000000003E-2</v>
      </c>
      <c r="AB3311" s="21">
        <f t="shared" si="1002"/>
        <v>908400</v>
      </c>
      <c r="AC3311" s="130">
        <f t="shared" si="1003"/>
        <v>188947.19999999998</v>
      </c>
      <c r="AD3311" s="169">
        <v>0.20799999999999999</v>
      </c>
      <c r="AE3311" s="154">
        <f t="shared" si="1004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93"/>
        <v>37969334.083628319</v>
      </c>
      <c r="AJ3311" s="19">
        <f t="shared" si="994"/>
        <v>5097226.4551657084</v>
      </c>
      <c r="AK3311" s="20">
        <f t="shared" si="1005"/>
        <v>0.13424587441904964</v>
      </c>
      <c r="AL3311" s="17"/>
      <c r="AM3311" s="17"/>
      <c r="AN3311" s="17"/>
      <c r="AO3311" s="17"/>
      <c r="AP3311" s="28" t="str">
        <f t="shared" si="1006"/>
        <v>20208</v>
      </c>
      <c r="AQ3311" s="28" t="str">
        <f t="shared" si="1007"/>
        <v>20208JPY</v>
      </c>
      <c r="AR3311" s="206" t="str">
        <f t="shared" si="1008"/>
        <v>YAMAHA_Mounter</v>
      </c>
      <c r="AS3311" s="22">
        <f t="shared" si="1009"/>
        <v>10</v>
      </c>
      <c r="AT3311" s="24" t="str">
        <f t="shared" si="1010"/>
        <v>&gt; 6 months</v>
      </c>
    </row>
    <row r="3312" spans="1:46" s="12" customFormat="1">
      <c r="A3312" s="33" t="str">
        <f t="shared" si="998"/>
        <v>FY 21/22</v>
      </c>
      <c r="B3312" s="152">
        <v>2021</v>
      </c>
      <c r="C3312" s="152">
        <v>12</v>
      </c>
      <c r="D3312" s="33" t="str">
        <f t="shared" si="999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1000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1001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1011">IF(W3312="RMB","1.13", "1")</f>
        <v>1</v>
      </c>
      <c r="Z3312" s="18">
        <f t="shared" si="997"/>
        <v>14500000</v>
      </c>
      <c r="AA3312" s="13">
        <v>6.54E-2</v>
      </c>
      <c r="AB3312" s="21">
        <f t="shared" si="1002"/>
        <v>948300</v>
      </c>
      <c r="AC3312" s="130">
        <f t="shared" si="1003"/>
        <v>116451.24</v>
      </c>
      <c r="AD3312" s="169">
        <v>0.12280000000000001</v>
      </c>
      <c r="AE3312" s="154">
        <f t="shared" si="1004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93"/>
        <v>46600814.041769907</v>
      </c>
      <c r="AJ3312" s="19">
        <f t="shared" si="994"/>
        <v>5956366.3435927071</v>
      </c>
      <c r="AK3312" s="20">
        <f t="shared" si="1005"/>
        <v>0.1278167874546958</v>
      </c>
      <c r="AL3312" s="17"/>
      <c r="AM3312" s="17"/>
      <c r="AN3312" s="17"/>
      <c r="AO3312" s="17"/>
      <c r="AP3312" s="28" t="str">
        <f t="shared" si="1006"/>
        <v>20224</v>
      </c>
      <c r="AQ3312" s="28" t="str">
        <f t="shared" si="1007"/>
        <v>20224JPY</v>
      </c>
      <c r="AR3312" s="206" t="str">
        <f t="shared" si="1008"/>
        <v>YAMAHA_Mounter</v>
      </c>
      <c r="AS3312" s="22">
        <f t="shared" si="1009"/>
        <v>4</v>
      </c>
      <c r="AT3312" s="24" t="str">
        <f t="shared" si="1010"/>
        <v>4-6 months</v>
      </c>
    </row>
    <row r="3313" spans="1:46" s="12" customFormat="1">
      <c r="A3313" s="33" t="str">
        <f t="shared" si="998"/>
        <v>FY 21/22</v>
      </c>
      <c r="B3313" s="152">
        <v>2021</v>
      </c>
      <c r="C3313" s="152">
        <v>12</v>
      </c>
      <c r="D3313" s="33" t="str">
        <f t="shared" si="999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1000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1001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1011"/>
        <v>1</v>
      </c>
      <c r="Z3313" s="18">
        <f t="shared" si="997"/>
        <v>14500000</v>
      </c>
      <c r="AA3313" s="13">
        <v>6.54E-2</v>
      </c>
      <c r="AB3313" s="21">
        <f t="shared" si="1002"/>
        <v>948300</v>
      </c>
      <c r="AC3313" s="130">
        <f t="shared" si="1003"/>
        <v>116451.24</v>
      </c>
      <c r="AD3313" s="169">
        <v>0.12280000000000001</v>
      </c>
      <c r="AE3313" s="154">
        <f t="shared" si="1004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93"/>
        <v>46600814.041769907</v>
      </c>
      <c r="AJ3313" s="19">
        <f t="shared" si="994"/>
        <v>5956366.3435927071</v>
      </c>
      <c r="AK3313" s="20">
        <f t="shared" si="1005"/>
        <v>0.1278167874546958</v>
      </c>
      <c r="AL3313" s="17"/>
      <c r="AM3313" s="17"/>
      <c r="AN3313" s="17"/>
      <c r="AO3313" s="17"/>
      <c r="AP3313" s="28" t="str">
        <f t="shared" si="1006"/>
        <v>20224</v>
      </c>
      <c r="AQ3313" s="28" t="str">
        <f t="shared" si="1007"/>
        <v>20224JPY</v>
      </c>
      <c r="AR3313" s="206" t="str">
        <f t="shared" si="1008"/>
        <v>YAMAHA_Mounter</v>
      </c>
      <c r="AS3313" s="22">
        <f t="shared" si="1009"/>
        <v>4</v>
      </c>
      <c r="AT3313" s="24" t="str">
        <f t="shared" si="1010"/>
        <v>4-6 months</v>
      </c>
    </row>
    <row r="3314" spans="1:46" s="12" customFormat="1">
      <c r="A3314" s="33" t="str">
        <f t="shared" si="998"/>
        <v>FY 21/22</v>
      </c>
      <c r="B3314" s="152">
        <v>2021</v>
      </c>
      <c r="C3314" s="152">
        <v>12</v>
      </c>
      <c r="D3314" s="33" t="str">
        <f t="shared" si="999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1000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1001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1011"/>
        <v>1</v>
      </c>
      <c r="Z3314" s="18">
        <f t="shared" si="997"/>
        <v>11000000</v>
      </c>
      <c r="AA3314" s="13">
        <v>6.54E-2</v>
      </c>
      <c r="AB3314" s="21">
        <f t="shared" si="1002"/>
        <v>719400</v>
      </c>
      <c r="AC3314" s="130">
        <f t="shared" si="1003"/>
        <v>88342.32</v>
      </c>
      <c r="AD3314" s="169">
        <v>0.12280000000000001</v>
      </c>
      <c r="AE3314" s="154">
        <f t="shared" si="1004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93"/>
        <v>46600814.041769907</v>
      </c>
      <c r="AJ3314" s="19">
        <f t="shared" si="994"/>
        <v>5956366.3435927071</v>
      </c>
      <c r="AK3314" s="20">
        <f t="shared" si="1005"/>
        <v>0.1278167874546958</v>
      </c>
      <c r="AL3314" s="17"/>
      <c r="AM3314" s="17"/>
      <c r="AN3314" s="17"/>
      <c r="AO3314" s="17"/>
      <c r="AP3314" s="28" t="str">
        <f t="shared" si="1006"/>
        <v>20224</v>
      </c>
      <c r="AQ3314" s="28" t="str">
        <f t="shared" si="1007"/>
        <v>20224JPY</v>
      </c>
      <c r="AR3314" s="206" t="str">
        <f t="shared" si="1008"/>
        <v>YAMAHA_Mounter</v>
      </c>
      <c r="AS3314" s="22">
        <f t="shared" si="1009"/>
        <v>4</v>
      </c>
      <c r="AT3314" s="24" t="str">
        <f t="shared" si="1010"/>
        <v>4-6 months</v>
      </c>
    </row>
    <row r="3315" spans="1:46" s="12" customFormat="1">
      <c r="A3315" s="33" t="str">
        <f t="shared" si="998"/>
        <v>FY 21/22</v>
      </c>
      <c r="B3315" s="152">
        <v>2021</v>
      </c>
      <c r="C3315" s="152">
        <v>12</v>
      </c>
      <c r="D3315" s="33" t="str">
        <f t="shared" si="999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1000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1001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1011"/>
        <v>1</v>
      </c>
      <c r="Z3315" s="18">
        <f t="shared" si="997"/>
        <v>11000000</v>
      </c>
      <c r="AA3315" s="13">
        <v>6.54E-2</v>
      </c>
      <c r="AB3315" s="21">
        <f t="shared" si="1002"/>
        <v>719400</v>
      </c>
      <c r="AC3315" s="130">
        <f t="shared" si="1003"/>
        <v>88342.32</v>
      </c>
      <c r="AD3315" s="169">
        <v>0.12280000000000001</v>
      </c>
      <c r="AE3315" s="154">
        <f t="shared" si="1004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93"/>
        <v>46600814.041769907</v>
      </c>
      <c r="AJ3315" s="19">
        <f t="shared" si="994"/>
        <v>5956366.3435927071</v>
      </c>
      <c r="AK3315" s="20">
        <f t="shared" si="1005"/>
        <v>0.1278167874546958</v>
      </c>
      <c r="AL3315" s="17"/>
      <c r="AM3315" s="17"/>
      <c r="AN3315" s="17"/>
      <c r="AO3315" s="17"/>
      <c r="AP3315" s="28" t="str">
        <f t="shared" si="1006"/>
        <v>20224</v>
      </c>
      <c r="AQ3315" s="28" t="str">
        <f t="shared" si="1007"/>
        <v>20224JPY</v>
      </c>
      <c r="AR3315" s="206" t="str">
        <f t="shared" si="1008"/>
        <v>YAMAHA_Mounter</v>
      </c>
      <c r="AS3315" s="22">
        <f t="shared" si="1009"/>
        <v>4</v>
      </c>
      <c r="AT3315" s="24" t="str">
        <f t="shared" si="1010"/>
        <v>4-6 months</v>
      </c>
    </row>
    <row r="3316" spans="1:46" s="12" customFormat="1">
      <c r="A3316" s="33" t="str">
        <f t="shared" si="998"/>
        <v>FY 21/22</v>
      </c>
      <c r="B3316" s="152">
        <v>2021</v>
      </c>
      <c r="C3316" s="152">
        <v>12</v>
      </c>
      <c r="D3316" s="33" t="str">
        <f t="shared" si="999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1000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1001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1011"/>
        <v>1</v>
      </c>
      <c r="Z3316" s="18">
        <f t="shared" si="997"/>
        <v>14500000</v>
      </c>
      <c r="AA3316" s="13">
        <v>5.7799999999999997E-2</v>
      </c>
      <c r="AB3316" s="21">
        <f t="shared" si="1002"/>
        <v>838100</v>
      </c>
      <c r="AC3316" s="130">
        <f t="shared" si="1003"/>
        <v>113897.79</v>
      </c>
      <c r="AD3316" s="169">
        <v>0.13589999999999999</v>
      </c>
      <c r="AE3316" s="154">
        <f t="shared" si="1004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93"/>
        <v>15948576.102654871</v>
      </c>
      <c r="AJ3316" s="19">
        <f t="shared" si="994"/>
        <v>2739848.7004853105</v>
      </c>
      <c r="AK3316" s="20">
        <f t="shared" si="1005"/>
        <v>0.17179268436567344</v>
      </c>
      <c r="AL3316" s="17"/>
      <c r="AM3316" s="17"/>
      <c r="AN3316" s="17"/>
      <c r="AO3316" s="17"/>
      <c r="AP3316" s="28" t="str">
        <f t="shared" si="1006"/>
        <v>20229</v>
      </c>
      <c r="AQ3316" s="28" t="str">
        <f t="shared" si="1007"/>
        <v>20229JPY</v>
      </c>
      <c r="AR3316" s="206" t="str">
        <f t="shared" si="1008"/>
        <v>YAMAHA_Mounter</v>
      </c>
      <c r="AS3316" s="22">
        <f t="shared" si="1009"/>
        <v>9</v>
      </c>
      <c r="AT3316" s="24" t="str">
        <f t="shared" si="1010"/>
        <v>&gt; 6 months</v>
      </c>
    </row>
    <row r="3317" spans="1:46" s="12" customFormat="1">
      <c r="A3317" s="33" t="str">
        <f t="shared" si="998"/>
        <v>FY 21/22</v>
      </c>
      <c r="B3317" s="152">
        <v>2021</v>
      </c>
      <c r="C3317" s="152">
        <v>12</v>
      </c>
      <c r="D3317" s="33" t="str">
        <f t="shared" si="999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1000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1001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1011"/>
        <v>1</v>
      </c>
      <c r="Z3317" s="18">
        <f t="shared" si="997"/>
        <v>14500000</v>
      </c>
      <c r="AA3317" s="13">
        <v>5.7799999999999997E-2</v>
      </c>
      <c r="AB3317" s="21">
        <f t="shared" si="1002"/>
        <v>838100</v>
      </c>
      <c r="AC3317" s="130">
        <f t="shared" si="1003"/>
        <v>113897.79</v>
      </c>
      <c r="AD3317" s="169">
        <v>0.13589999999999999</v>
      </c>
      <c r="AE3317" s="154">
        <f t="shared" si="1004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93"/>
        <v>15948576.102654871</v>
      </c>
      <c r="AJ3317" s="19">
        <f t="shared" si="994"/>
        <v>2739848.7004853105</v>
      </c>
      <c r="AK3317" s="20">
        <f t="shared" si="1005"/>
        <v>0.17179268436567344</v>
      </c>
      <c r="AL3317" s="17"/>
      <c r="AM3317" s="17"/>
      <c r="AN3317" s="17"/>
      <c r="AO3317" s="17"/>
      <c r="AP3317" s="28" t="str">
        <f t="shared" si="1006"/>
        <v>20229</v>
      </c>
      <c r="AQ3317" s="28" t="str">
        <f t="shared" si="1007"/>
        <v>20229JPY</v>
      </c>
      <c r="AR3317" s="206" t="str">
        <f t="shared" si="1008"/>
        <v>YAMAHA_Mounter</v>
      </c>
      <c r="AS3317" s="22">
        <f t="shared" si="1009"/>
        <v>9</v>
      </c>
      <c r="AT3317" s="24" t="str">
        <f t="shared" si="1010"/>
        <v>&gt; 6 months</v>
      </c>
    </row>
    <row r="3318" spans="1:46" s="12" customFormat="1">
      <c r="A3318" s="33" t="str">
        <f t="shared" si="998"/>
        <v>FY 21/22</v>
      </c>
      <c r="B3318" s="152">
        <v>2021</v>
      </c>
      <c r="C3318" s="152">
        <v>12</v>
      </c>
      <c r="D3318" s="33" t="str">
        <f t="shared" si="999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1000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1001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1011"/>
        <v>1</v>
      </c>
      <c r="Z3318" s="18">
        <f t="shared" si="997"/>
        <v>11000000</v>
      </c>
      <c r="AA3318" s="13">
        <v>5.7799999999999997E-2</v>
      </c>
      <c r="AB3318" s="21">
        <f t="shared" si="1002"/>
        <v>635800</v>
      </c>
      <c r="AC3318" s="130">
        <f t="shared" si="1003"/>
        <v>86405.22</v>
      </c>
      <c r="AD3318" s="169">
        <v>0.13589999999999999</v>
      </c>
      <c r="AE3318" s="154">
        <f t="shared" si="1004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93"/>
        <v>15948576.102654871</v>
      </c>
      <c r="AJ3318" s="19">
        <f t="shared" si="994"/>
        <v>2739848.7004853105</v>
      </c>
      <c r="AK3318" s="20">
        <f t="shared" si="1005"/>
        <v>0.17179268436567344</v>
      </c>
      <c r="AL3318" s="17"/>
      <c r="AM3318" s="17"/>
      <c r="AN3318" s="17"/>
      <c r="AO3318" s="17"/>
      <c r="AP3318" s="28" t="str">
        <f t="shared" si="1006"/>
        <v>20229</v>
      </c>
      <c r="AQ3318" s="28" t="str">
        <f t="shared" si="1007"/>
        <v>20229JPY</v>
      </c>
      <c r="AR3318" s="206" t="str">
        <f t="shared" si="1008"/>
        <v>YAMAHA_Mounter</v>
      </c>
      <c r="AS3318" s="22">
        <f t="shared" si="1009"/>
        <v>9</v>
      </c>
      <c r="AT3318" s="24" t="str">
        <f t="shared" si="1010"/>
        <v>&gt; 6 months</v>
      </c>
    </row>
    <row r="3319" spans="1:46" s="12" customFormat="1">
      <c r="A3319" s="33" t="str">
        <f t="shared" si="998"/>
        <v>FY 21/22</v>
      </c>
      <c r="B3319" s="152">
        <v>2021</v>
      </c>
      <c r="C3319" s="152">
        <v>12</v>
      </c>
      <c r="D3319" s="33" t="str">
        <f t="shared" si="999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1000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1001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1011"/>
        <v>1</v>
      </c>
      <c r="Z3319" s="18">
        <f t="shared" si="997"/>
        <v>11000000</v>
      </c>
      <c r="AA3319" s="13">
        <v>5.7799999999999997E-2</v>
      </c>
      <c r="AB3319" s="21">
        <f t="shared" si="1002"/>
        <v>635800</v>
      </c>
      <c r="AC3319" s="130">
        <f t="shared" si="1003"/>
        <v>86405.22</v>
      </c>
      <c r="AD3319" s="169">
        <v>0.13589999999999999</v>
      </c>
      <c r="AE3319" s="154">
        <f t="shared" si="1004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93"/>
        <v>15948576.102654871</v>
      </c>
      <c r="AJ3319" s="19">
        <f t="shared" si="994"/>
        <v>2739848.7004853105</v>
      </c>
      <c r="AK3319" s="20">
        <f t="shared" si="1005"/>
        <v>0.17179268436567344</v>
      </c>
      <c r="AL3319" s="17"/>
      <c r="AM3319" s="17"/>
      <c r="AN3319" s="17"/>
      <c r="AO3319" s="17"/>
      <c r="AP3319" s="28" t="str">
        <f t="shared" si="1006"/>
        <v>20229</v>
      </c>
      <c r="AQ3319" s="28" t="str">
        <f t="shared" si="1007"/>
        <v>20229JPY</v>
      </c>
      <c r="AR3319" s="206" t="str">
        <f t="shared" si="1008"/>
        <v>YAMAHA_Mounter</v>
      </c>
      <c r="AS3319" s="22">
        <f t="shared" si="1009"/>
        <v>9</v>
      </c>
      <c r="AT3319" s="24" t="str">
        <f t="shared" si="1010"/>
        <v>&gt; 6 months</v>
      </c>
    </row>
    <row r="3320" spans="1:46" s="12" customFormat="1">
      <c r="A3320" s="33" t="str">
        <f t="shared" si="998"/>
        <v>cancel</v>
      </c>
      <c r="B3320" s="152"/>
      <c r="C3320" s="152" t="s">
        <v>186</v>
      </c>
      <c r="D3320" s="33" t="str">
        <f t="shared" si="999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1000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1001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97"/>
        <v>15000000</v>
      </c>
      <c r="AA3320" s="13">
        <v>7.5200000000000003E-2</v>
      </c>
      <c r="AB3320" s="21">
        <f t="shared" si="1002"/>
        <v>1128000</v>
      </c>
      <c r="AC3320" s="130">
        <f t="shared" si="1003"/>
        <v>135360</v>
      </c>
      <c r="AD3320" s="169">
        <v>0.12</v>
      </c>
      <c r="AE3320" s="154">
        <f t="shared" si="1004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93"/>
        <v>477651199.57437885</v>
      </c>
      <c r="AJ3320" s="19">
        <f t="shared" si="994"/>
        <v>56918800.518691957</v>
      </c>
      <c r="AK3320" s="20">
        <f t="shared" si="1005"/>
        <v>0.11916394341605475</v>
      </c>
      <c r="AL3320" s="17"/>
      <c r="AM3320" s="17"/>
      <c r="AN3320" s="17"/>
      <c r="AO3320" s="17"/>
      <c r="AP3320" s="28" t="str">
        <f t="shared" si="1006"/>
        <v>CancelCancel</v>
      </c>
      <c r="AQ3320" s="28" t="str">
        <f t="shared" si="1007"/>
        <v>CancelCancelJPY</v>
      </c>
      <c r="AR3320" s="206" t="str">
        <f t="shared" si="1008"/>
        <v>YAMAHA_Mounter</v>
      </c>
      <c r="AS3320" s="22" t="str">
        <f t="shared" si="1009"/>
        <v/>
      </c>
      <c r="AT3320" s="24" t="str">
        <f t="shared" si="1010"/>
        <v/>
      </c>
    </row>
    <row r="3321" spans="1:46" s="12" customFormat="1">
      <c r="A3321" s="33" t="str">
        <f t="shared" si="998"/>
        <v>cancel</v>
      </c>
      <c r="B3321" s="152"/>
      <c r="C3321" s="152" t="s">
        <v>186</v>
      </c>
      <c r="D3321" s="33" t="str">
        <f t="shared" si="999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1000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1001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97"/>
        <v>15000000</v>
      </c>
      <c r="AA3321" s="13">
        <v>7.3999999999999996E-2</v>
      </c>
      <c r="AB3321" s="21">
        <f t="shared" si="1002"/>
        <v>1110000</v>
      </c>
      <c r="AC3321" s="130">
        <f t="shared" si="1003"/>
        <v>133200</v>
      </c>
      <c r="AD3321" s="169">
        <v>0.12</v>
      </c>
      <c r="AE3321" s="154">
        <f t="shared" si="1004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93"/>
        <v>477651199.57437885</v>
      </c>
      <c r="AJ3321" s="19">
        <f t="shared" si="994"/>
        <v>56918800.518691957</v>
      </c>
      <c r="AK3321" s="20">
        <f t="shared" si="1005"/>
        <v>0.11916394341605475</v>
      </c>
      <c r="AL3321" s="17"/>
      <c r="AM3321" s="17"/>
      <c r="AN3321" s="17"/>
      <c r="AO3321" s="17"/>
      <c r="AP3321" s="28" t="str">
        <f t="shared" si="1006"/>
        <v>CancelCancel</v>
      </c>
      <c r="AQ3321" s="28" t="str">
        <f t="shared" si="1007"/>
        <v>CancelCancelJPY</v>
      </c>
      <c r="AR3321" s="206" t="str">
        <f t="shared" si="1008"/>
        <v>YAMAHA_Mounter</v>
      </c>
      <c r="AS3321" s="22" t="str">
        <f t="shared" si="1009"/>
        <v/>
      </c>
      <c r="AT3321" s="24" t="str">
        <f t="shared" si="1010"/>
        <v/>
      </c>
    </row>
    <row r="3322" spans="1:46" s="12" customFormat="1">
      <c r="A3322" s="33" t="str">
        <f t="shared" si="998"/>
        <v>cancel</v>
      </c>
      <c r="B3322" s="152"/>
      <c r="C3322" s="152" t="s">
        <v>186</v>
      </c>
      <c r="D3322" s="33" t="str">
        <f t="shared" si="999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1000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1001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97"/>
        <v>15000000</v>
      </c>
      <c r="AA3322" s="13">
        <v>7.3999999999999996E-2</v>
      </c>
      <c r="AB3322" s="21">
        <f t="shared" si="1002"/>
        <v>1110000</v>
      </c>
      <c r="AC3322" s="130">
        <f t="shared" si="1003"/>
        <v>133200</v>
      </c>
      <c r="AD3322" s="169">
        <v>0.12</v>
      </c>
      <c r="AE3322" s="154">
        <f t="shared" si="1004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93"/>
        <v>477651199.57437885</v>
      </c>
      <c r="AJ3322" s="19">
        <f t="shared" si="994"/>
        <v>56918800.518691957</v>
      </c>
      <c r="AK3322" s="20">
        <f t="shared" si="1005"/>
        <v>0.11916394341605475</v>
      </c>
      <c r="AL3322" s="17"/>
      <c r="AM3322" s="17"/>
      <c r="AN3322" s="17"/>
      <c r="AO3322" s="17"/>
      <c r="AP3322" s="28" t="str">
        <f t="shared" si="1006"/>
        <v>CancelCancel</v>
      </c>
      <c r="AQ3322" s="28" t="str">
        <f t="shared" si="1007"/>
        <v>CancelCancelJPY</v>
      </c>
      <c r="AR3322" s="206" t="str">
        <f t="shared" si="1008"/>
        <v>YAMAHA_Mounter</v>
      </c>
      <c r="AS3322" s="22" t="str">
        <f t="shared" si="1009"/>
        <v/>
      </c>
      <c r="AT3322" s="24" t="str">
        <f t="shared" si="1010"/>
        <v/>
      </c>
    </row>
    <row r="3323" spans="1:46" s="12" customFormat="1">
      <c r="A3323" s="33" t="str">
        <f t="shared" si="998"/>
        <v>cancel</v>
      </c>
      <c r="B3323" s="152"/>
      <c r="C3323" s="152" t="s">
        <v>186</v>
      </c>
      <c r="D3323" s="33" t="str">
        <f t="shared" si="999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1000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1001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97"/>
        <v>12000000</v>
      </c>
      <c r="AA3323" s="13">
        <v>7.3999999999999996E-2</v>
      </c>
      <c r="AB3323" s="21">
        <f t="shared" si="1002"/>
        <v>888000</v>
      </c>
      <c r="AC3323" s="130">
        <f t="shared" si="1003"/>
        <v>106560</v>
      </c>
      <c r="AD3323" s="169">
        <v>0.12</v>
      </c>
      <c r="AE3323" s="154">
        <f t="shared" si="1004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93"/>
        <v>477651199.57437885</v>
      </c>
      <c r="AJ3323" s="19">
        <f t="shared" si="994"/>
        <v>56918800.518691957</v>
      </c>
      <c r="AK3323" s="20">
        <f t="shared" si="1005"/>
        <v>0.11916394341605475</v>
      </c>
      <c r="AL3323" s="17"/>
      <c r="AM3323" s="17"/>
      <c r="AN3323" s="17"/>
      <c r="AO3323" s="17"/>
      <c r="AP3323" s="28" t="str">
        <f t="shared" si="1006"/>
        <v>CancelCancel</v>
      </c>
      <c r="AQ3323" s="28" t="str">
        <f t="shared" si="1007"/>
        <v>CancelCancelJPY</v>
      </c>
      <c r="AR3323" s="206" t="str">
        <f t="shared" si="1008"/>
        <v>YAMAHA_Mounter</v>
      </c>
      <c r="AS3323" s="22" t="str">
        <f t="shared" si="1009"/>
        <v/>
      </c>
      <c r="AT3323" s="24" t="str">
        <f t="shared" si="1010"/>
        <v/>
      </c>
    </row>
    <row r="3324" spans="1:46" s="12" customFormat="1">
      <c r="A3324" s="33" t="str">
        <f t="shared" si="998"/>
        <v>cancel</v>
      </c>
      <c r="B3324" s="152"/>
      <c r="C3324" s="152" t="s">
        <v>186</v>
      </c>
      <c r="D3324" s="33" t="str">
        <f t="shared" si="999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1000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1001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97"/>
        <v>12000000</v>
      </c>
      <c r="AA3324" s="13">
        <v>7.3999999999999996E-2</v>
      </c>
      <c r="AB3324" s="21">
        <f t="shared" si="1002"/>
        <v>888000</v>
      </c>
      <c r="AC3324" s="130">
        <f t="shared" si="1003"/>
        <v>106560</v>
      </c>
      <c r="AD3324" s="169">
        <v>0.12</v>
      </c>
      <c r="AE3324" s="154">
        <f t="shared" si="1004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93"/>
        <v>477651199.57437885</v>
      </c>
      <c r="AJ3324" s="19">
        <f t="shared" si="994"/>
        <v>56918800.518691957</v>
      </c>
      <c r="AK3324" s="20">
        <f t="shared" si="1005"/>
        <v>0.11916394341605475</v>
      </c>
      <c r="AL3324" s="17"/>
      <c r="AM3324" s="17"/>
      <c r="AN3324" s="17"/>
      <c r="AO3324" s="17"/>
      <c r="AP3324" s="28" t="str">
        <f t="shared" si="1006"/>
        <v>CancelCancel</v>
      </c>
      <c r="AQ3324" s="28" t="str">
        <f t="shared" si="1007"/>
        <v>CancelCancelJPY</v>
      </c>
      <c r="AR3324" s="206" t="str">
        <f t="shared" si="1008"/>
        <v>YAMAHA_Mounter</v>
      </c>
      <c r="AS3324" s="22" t="str">
        <f t="shared" si="1009"/>
        <v/>
      </c>
      <c r="AT3324" s="24" t="str">
        <f t="shared" si="1010"/>
        <v/>
      </c>
    </row>
    <row r="3325" spans="1:46" s="12" customFormat="1">
      <c r="A3325" s="33" t="str">
        <f t="shared" si="998"/>
        <v>cancel</v>
      </c>
      <c r="B3325" s="152"/>
      <c r="C3325" s="152" t="s">
        <v>186</v>
      </c>
      <c r="D3325" s="33" t="str">
        <f t="shared" si="999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1000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1001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97"/>
        <v>12000000</v>
      </c>
      <c r="AA3325" s="13">
        <v>7.3999999999999996E-2</v>
      </c>
      <c r="AB3325" s="21">
        <f t="shared" si="1002"/>
        <v>888000</v>
      </c>
      <c r="AC3325" s="130">
        <f t="shared" si="1003"/>
        <v>106560</v>
      </c>
      <c r="AD3325" s="169">
        <v>0.12</v>
      </c>
      <c r="AE3325" s="154">
        <f t="shared" si="1004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93"/>
        <v>477651199.57437885</v>
      </c>
      <c r="AJ3325" s="19">
        <f t="shared" si="994"/>
        <v>56918800.518691957</v>
      </c>
      <c r="AK3325" s="20">
        <f t="shared" si="1005"/>
        <v>0.11916394341605475</v>
      </c>
      <c r="AL3325" s="17"/>
      <c r="AM3325" s="17"/>
      <c r="AN3325" s="17"/>
      <c r="AO3325" s="17"/>
      <c r="AP3325" s="28" t="str">
        <f t="shared" si="1006"/>
        <v>CancelCancel</v>
      </c>
      <c r="AQ3325" s="28" t="str">
        <f t="shared" si="1007"/>
        <v>CancelCancelJPY</v>
      </c>
      <c r="AR3325" s="206" t="str">
        <f t="shared" si="1008"/>
        <v>YAMAHA_Mounter</v>
      </c>
      <c r="AS3325" s="22" t="str">
        <f t="shared" si="1009"/>
        <v/>
      </c>
      <c r="AT3325" s="24" t="str">
        <f t="shared" si="1010"/>
        <v/>
      </c>
    </row>
    <row r="3326" spans="1:46" s="12" customFormat="1">
      <c r="A3326" s="33" t="str">
        <f t="shared" si="998"/>
        <v>FY 20/21</v>
      </c>
      <c r="B3326" s="152">
        <v>2021</v>
      </c>
      <c r="C3326" s="152">
        <v>3</v>
      </c>
      <c r="D3326" s="33" t="str">
        <f t="shared" si="999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1000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1001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1012">IF(W3326="RMB","1.13", "1")</f>
        <v>1</v>
      </c>
      <c r="Z3326" s="18">
        <f t="shared" si="997"/>
        <v>13750000</v>
      </c>
      <c r="AA3326" s="13">
        <v>6.54E-2</v>
      </c>
      <c r="AB3326" s="21">
        <f t="shared" si="1002"/>
        <v>899250</v>
      </c>
      <c r="AC3326" s="130">
        <f t="shared" si="1003"/>
        <v>74367.974999999991</v>
      </c>
      <c r="AD3326" s="169">
        <v>8.2699999999999996E-2</v>
      </c>
      <c r="AE3326" s="154">
        <f t="shared" si="1004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93"/>
        <v>46600814.041769907</v>
      </c>
      <c r="AJ3326" s="19">
        <f t="shared" si="994"/>
        <v>5956366.3435927071</v>
      </c>
      <c r="AK3326" s="20">
        <f t="shared" si="1005"/>
        <v>0.1278167874546958</v>
      </c>
      <c r="AL3326" s="17"/>
      <c r="AM3326" s="17"/>
      <c r="AN3326" s="17"/>
      <c r="AO3326" s="17"/>
      <c r="AP3326" s="28" t="str">
        <f t="shared" si="1006"/>
        <v>20224</v>
      </c>
      <c r="AQ3326" s="28" t="str">
        <f t="shared" si="1007"/>
        <v>20224JPY</v>
      </c>
      <c r="AR3326" s="206" t="str">
        <f t="shared" si="1008"/>
        <v>YAMAHA_Mounter</v>
      </c>
      <c r="AS3326" s="22">
        <f t="shared" si="1009"/>
        <v>13</v>
      </c>
      <c r="AT3326" s="24" t="str">
        <f t="shared" si="1010"/>
        <v>&gt; 6 months</v>
      </c>
    </row>
    <row r="3327" spans="1:46" s="12" customFormat="1">
      <c r="A3327" s="33" t="str">
        <f t="shared" si="998"/>
        <v>FY 20/21</v>
      </c>
      <c r="B3327" s="152">
        <v>2021</v>
      </c>
      <c r="C3327" s="152">
        <v>3</v>
      </c>
      <c r="D3327" s="33" t="str">
        <f t="shared" si="999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1000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1001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1012"/>
        <v>1</v>
      </c>
      <c r="Z3327" s="18">
        <f t="shared" si="997"/>
        <v>13750000</v>
      </c>
      <c r="AA3327" s="13">
        <v>6.54E-2</v>
      </c>
      <c r="AB3327" s="21">
        <f t="shared" si="1002"/>
        <v>899250</v>
      </c>
      <c r="AC3327" s="130">
        <f t="shared" si="1003"/>
        <v>74367.974999999991</v>
      </c>
      <c r="AD3327" s="169">
        <v>8.2699999999999996E-2</v>
      </c>
      <c r="AE3327" s="154">
        <f t="shared" si="1004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93"/>
        <v>46600814.041769907</v>
      </c>
      <c r="AJ3327" s="19">
        <f t="shared" si="994"/>
        <v>5956366.3435927071</v>
      </c>
      <c r="AK3327" s="20">
        <f t="shared" si="1005"/>
        <v>0.1278167874546958</v>
      </c>
      <c r="AL3327" s="17"/>
      <c r="AM3327" s="17"/>
      <c r="AN3327" s="17"/>
      <c r="AO3327" s="17"/>
      <c r="AP3327" s="28" t="str">
        <f t="shared" si="1006"/>
        <v>20224</v>
      </c>
      <c r="AQ3327" s="28" t="str">
        <f t="shared" si="1007"/>
        <v>20224JPY</v>
      </c>
      <c r="AR3327" s="206" t="str">
        <f t="shared" si="1008"/>
        <v>YAMAHA_Mounter</v>
      </c>
      <c r="AS3327" s="22">
        <f t="shared" si="1009"/>
        <v>13</v>
      </c>
      <c r="AT3327" s="24" t="str">
        <f t="shared" si="1010"/>
        <v>&gt; 6 months</v>
      </c>
    </row>
    <row r="3328" spans="1:46" s="12" customFormat="1">
      <c r="A3328" s="33" t="str">
        <f t="shared" si="998"/>
        <v>FY 20/21</v>
      </c>
      <c r="B3328" s="152">
        <v>2021</v>
      </c>
      <c r="C3328" s="152">
        <v>3</v>
      </c>
      <c r="D3328" s="33" t="str">
        <f t="shared" si="999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1000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1001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1012"/>
        <v>1</v>
      </c>
      <c r="Z3328" s="18">
        <f t="shared" si="997"/>
        <v>13750000</v>
      </c>
      <c r="AA3328" s="13">
        <v>6.54E-2</v>
      </c>
      <c r="AB3328" s="21">
        <f t="shared" si="1002"/>
        <v>899250</v>
      </c>
      <c r="AC3328" s="130">
        <f t="shared" si="1003"/>
        <v>74367.974999999991</v>
      </c>
      <c r="AD3328" s="169">
        <v>8.2699999999999996E-2</v>
      </c>
      <c r="AE3328" s="154">
        <f t="shared" si="1004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93"/>
        <v>46600814.041769907</v>
      </c>
      <c r="AJ3328" s="19">
        <f t="shared" si="994"/>
        <v>5956366.3435927071</v>
      </c>
      <c r="AK3328" s="20">
        <f t="shared" si="1005"/>
        <v>0.1278167874546958</v>
      </c>
      <c r="AL3328" s="17"/>
      <c r="AM3328" s="17"/>
      <c r="AN3328" s="17"/>
      <c r="AO3328" s="17"/>
      <c r="AP3328" s="28" t="str">
        <f t="shared" si="1006"/>
        <v>20224</v>
      </c>
      <c r="AQ3328" s="28" t="str">
        <f t="shared" si="1007"/>
        <v>20224JPY</v>
      </c>
      <c r="AR3328" s="206" t="str">
        <f t="shared" si="1008"/>
        <v>YAMAHA_Mounter</v>
      </c>
      <c r="AS3328" s="22">
        <f t="shared" si="1009"/>
        <v>13</v>
      </c>
      <c r="AT3328" s="24" t="str">
        <f t="shared" si="1010"/>
        <v>&gt; 6 months</v>
      </c>
    </row>
    <row r="3329" spans="1:46" s="12" customFormat="1">
      <c r="A3329" s="33" t="str">
        <f t="shared" si="998"/>
        <v>FY 20/21</v>
      </c>
      <c r="B3329" s="152">
        <v>2021</v>
      </c>
      <c r="C3329" s="152">
        <v>3</v>
      </c>
      <c r="D3329" s="33" t="str">
        <f t="shared" si="999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1000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1001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1012"/>
        <v>1</v>
      </c>
      <c r="Z3329" s="18">
        <f t="shared" si="997"/>
        <v>13750000</v>
      </c>
      <c r="AA3329" s="13">
        <v>6.54E-2</v>
      </c>
      <c r="AB3329" s="21">
        <f t="shared" si="1002"/>
        <v>899250</v>
      </c>
      <c r="AC3329" s="130">
        <f t="shared" si="1003"/>
        <v>74367.974999999991</v>
      </c>
      <c r="AD3329" s="172">
        <v>8.2699999999999996E-2</v>
      </c>
      <c r="AE3329" s="154">
        <f t="shared" si="1004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93"/>
        <v>46600814.041769907</v>
      </c>
      <c r="AJ3329" s="19">
        <f t="shared" si="994"/>
        <v>5956366.3435927071</v>
      </c>
      <c r="AK3329" s="20">
        <f t="shared" si="1005"/>
        <v>0.1278167874546958</v>
      </c>
      <c r="AL3329" s="17"/>
      <c r="AM3329" s="17"/>
      <c r="AN3329" s="17"/>
      <c r="AO3329" s="17"/>
      <c r="AP3329" s="28" t="str">
        <f t="shared" si="1006"/>
        <v>20224</v>
      </c>
      <c r="AQ3329" s="28" t="str">
        <f t="shared" si="1007"/>
        <v>20224JPY</v>
      </c>
      <c r="AR3329" s="206" t="str">
        <f t="shared" si="1008"/>
        <v>YAMAHA_Mounter</v>
      </c>
      <c r="AS3329" s="22">
        <f t="shared" si="1009"/>
        <v>13</v>
      </c>
      <c r="AT3329" s="24" t="str">
        <f t="shared" si="1010"/>
        <v>&gt; 6 months</v>
      </c>
    </row>
    <row r="3330" spans="1:46" s="12" customFormat="1">
      <c r="A3330" s="33" t="str">
        <f t="shared" si="998"/>
        <v>FY 20/21</v>
      </c>
      <c r="B3330" s="152">
        <v>2020</v>
      </c>
      <c r="C3330" s="152">
        <v>11</v>
      </c>
      <c r="D3330" s="33" t="str">
        <f t="shared" si="999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1000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1001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1012"/>
        <v>1</v>
      </c>
      <c r="Z3330" s="18">
        <f t="shared" si="997"/>
        <v>15000000</v>
      </c>
      <c r="AA3330" s="13">
        <v>7.6799999999999993E-2</v>
      </c>
      <c r="AB3330" s="21">
        <f t="shared" si="1002"/>
        <v>1152000</v>
      </c>
      <c r="AC3330" s="130">
        <f t="shared" si="1003"/>
        <v>156441.60000000001</v>
      </c>
      <c r="AD3330" s="172">
        <v>0.1358</v>
      </c>
      <c r="AE3330" s="154">
        <f t="shared" si="1004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1013">IF(P3330="C66 SERVICE","",SUMIFS(AB:AB,F:F,F3330,G:G,G3330,E:E,E3330))</f>
        <v>45803245.025628321</v>
      </c>
      <c r="AJ3330" s="19">
        <f t="shared" ref="AJ3330:AJ3393" si="1014">IF(P3330="C66 SERVICE","",SUMIFS(AC:AC,F:F,F3330,G:G,G3330,E:E,E3330))</f>
        <v>5664636.2584379362</v>
      </c>
      <c r="AK3330" s="20">
        <f t="shared" si="1005"/>
        <v>0.12367325186825515</v>
      </c>
      <c r="AL3330" s="17"/>
      <c r="AM3330" s="17"/>
      <c r="AN3330" s="17"/>
      <c r="AO3330" s="17" t="s">
        <v>1441</v>
      </c>
      <c r="AP3330" s="28" t="str">
        <f t="shared" si="1006"/>
        <v>20211</v>
      </c>
      <c r="AQ3330" s="28" t="str">
        <f t="shared" si="1007"/>
        <v>20211JPY</v>
      </c>
      <c r="AR3330" s="206" t="str">
        <f t="shared" si="1008"/>
        <v>YAMAHA_Mounter</v>
      </c>
      <c r="AS3330" s="22">
        <f t="shared" si="1009"/>
        <v>2</v>
      </c>
      <c r="AT3330" s="24" t="str">
        <f t="shared" si="1010"/>
        <v>0-3 months</v>
      </c>
    </row>
    <row r="3331" spans="1:46" s="12" customFormat="1">
      <c r="A3331" s="33" t="str">
        <f t="shared" si="998"/>
        <v>FY 20/21</v>
      </c>
      <c r="B3331" s="152">
        <v>2020</v>
      </c>
      <c r="C3331" s="152">
        <v>11</v>
      </c>
      <c r="D3331" s="33" t="str">
        <f t="shared" si="999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1000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1001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1012"/>
        <v>1</v>
      </c>
      <c r="Z3331" s="18">
        <f t="shared" si="997"/>
        <v>10290000</v>
      </c>
      <c r="AA3331" s="13">
        <v>7.6799999999999993E-2</v>
      </c>
      <c r="AB3331" s="21">
        <f t="shared" si="1002"/>
        <v>790271.99999999988</v>
      </c>
      <c r="AC3331" s="130">
        <f t="shared" si="1003"/>
        <v>107318.93759999999</v>
      </c>
      <c r="AD3331" s="169">
        <v>0.1358</v>
      </c>
      <c r="AE3331" s="154">
        <f t="shared" si="1004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1013"/>
        <v>45803245.025628321</v>
      </c>
      <c r="AJ3331" s="19">
        <f t="shared" si="1014"/>
        <v>5664636.2584379362</v>
      </c>
      <c r="AK3331" s="20">
        <f t="shared" si="1005"/>
        <v>0.12367325186825515</v>
      </c>
      <c r="AL3331" s="17"/>
      <c r="AM3331" s="17"/>
      <c r="AN3331" s="17"/>
      <c r="AO3331" s="17" t="s">
        <v>1513</v>
      </c>
      <c r="AP3331" s="28" t="str">
        <f t="shared" si="1006"/>
        <v>20211</v>
      </c>
      <c r="AQ3331" s="28" t="str">
        <f t="shared" si="1007"/>
        <v>20211JPY</v>
      </c>
      <c r="AR3331" s="206" t="str">
        <f t="shared" si="1008"/>
        <v>YAMAHA_Mounter</v>
      </c>
      <c r="AS3331" s="22">
        <f t="shared" si="1009"/>
        <v>2</v>
      </c>
      <c r="AT3331" s="24" t="str">
        <f t="shared" si="1010"/>
        <v>0-3 months</v>
      </c>
    </row>
    <row r="3332" spans="1:46" s="12" customFormat="1">
      <c r="A3332" s="33" t="str">
        <f t="shared" si="998"/>
        <v>FY 23/24</v>
      </c>
      <c r="B3332" s="152">
        <v>2023</v>
      </c>
      <c r="C3332" s="152">
        <v>4</v>
      </c>
      <c r="D3332" s="33" t="str">
        <f t="shared" si="999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1000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1001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1012"/>
        <v>1</v>
      </c>
      <c r="Z3332" s="18">
        <f t="shared" si="997"/>
        <v>11880000</v>
      </c>
      <c r="AA3332" s="13">
        <v>5.7099999999999998E-2</v>
      </c>
      <c r="AB3332" s="21">
        <f t="shared" si="1002"/>
        <v>678348</v>
      </c>
      <c r="AC3332" s="130">
        <f t="shared" si="1003"/>
        <v>66885.112800000003</v>
      </c>
      <c r="AD3332" s="169">
        <v>9.8599999999999993E-2</v>
      </c>
      <c r="AE3332" s="154">
        <f t="shared" si="1004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1013"/>
        <v>13640480.497522123</v>
      </c>
      <c r="AJ3332" s="19">
        <f t="shared" si="1014"/>
        <v>1928605.8020906283</v>
      </c>
      <c r="AK3332" s="20">
        <f t="shared" si="1005"/>
        <v>0.1413884065477731</v>
      </c>
      <c r="AL3332" s="17"/>
      <c r="AM3332" s="17"/>
      <c r="AN3332" s="17"/>
      <c r="AO3332" s="17"/>
      <c r="AP3332" s="28" t="str">
        <f t="shared" si="1006"/>
        <v>20236</v>
      </c>
      <c r="AQ3332" s="28" t="str">
        <f t="shared" si="1007"/>
        <v>20236JPY</v>
      </c>
      <c r="AR3332" s="206" t="str">
        <f t="shared" si="1008"/>
        <v>YAMAHA_Mounter</v>
      </c>
      <c r="AS3332" s="22">
        <f t="shared" si="1009"/>
        <v>2</v>
      </c>
      <c r="AT3332" s="24" t="str">
        <f t="shared" si="1010"/>
        <v>0-3 months</v>
      </c>
    </row>
    <row r="3333" spans="1:46" s="12" customFormat="1">
      <c r="A3333" s="33" t="str">
        <f t="shared" si="998"/>
        <v>FY 22/23</v>
      </c>
      <c r="B3333" s="152">
        <v>2022</v>
      </c>
      <c r="C3333" s="152">
        <v>9</v>
      </c>
      <c r="D3333" s="33" t="str">
        <f t="shared" si="999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1000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1001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1012"/>
        <v>1.13</v>
      </c>
      <c r="Z3333" s="18">
        <f t="shared" si="997"/>
        <v>600000</v>
      </c>
      <c r="AA3333" s="13">
        <v>1.135</v>
      </c>
      <c r="AB3333" s="21">
        <f t="shared" si="1002"/>
        <v>602654.8672566372</v>
      </c>
      <c r="AC3333" s="130">
        <f t="shared" si="1003"/>
        <v>112816.99115044248</v>
      </c>
      <c r="AD3333" s="172">
        <v>0.18720000000000001</v>
      </c>
      <c r="AE3333" s="154">
        <f t="shared" si="1004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1013"/>
        <v>15948576.102654871</v>
      </c>
      <c r="AJ3333" s="19">
        <f t="shared" si="1014"/>
        <v>2739848.7004853105</v>
      </c>
      <c r="AK3333" s="20">
        <f t="shared" si="1005"/>
        <v>0.17179268436567344</v>
      </c>
      <c r="AL3333" s="17"/>
      <c r="AM3333" s="17"/>
      <c r="AN3333" s="17"/>
      <c r="AO3333" s="17"/>
      <c r="AP3333" s="28" t="str">
        <f t="shared" si="1006"/>
        <v>20229</v>
      </c>
      <c r="AQ3333" s="28" t="str">
        <f t="shared" si="1007"/>
        <v>20229RMB</v>
      </c>
      <c r="AR3333" s="206" t="str">
        <f t="shared" si="1008"/>
        <v>YAMAHA_Mounter</v>
      </c>
      <c r="AS3333" s="22">
        <f t="shared" si="1009"/>
        <v>0</v>
      </c>
      <c r="AT3333" s="24" t="str">
        <f t="shared" si="1010"/>
        <v>0-3 months</v>
      </c>
    </row>
    <row r="3334" spans="1:46" s="12" customFormat="1">
      <c r="A3334" s="33" t="str">
        <f t="shared" si="998"/>
        <v>FY 22/23</v>
      </c>
      <c r="B3334" s="152">
        <v>2022</v>
      </c>
      <c r="C3334" s="152">
        <v>5</v>
      </c>
      <c r="D3334" s="33" t="str">
        <f t="shared" si="999"/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si="1000"/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1001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1012"/>
        <v>1</v>
      </c>
      <c r="Z3334" s="18">
        <f t="shared" si="997"/>
        <v>10500000</v>
      </c>
      <c r="AA3334" s="13">
        <v>6.25E-2</v>
      </c>
      <c r="AB3334" s="21">
        <f t="shared" si="1002"/>
        <v>656250</v>
      </c>
      <c r="AC3334" s="130">
        <f t="shared" si="1003"/>
        <v>77240.625</v>
      </c>
      <c r="AD3334" s="169">
        <v>0.1177</v>
      </c>
      <c r="AE3334" s="154">
        <f t="shared" si="1004"/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1013"/>
        <v>35682787.057522126</v>
      </c>
      <c r="AJ3334" s="19">
        <f t="shared" si="1014"/>
        <v>5833368.3789623892</v>
      </c>
      <c r="AK3334" s="20">
        <f t="shared" si="1005"/>
        <v>0.16347849649632912</v>
      </c>
      <c r="AL3334" s="17"/>
      <c r="AM3334" s="17"/>
      <c r="AN3334" s="17"/>
      <c r="AO3334" s="17"/>
      <c r="AP3334" s="28" t="str">
        <f t="shared" si="1006"/>
        <v>20226</v>
      </c>
      <c r="AQ3334" s="28" t="str">
        <f t="shared" si="1007"/>
        <v>20226JPY</v>
      </c>
      <c r="AR3334" s="206" t="str">
        <f t="shared" si="1008"/>
        <v>YAMAHA_Mounter</v>
      </c>
      <c r="AS3334" s="22">
        <f t="shared" si="1009"/>
        <v>1</v>
      </c>
      <c r="AT3334" s="24" t="str">
        <f t="shared" si="1010"/>
        <v>0-3 months</v>
      </c>
    </row>
    <row r="3335" spans="1:46" s="12" customFormat="1">
      <c r="A3335" s="33" t="str">
        <f t="shared" si="998"/>
        <v>FY 20/21</v>
      </c>
      <c r="B3335" s="152">
        <v>2020</v>
      </c>
      <c r="C3335" s="152">
        <v>6</v>
      </c>
      <c r="D3335" s="33" t="str">
        <f t="shared" si="999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1000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1001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97"/>
        <v>848000</v>
      </c>
      <c r="AA3335" s="13">
        <v>1.095</v>
      </c>
      <c r="AB3335" s="21">
        <f t="shared" si="1002"/>
        <v>821734.51327433635</v>
      </c>
      <c r="AC3335" s="130">
        <f t="shared" si="1003"/>
        <v>104935.49734513275</v>
      </c>
      <c r="AD3335" s="172">
        <v>0.12770000000000001</v>
      </c>
      <c r="AE3335" s="154">
        <f t="shared" si="1004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1013"/>
        <v>35384300.169380538</v>
      </c>
      <c r="AJ3335" s="19">
        <f t="shared" si="1014"/>
        <v>5044538.8896988509</v>
      </c>
      <c r="AK3335" s="20">
        <f t="shared" si="1005"/>
        <v>0.14256432557804533</v>
      </c>
      <c r="AL3335" s="17"/>
      <c r="AM3335" s="17"/>
      <c r="AN3335" s="17"/>
      <c r="AO3335" s="17"/>
      <c r="AP3335" s="28" t="str">
        <f t="shared" si="1006"/>
        <v>20207</v>
      </c>
      <c r="AQ3335" s="28" t="str">
        <f t="shared" si="1007"/>
        <v>20207RMB</v>
      </c>
      <c r="AR3335" s="206" t="str">
        <f t="shared" si="1008"/>
        <v>YAMAHA_Mounter</v>
      </c>
      <c r="AS3335" s="22">
        <f t="shared" si="1009"/>
        <v>1</v>
      </c>
      <c r="AT3335" s="24" t="str">
        <f t="shared" si="1010"/>
        <v>0-3 months</v>
      </c>
    </row>
    <row r="3336" spans="1:46" s="12" customFormat="1">
      <c r="A3336" s="33" t="str">
        <f t="shared" si="998"/>
        <v>FY 20/21</v>
      </c>
      <c r="B3336" s="152">
        <v>2020</v>
      </c>
      <c r="C3336" s="152">
        <v>6</v>
      </c>
      <c r="D3336" s="33" t="str">
        <f t="shared" si="999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1000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1001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97"/>
        <v>580000</v>
      </c>
      <c r="AA3336" s="13">
        <v>1.095</v>
      </c>
      <c r="AB3336" s="21">
        <f t="shared" si="1002"/>
        <v>562035.39823008853</v>
      </c>
      <c r="AC3336" s="130">
        <f t="shared" si="1003"/>
        <v>71771.920353982307</v>
      </c>
      <c r="AD3336" s="172">
        <v>0.12770000000000001</v>
      </c>
      <c r="AE3336" s="154">
        <f t="shared" si="1004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1013"/>
        <v>35384300.169380538</v>
      </c>
      <c r="AJ3336" s="19">
        <f t="shared" si="1014"/>
        <v>5044538.8896988509</v>
      </c>
      <c r="AK3336" s="20">
        <f t="shared" si="1005"/>
        <v>0.14256432557804533</v>
      </c>
      <c r="AL3336" s="17"/>
      <c r="AM3336" s="17"/>
      <c r="AN3336" s="17"/>
      <c r="AO3336" s="17"/>
      <c r="AP3336" s="28" t="str">
        <f t="shared" si="1006"/>
        <v>20207</v>
      </c>
      <c r="AQ3336" s="28" t="str">
        <f t="shared" si="1007"/>
        <v>20207RMB</v>
      </c>
      <c r="AR3336" s="206" t="str">
        <f t="shared" si="1008"/>
        <v>YAMAHA_Mounter</v>
      </c>
      <c r="AS3336" s="22">
        <f t="shared" si="1009"/>
        <v>1</v>
      </c>
      <c r="AT3336" s="24" t="str">
        <f t="shared" si="1010"/>
        <v>0-3 months</v>
      </c>
    </row>
    <row r="3337" spans="1:46" s="12" customFormat="1">
      <c r="A3337" s="33" t="str">
        <f t="shared" si="998"/>
        <v>FY 20/21</v>
      </c>
      <c r="B3337" s="152">
        <v>2020</v>
      </c>
      <c r="C3337" s="152">
        <v>6</v>
      </c>
      <c r="D3337" s="33" t="str">
        <f t="shared" si="999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1000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1001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97"/>
        <v>580000</v>
      </c>
      <c r="AA3337" s="13">
        <v>1.095</v>
      </c>
      <c r="AB3337" s="21">
        <f t="shared" si="1002"/>
        <v>562035.39823008853</v>
      </c>
      <c r="AC3337" s="130">
        <f t="shared" si="1003"/>
        <v>71771.920353982307</v>
      </c>
      <c r="AD3337" s="172">
        <v>0.12770000000000001</v>
      </c>
      <c r="AE3337" s="154">
        <f t="shared" si="1004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1013"/>
        <v>35384300.169380538</v>
      </c>
      <c r="AJ3337" s="19">
        <f t="shared" si="1014"/>
        <v>5044538.8896988509</v>
      </c>
      <c r="AK3337" s="20">
        <f t="shared" si="1005"/>
        <v>0.14256432557804533</v>
      </c>
      <c r="AL3337" s="17"/>
      <c r="AM3337" s="17"/>
      <c r="AN3337" s="17"/>
      <c r="AO3337" s="17"/>
      <c r="AP3337" s="28" t="str">
        <f t="shared" si="1006"/>
        <v>20207</v>
      </c>
      <c r="AQ3337" s="28" t="str">
        <f t="shared" si="1007"/>
        <v>20207RMB</v>
      </c>
      <c r="AR3337" s="206" t="str">
        <f t="shared" si="1008"/>
        <v>YAMAHA_Mounter</v>
      </c>
      <c r="AS3337" s="22">
        <f t="shared" si="1009"/>
        <v>1</v>
      </c>
      <c r="AT3337" s="24" t="str">
        <f t="shared" si="1010"/>
        <v>0-3 months</v>
      </c>
    </row>
    <row r="3338" spans="1:46" s="12" customFormat="1">
      <c r="A3338" s="33" t="str">
        <f t="shared" si="998"/>
        <v>cancel</v>
      </c>
      <c r="B3338" s="152"/>
      <c r="C3338" s="152" t="s">
        <v>186</v>
      </c>
      <c r="D3338" s="33" t="str">
        <f t="shared" si="999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1000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1001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97"/>
        <v>910000</v>
      </c>
      <c r="AA3338" s="13">
        <v>1.095</v>
      </c>
      <c r="AB3338" s="21">
        <f t="shared" si="1002"/>
        <v>881814.15929203539</v>
      </c>
      <c r="AC3338" s="130">
        <f t="shared" si="1003"/>
        <v>105817.69911504425</v>
      </c>
      <c r="AD3338" s="169">
        <v>0.12</v>
      </c>
      <c r="AE3338" s="154">
        <f t="shared" si="1004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1013"/>
        <v>477651199.57437885</v>
      </c>
      <c r="AJ3338" s="19">
        <f t="shared" si="1014"/>
        <v>56918800.518691957</v>
      </c>
      <c r="AK3338" s="20">
        <f t="shared" si="1005"/>
        <v>0.11916394341605475</v>
      </c>
      <c r="AL3338" s="17"/>
      <c r="AM3338" s="17"/>
      <c r="AN3338" s="17"/>
      <c r="AO3338" s="17"/>
      <c r="AP3338" s="28" t="str">
        <f t="shared" si="1006"/>
        <v>CancelCancel</v>
      </c>
      <c r="AQ3338" s="28" t="str">
        <f t="shared" si="1007"/>
        <v>CancelCancelRMB</v>
      </c>
      <c r="AR3338" s="206" t="str">
        <f t="shared" si="1008"/>
        <v>YAMAHA_Mounter</v>
      </c>
      <c r="AS3338" s="22" t="str">
        <f t="shared" si="1009"/>
        <v/>
      </c>
      <c r="AT3338" s="24" t="str">
        <f t="shared" si="1010"/>
        <v/>
      </c>
    </row>
    <row r="3339" spans="1:46" s="12" customFormat="1">
      <c r="A3339" s="33" t="str">
        <f t="shared" si="998"/>
        <v>FY 21/22</v>
      </c>
      <c r="B3339" s="152">
        <v>2021</v>
      </c>
      <c r="C3339" s="152">
        <v>5</v>
      </c>
      <c r="D3339" s="33" t="str">
        <f t="shared" si="999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1000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1001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97"/>
        <v>17150000</v>
      </c>
      <c r="AA3339" s="13">
        <v>7.17E-2</v>
      </c>
      <c r="AB3339" s="21">
        <f t="shared" si="1002"/>
        <v>1229655</v>
      </c>
      <c r="AC3339" s="130">
        <f t="shared" si="1003"/>
        <v>200064.86850000001</v>
      </c>
      <c r="AD3339" s="169">
        <v>0.16270000000000001</v>
      </c>
      <c r="AE3339" s="154">
        <f t="shared" si="1004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1013"/>
        <v>41443303.53761062</v>
      </c>
      <c r="AJ3339" s="19">
        <f t="shared" si="1014"/>
        <v>6194988.76643031</v>
      </c>
      <c r="AK3339" s="20">
        <f t="shared" si="1005"/>
        <v>0.1494810557466355</v>
      </c>
      <c r="AL3339" s="17"/>
      <c r="AM3339" s="17"/>
      <c r="AN3339" s="17"/>
      <c r="AO3339" s="17"/>
      <c r="AP3339" s="28" t="str">
        <f t="shared" si="1006"/>
        <v>20217</v>
      </c>
      <c r="AQ3339" s="28" t="str">
        <f t="shared" si="1007"/>
        <v>20217JPY</v>
      </c>
      <c r="AR3339" s="206" t="str">
        <f t="shared" si="1008"/>
        <v>YAMAHA_Mounter</v>
      </c>
      <c r="AS3339" s="22">
        <f t="shared" si="1009"/>
        <v>2</v>
      </c>
      <c r="AT3339" s="24" t="str">
        <f t="shared" si="1010"/>
        <v>0-3 months</v>
      </c>
    </row>
    <row r="3340" spans="1:46" s="12" customFormat="1">
      <c r="A3340" s="33" t="str">
        <f t="shared" si="998"/>
        <v>FY 21/22</v>
      </c>
      <c r="B3340" s="152">
        <v>2021</v>
      </c>
      <c r="C3340" s="152">
        <v>5</v>
      </c>
      <c r="D3340" s="33" t="str">
        <f t="shared" si="999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1000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1001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97"/>
        <v>9500000</v>
      </c>
      <c r="AA3340" s="13">
        <v>7.17E-2</v>
      </c>
      <c r="AB3340" s="21">
        <f t="shared" si="1002"/>
        <v>681150</v>
      </c>
      <c r="AC3340" s="130">
        <f t="shared" si="1003"/>
        <v>110823.10500000001</v>
      </c>
      <c r="AD3340" s="169">
        <v>0.16270000000000001</v>
      </c>
      <c r="AE3340" s="154">
        <f t="shared" si="1004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1013"/>
        <v>41443303.53761062</v>
      </c>
      <c r="AJ3340" s="19">
        <f t="shared" si="1014"/>
        <v>6194988.76643031</v>
      </c>
      <c r="AK3340" s="20">
        <f t="shared" si="1005"/>
        <v>0.1494810557466355</v>
      </c>
      <c r="AL3340" s="17"/>
      <c r="AM3340" s="17"/>
      <c r="AN3340" s="17"/>
      <c r="AO3340" s="17"/>
      <c r="AP3340" s="28" t="str">
        <f t="shared" si="1006"/>
        <v>20217</v>
      </c>
      <c r="AQ3340" s="28" t="str">
        <f t="shared" si="1007"/>
        <v>20217JPY</v>
      </c>
      <c r="AR3340" s="206" t="str">
        <f t="shared" si="1008"/>
        <v>YAMAHA_Mounter</v>
      </c>
      <c r="AS3340" s="22">
        <f t="shared" si="1009"/>
        <v>2</v>
      </c>
      <c r="AT3340" s="24" t="str">
        <f t="shared" si="1010"/>
        <v>0-3 months</v>
      </c>
    </row>
    <row r="3341" spans="1:46" s="12" customFormat="1">
      <c r="A3341" s="33" t="str">
        <f t="shared" si="998"/>
        <v>FY 21/22</v>
      </c>
      <c r="B3341" s="152">
        <v>2021</v>
      </c>
      <c r="C3341" s="152">
        <v>5</v>
      </c>
      <c r="D3341" s="33" t="str">
        <f t="shared" si="999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1000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1001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97"/>
        <v>9500000</v>
      </c>
      <c r="AA3341" s="13">
        <v>6.9199999999999998E-2</v>
      </c>
      <c r="AB3341" s="21">
        <f t="shared" si="1002"/>
        <v>657400</v>
      </c>
      <c r="AC3341" s="130">
        <f t="shared" si="1003"/>
        <v>106958.98000000001</v>
      </c>
      <c r="AD3341" s="169">
        <v>0.16270000000000001</v>
      </c>
      <c r="AE3341" s="154">
        <f t="shared" si="1004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1013"/>
        <v>26407088.359292038</v>
      </c>
      <c r="AJ3341" s="19">
        <f t="shared" si="1014"/>
        <v>3424510.6998470789</v>
      </c>
      <c r="AK3341" s="20">
        <f t="shared" si="1005"/>
        <v>0.12968149510667554</v>
      </c>
      <c r="AL3341" s="17"/>
      <c r="AM3341" s="17"/>
      <c r="AN3341" s="17"/>
      <c r="AO3341" s="17"/>
      <c r="AP3341" s="28" t="str">
        <f t="shared" si="1006"/>
        <v>20221</v>
      </c>
      <c r="AQ3341" s="28" t="str">
        <f t="shared" si="1007"/>
        <v>20221JPY</v>
      </c>
      <c r="AR3341" s="206" t="str">
        <f t="shared" si="1008"/>
        <v>YAMAHA_Mounter</v>
      </c>
      <c r="AS3341" s="22">
        <f t="shared" si="1009"/>
        <v>8</v>
      </c>
      <c r="AT3341" s="24" t="str">
        <f t="shared" si="1010"/>
        <v>&gt; 6 months</v>
      </c>
    </row>
    <row r="3342" spans="1:46" s="12" customFormat="1">
      <c r="A3342" s="33" t="str">
        <f t="shared" si="998"/>
        <v>FY 20/21</v>
      </c>
      <c r="B3342" s="152">
        <v>2020</v>
      </c>
      <c r="C3342" s="152">
        <v>12</v>
      </c>
      <c r="D3342" s="33" t="str">
        <f t="shared" si="999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1000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1001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97"/>
        <v>12800000</v>
      </c>
      <c r="AA3342" s="13">
        <v>7.17E-2</v>
      </c>
      <c r="AB3342" s="21">
        <f t="shared" si="1002"/>
        <v>917760</v>
      </c>
      <c r="AC3342" s="130">
        <f t="shared" si="1003"/>
        <v>100586.496</v>
      </c>
      <c r="AD3342" s="169">
        <v>0.1096</v>
      </c>
      <c r="AE3342" s="154">
        <f t="shared" si="1004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1013"/>
        <v>43684091.636631854</v>
      </c>
      <c r="AJ3342" s="19">
        <f t="shared" si="1014"/>
        <v>6483951.8242071122</v>
      </c>
      <c r="AK3342" s="20">
        <f t="shared" si="1005"/>
        <v>0.14842821680123736</v>
      </c>
      <c r="AL3342" s="17"/>
      <c r="AM3342" s="17"/>
      <c r="AN3342" s="17"/>
      <c r="AO3342" s="17"/>
      <c r="AP3342" s="28" t="str">
        <f t="shared" si="1006"/>
        <v>20214</v>
      </c>
      <c r="AQ3342" s="28" t="str">
        <f t="shared" si="1007"/>
        <v>20214JPY</v>
      </c>
      <c r="AR3342" s="206" t="str">
        <f t="shared" si="1008"/>
        <v>YAMAHA_Mounter</v>
      </c>
      <c r="AS3342" s="22">
        <f t="shared" si="1009"/>
        <v>4</v>
      </c>
      <c r="AT3342" s="24" t="str">
        <f t="shared" si="1010"/>
        <v>4-6 months</v>
      </c>
    </row>
    <row r="3343" spans="1:46" s="12" customFormat="1">
      <c r="A3343" s="33" t="str">
        <f t="shared" si="998"/>
        <v>FY 24/25</v>
      </c>
      <c r="B3343" s="23">
        <v>2024</v>
      </c>
      <c r="C3343" s="152">
        <v>4</v>
      </c>
      <c r="D3343" s="202" t="str">
        <f t="shared" si="999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1000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1001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97"/>
        <v>640000</v>
      </c>
      <c r="AA3343" s="22">
        <v>1.1080000000000001</v>
      </c>
      <c r="AB3343" s="197">
        <f t="shared" si="1002"/>
        <v>627539.82300884963</v>
      </c>
      <c r="AC3343" s="198">
        <f t="shared" si="1003"/>
        <v>75304.778761061956</v>
      </c>
      <c r="AD3343" s="172">
        <v>0.12</v>
      </c>
      <c r="AE3343" s="199">
        <f t="shared" si="1004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1013"/>
        <v>24129972.828771491</v>
      </c>
      <c r="AJ3343" s="200">
        <f t="shared" si="1014"/>
        <v>2880955.0890193055</v>
      </c>
      <c r="AK3343" s="201">
        <f t="shared" si="1005"/>
        <v>0.11939321728469518</v>
      </c>
      <c r="AL3343" s="24"/>
      <c r="AM3343" s="24"/>
      <c r="AN3343" s="24"/>
      <c r="AO3343" s="24"/>
      <c r="AP3343" s="28" t="str">
        <f t="shared" si="1006"/>
        <v>202411</v>
      </c>
      <c r="AQ3343" s="208" t="str">
        <f t="shared" si="1007"/>
        <v>202411RMB</v>
      </c>
      <c r="AR3343" s="206" t="str">
        <f t="shared" si="1008"/>
        <v>YAMAHA_Mounter</v>
      </c>
      <c r="AS3343" s="22">
        <f t="shared" si="1009"/>
        <v>7</v>
      </c>
      <c r="AT3343" s="24" t="str">
        <f t="shared" si="1010"/>
        <v>&gt; 6 months</v>
      </c>
    </row>
    <row r="3344" spans="1:46" s="12" customFormat="1">
      <c r="A3344" s="33" t="str">
        <f t="shared" si="998"/>
        <v>FY 18/19</v>
      </c>
      <c r="B3344" s="152">
        <v>2018</v>
      </c>
      <c r="C3344" s="152">
        <v>7</v>
      </c>
      <c r="D3344" s="33" t="str">
        <f t="shared" si="999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1000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1001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97"/>
        <v>9600000</v>
      </c>
      <c r="AA3344" s="13">
        <v>7.2099999999999997E-2</v>
      </c>
      <c r="AB3344" s="21">
        <f t="shared" si="1002"/>
        <v>692160</v>
      </c>
      <c r="AC3344" s="130">
        <f t="shared" si="1003"/>
        <v>112129.92</v>
      </c>
      <c r="AD3344" s="169">
        <v>0.16200000000000001</v>
      </c>
      <c r="AE3344" s="154">
        <f t="shared" si="1004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1013"/>
        <v>26492741.106427077</v>
      </c>
      <c r="AJ3344" s="19">
        <f t="shared" si="1014"/>
        <v>3348032.1325698122</v>
      </c>
      <c r="AK3344" s="20">
        <f t="shared" si="1005"/>
        <v>0.12637545201985867</v>
      </c>
      <c r="AL3344" s="17"/>
      <c r="AM3344" s="17"/>
      <c r="AN3344" s="17"/>
      <c r="AO3344" s="17"/>
      <c r="AP3344" s="28" t="str">
        <f t="shared" si="1006"/>
        <v>20189</v>
      </c>
      <c r="AQ3344" s="28" t="str">
        <f t="shared" si="1007"/>
        <v>20189JPY</v>
      </c>
      <c r="AR3344" s="206" t="str">
        <f t="shared" si="1008"/>
        <v>YAMAHA_Mounter</v>
      </c>
      <c r="AS3344" s="22">
        <f t="shared" si="1009"/>
        <v>2</v>
      </c>
      <c r="AT3344" s="24" t="str">
        <f t="shared" si="1010"/>
        <v>0-3 months</v>
      </c>
    </row>
    <row r="3345" spans="1:46" s="12" customFormat="1">
      <c r="A3345" s="33" t="str">
        <f t="shared" si="998"/>
        <v>FY 20/21</v>
      </c>
      <c r="B3345" s="152">
        <v>2020</v>
      </c>
      <c r="C3345" s="152">
        <v>9</v>
      </c>
      <c r="D3345" s="33" t="str">
        <f t="shared" si="999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1000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1001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97"/>
        <v>7771400</v>
      </c>
      <c r="AA3345" s="13">
        <v>7.2099999999999997E-2</v>
      </c>
      <c r="AB3345" s="21">
        <f t="shared" si="1002"/>
        <v>560317.93999999994</v>
      </c>
      <c r="AC3345" s="130">
        <f t="shared" si="1003"/>
        <v>134756.46456999998</v>
      </c>
      <c r="AD3345" s="169">
        <v>0.24049999999999999</v>
      </c>
      <c r="AE3345" s="154">
        <f t="shared" si="1004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1013"/>
        <v>54700260.692079648</v>
      </c>
      <c r="AJ3345" s="19">
        <f t="shared" si="1014"/>
        <v>7482899.5749188727</v>
      </c>
      <c r="AK3345" s="20">
        <f t="shared" si="1005"/>
        <v>0.13679824337660537</v>
      </c>
      <c r="AL3345" s="17"/>
      <c r="AM3345" s="17"/>
      <c r="AN3345" s="17"/>
      <c r="AO3345" s="17"/>
      <c r="AP3345" s="28" t="str">
        <f t="shared" si="1006"/>
        <v>20216</v>
      </c>
      <c r="AQ3345" s="28" t="str">
        <f t="shared" si="1007"/>
        <v>20216JPY</v>
      </c>
      <c r="AR3345" s="206" t="str">
        <f t="shared" si="1008"/>
        <v>YAMAHA_Non_Mounter</v>
      </c>
      <c r="AS3345" s="22">
        <f t="shared" si="1009"/>
        <v>9</v>
      </c>
      <c r="AT3345" s="24" t="str">
        <f t="shared" si="1010"/>
        <v>&gt; 6 months</v>
      </c>
    </row>
    <row r="3346" spans="1:46" s="12" customFormat="1" ht="42">
      <c r="A3346" s="33" t="str">
        <f t="shared" si="998"/>
        <v/>
      </c>
      <c r="B3346" s="52"/>
      <c r="C3346" s="52"/>
      <c r="D3346" s="33" t="str">
        <f t="shared" si="999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1000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1001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97"/>
        <v/>
      </c>
      <c r="AA3346" s="128"/>
      <c r="AB3346" s="129">
        <v>782000</v>
      </c>
      <c r="AC3346" s="130">
        <f t="shared" si="1003"/>
        <v>0</v>
      </c>
      <c r="AD3346" s="210"/>
      <c r="AE3346" s="154">
        <f t="shared" si="1004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1013"/>
        <v>29840797.698275864</v>
      </c>
      <c r="AJ3346" s="19">
        <f t="shared" si="1014"/>
        <v>3940167.6555448272</v>
      </c>
      <c r="AK3346" s="20">
        <f t="shared" si="1005"/>
        <v>0.13203962224416277</v>
      </c>
      <c r="AL3346" s="55"/>
      <c r="AM3346" s="55"/>
      <c r="AN3346" s="55"/>
      <c r="AO3346" s="55"/>
      <c r="AP3346" s="28" t="str">
        <f t="shared" si="1006"/>
        <v>201812</v>
      </c>
      <c r="AQ3346" s="28" t="str">
        <f t="shared" si="1007"/>
        <v/>
      </c>
      <c r="AR3346" s="206" t="str">
        <f t="shared" si="1008"/>
        <v>C66 SERVICE</v>
      </c>
      <c r="AS3346" s="22" t="str">
        <f t="shared" si="1009"/>
        <v/>
      </c>
      <c r="AT3346" s="24" t="str">
        <f t="shared" si="1010"/>
        <v/>
      </c>
    </row>
    <row r="3347" spans="1:46" s="12" customFormat="1" ht="42">
      <c r="A3347" s="33" t="str">
        <f t="shared" si="998"/>
        <v/>
      </c>
      <c r="B3347" s="52"/>
      <c r="C3347" s="52"/>
      <c r="D3347" s="33" t="str">
        <f t="shared" si="999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1000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1001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97"/>
        <v/>
      </c>
      <c r="AA3347" s="128"/>
      <c r="AB3347" s="129">
        <v>605000</v>
      </c>
      <c r="AC3347" s="130">
        <f t="shared" si="1003"/>
        <v>0</v>
      </c>
      <c r="AD3347" s="210"/>
      <c r="AE3347" s="154">
        <f t="shared" si="1004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1013"/>
        <v>10785027.603448275</v>
      </c>
      <c r="AJ3347" s="19">
        <f t="shared" si="1014"/>
        <v>1540894.1297982759</v>
      </c>
      <c r="AK3347" s="20">
        <f t="shared" si="1005"/>
        <v>0.1428734525728621</v>
      </c>
      <c r="AL3347" s="55"/>
      <c r="AM3347" s="55"/>
      <c r="AN3347" s="55"/>
      <c r="AO3347" s="55"/>
      <c r="AP3347" s="28" t="str">
        <f t="shared" si="1006"/>
        <v>201811</v>
      </c>
      <c r="AQ3347" s="28" t="str">
        <f t="shared" si="1007"/>
        <v/>
      </c>
      <c r="AR3347" s="206" t="str">
        <f t="shared" si="1008"/>
        <v>C66 SERVICE</v>
      </c>
      <c r="AS3347" s="22" t="str">
        <f t="shared" si="1009"/>
        <v/>
      </c>
      <c r="AT3347" s="24" t="str">
        <f t="shared" si="1010"/>
        <v/>
      </c>
    </row>
    <row r="3348" spans="1:46" s="12" customFormat="1" ht="42">
      <c r="A3348" s="33" t="str">
        <f t="shared" si="998"/>
        <v/>
      </c>
      <c r="B3348" s="52"/>
      <c r="C3348" s="52"/>
      <c r="D3348" s="33" t="str">
        <f t="shared" si="999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1000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1001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97"/>
        <v/>
      </c>
      <c r="AA3348" s="128"/>
      <c r="AB3348" s="129">
        <v>827000</v>
      </c>
      <c r="AC3348" s="130">
        <f t="shared" si="1003"/>
        <v>0</v>
      </c>
      <c r="AD3348" s="210"/>
      <c r="AE3348" s="154">
        <f t="shared" si="1004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1013"/>
        <v>10786543.370020689</v>
      </c>
      <c r="AJ3348" s="19">
        <f t="shared" si="1014"/>
        <v>1330367.5841569281</v>
      </c>
      <c r="AK3348" s="20">
        <f t="shared" si="1005"/>
        <v>0.123335858255987</v>
      </c>
      <c r="AL3348" s="55"/>
      <c r="AM3348" s="55"/>
      <c r="AN3348" s="55"/>
      <c r="AO3348" s="55"/>
      <c r="AP3348" s="28" t="str">
        <f t="shared" si="1006"/>
        <v>201810</v>
      </c>
      <c r="AQ3348" s="28" t="str">
        <f t="shared" si="1007"/>
        <v/>
      </c>
      <c r="AR3348" s="206" t="str">
        <f t="shared" si="1008"/>
        <v>C66 SERVICE</v>
      </c>
      <c r="AS3348" s="22" t="str">
        <f t="shared" si="1009"/>
        <v/>
      </c>
      <c r="AT3348" s="24" t="str">
        <f t="shared" si="1010"/>
        <v/>
      </c>
    </row>
    <row r="3349" spans="1:46" s="12" customFormat="1" ht="42">
      <c r="A3349" s="33" t="str">
        <f t="shared" si="998"/>
        <v/>
      </c>
      <c r="B3349" s="52"/>
      <c r="C3349" s="52"/>
      <c r="D3349" s="33" t="str">
        <f t="shared" si="999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1000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1001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97"/>
        <v/>
      </c>
      <c r="AA3349" s="128"/>
      <c r="AB3349" s="129">
        <v>663867</v>
      </c>
      <c r="AC3349" s="130">
        <f t="shared" si="1003"/>
        <v>0</v>
      </c>
      <c r="AD3349" s="153"/>
      <c r="AE3349" s="154">
        <f t="shared" si="1004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1013"/>
        <v>26492741.106427077</v>
      </c>
      <c r="AJ3349" s="19">
        <f t="shared" si="1014"/>
        <v>3348032.1325698122</v>
      </c>
      <c r="AK3349" s="20">
        <f t="shared" si="1005"/>
        <v>0.12637545201985867</v>
      </c>
      <c r="AL3349" s="55"/>
      <c r="AM3349" s="55"/>
      <c r="AN3349" s="55"/>
      <c r="AO3349" s="55"/>
      <c r="AP3349" s="28" t="str">
        <f t="shared" si="1006"/>
        <v>20189</v>
      </c>
      <c r="AQ3349" s="28" t="str">
        <f t="shared" si="1007"/>
        <v/>
      </c>
      <c r="AR3349" s="206" t="str">
        <f t="shared" si="1008"/>
        <v>C66 SERVICE</v>
      </c>
      <c r="AS3349" s="22" t="str">
        <f t="shared" si="1009"/>
        <v/>
      </c>
      <c r="AT3349" s="24" t="str">
        <f t="shared" si="1010"/>
        <v/>
      </c>
    </row>
    <row r="3350" spans="1:46" s="12" customFormat="1" ht="42">
      <c r="A3350" s="33" t="str">
        <f t="shared" si="998"/>
        <v/>
      </c>
      <c r="B3350" s="52"/>
      <c r="C3350" s="52"/>
      <c r="D3350" s="33" t="str">
        <f t="shared" si="999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1000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si="1001"/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97"/>
        <v/>
      </c>
      <c r="AA3350" s="128"/>
      <c r="AB3350" s="129">
        <v>742000</v>
      </c>
      <c r="AC3350" s="130">
        <f t="shared" si="1003"/>
        <v>0</v>
      </c>
      <c r="AD3350" s="153"/>
      <c r="AE3350" s="154">
        <f t="shared" si="1004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1013"/>
        <v>26754147.763010349</v>
      </c>
      <c r="AJ3350" s="19">
        <f t="shared" si="1014"/>
        <v>3429137.9965357962</v>
      </c>
      <c r="AK3350" s="20">
        <f t="shared" si="1005"/>
        <v>0.12817220069617921</v>
      </c>
      <c r="AL3350" s="55"/>
      <c r="AM3350" s="55"/>
      <c r="AN3350" s="55"/>
      <c r="AO3350" s="55"/>
      <c r="AP3350" s="28" t="str">
        <f t="shared" si="1006"/>
        <v>20188</v>
      </c>
      <c r="AQ3350" s="28" t="str">
        <f t="shared" si="1007"/>
        <v/>
      </c>
      <c r="AR3350" s="206" t="str">
        <f t="shared" si="1008"/>
        <v>C66 SERVICE</v>
      </c>
      <c r="AS3350" s="22" t="str">
        <f t="shared" si="1009"/>
        <v/>
      </c>
      <c r="AT3350" s="24" t="str">
        <f t="shared" si="1010"/>
        <v/>
      </c>
    </row>
    <row r="3351" spans="1:46" s="12" customFormat="1" ht="42">
      <c r="A3351" s="33" t="str">
        <f t="shared" si="998"/>
        <v/>
      </c>
      <c r="B3351" s="52"/>
      <c r="C3351" s="52"/>
      <c r="D3351" s="33" t="str">
        <f t="shared" si="999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1000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1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97"/>
        <v/>
      </c>
      <c r="AA3351" s="128"/>
      <c r="AB3351" s="129">
        <v>519070.73819999996</v>
      </c>
      <c r="AC3351" s="130">
        <f t="shared" si="1003"/>
        <v>0</v>
      </c>
      <c r="AD3351" s="210"/>
      <c r="AE3351" s="154">
        <f t="shared" si="1004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1013"/>
        <v>29946107.503386207</v>
      </c>
      <c r="AJ3351" s="19">
        <f t="shared" si="1014"/>
        <v>3987206.4954923098</v>
      </c>
      <c r="AK3351" s="20">
        <f t="shared" si="1005"/>
        <v>0.13314606898547499</v>
      </c>
      <c r="AL3351" s="55"/>
      <c r="AM3351" s="55"/>
      <c r="AN3351" s="55"/>
      <c r="AO3351" s="55"/>
      <c r="AP3351" s="28" t="str">
        <f t="shared" si="1006"/>
        <v>20187</v>
      </c>
      <c r="AQ3351" s="28" t="str">
        <f t="shared" si="1007"/>
        <v/>
      </c>
      <c r="AR3351" s="206" t="str">
        <f t="shared" si="1008"/>
        <v>C66 SERVICE</v>
      </c>
      <c r="AS3351" s="22" t="str">
        <f t="shared" si="1009"/>
        <v/>
      </c>
      <c r="AT3351" s="24" t="str">
        <f t="shared" si="1010"/>
        <v/>
      </c>
    </row>
    <row r="3352" spans="1:46" s="12" customFormat="1" ht="42">
      <c r="A3352" s="33" t="str">
        <f t="shared" si="998"/>
        <v/>
      </c>
      <c r="B3352" s="52"/>
      <c r="C3352" s="52"/>
      <c r="D3352" s="33" t="str">
        <f t="shared" si="999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1000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1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97"/>
        <v/>
      </c>
      <c r="AA3352" s="128"/>
      <c r="AB3352" s="129">
        <v>704875.04600000009</v>
      </c>
      <c r="AC3352" s="130">
        <f t="shared" si="1003"/>
        <v>0</v>
      </c>
      <c r="AD3352" s="153"/>
      <c r="AE3352" s="154">
        <f t="shared" si="1004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1013"/>
        <v>24398045.86045352</v>
      </c>
      <c r="AJ3352" s="19">
        <f t="shared" si="1014"/>
        <v>3478417.4064663448</v>
      </c>
      <c r="AK3352" s="20">
        <f t="shared" si="1005"/>
        <v>0.14256950849102498</v>
      </c>
      <c r="AL3352" s="55"/>
      <c r="AM3352" s="55"/>
      <c r="AN3352" s="55"/>
      <c r="AO3352" s="55"/>
      <c r="AP3352" s="28" t="str">
        <f t="shared" si="1006"/>
        <v>20186</v>
      </c>
      <c r="AQ3352" s="28" t="str">
        <f t="shared" si="1007"/>
        <v/>
      </c>
      <c r="AR3352" s="206" t="str">
        <f t="shared" si="1008"/>
        <v>C66 SERVICE</v>
      </c>
      <c r="AS3352" s="22" t="str">
        <f t="shared" si="1009"/>
        <v/>
      </c>
      <c r="AT3352" s="24" t="str">
        <f t="shared" si="1010"/>
        <v/>
      </c>
    </row>
    <row r="3353" spans="1:46" s="12" customFormat="1" ht="42">
      <c r="A3353" s="33" t="str">
        <f t="shared" si="998"/>
        <v/>
      </c>
      <c r="B3353" s="52"/>
      <c r="C3353" s="52"/>
      <c r="D3353" s="33" t="str">
        <f t="shared" si="999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1000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1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97"/>
        <v/>
      </c>
      <c r="AA3353" s="128"/>
      <c r="AB3353" s="129">
        <v>831464.70799999998</v>
      </c>
      <c r="AC3353" s="130">
        <f t="shared" si="1003"/>
        <v>0</v>
      </c>
      <c r="AD3353" s="153"/>
      <c r="AE3353" s="154">
        <f t="shared" si="1004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1013"/>
        <v>34109166.105589926</v>
      </c>
      <c r="AJ3353" s="19">
        <f t="shared" si="1014"/>
        <v>4642032.7199573703</v>
      </c>
      <c r="AK3353" s="20">
        <f t="shared" si="1005"/>
        <v>0.13609340977692849</v>
      </c>
      <c r="AL3353" s="55"/>
      <c r="AM3353" s="55"/>
      <c r="AN3353" s="55"/>
      <c r="AO3353" s="55"/>
      <c r="AP3353" s="28" t="str">
        <f t="shared" si="1006"/>
        <v>20185</v>
      </c>
      <c r="AQ3353" s="28" t="str">
        <f t="shared" si="1007"/>
        <v/>
      </c>
      <c r="AR3353" s="206" t="str">
        <f t="shared" si="1008"/>
        <v>C66 SERVICE</v>
      </c>
      <c r="AS3353" s="22" t="str">
        <f t="shared" si="1009"/>
        <v/>
      </c>
      <c r="AT3353" s="24" t="str">
        <f t="shared" si="1010"/>
        <v/>
      </c>
    </row>
    <row r="3354" spans="1:46" s="12" customFormat="1" ht="42">
      <c r="A3354" s="33" t="str">
        <f t="shared" si="998"/>
        <v/>
      </c>
      <c r="B3354" s="52"/>
      <c r="C3354" s="52"/>
      <c r="D3354" s="33" t="str">
        <f t="shared" si="999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1000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1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97"/>
        <v/>
      </c>
      <c r="AA3354" s="128"/>
      <c r="AB3354" s="129">
        <v>1311198.0799999998</v>
      </c>
      <c r="AC3354" s="130">
        <f t="shared" si="1003"/>
        <v>0</v>
      </c>
      <c r="AD3354" s="153"/>
      <c r="AE3354" s="154">
        <f t="shared" si="1004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1013"/>
        <v>29288201.603076916</v>
      </c>
      <c r="AJ3354" s="19">
        <f t="shared" si="1014"/>
        <v>3870159.1769246152</v>
      </c>
      <c r="AK3354" s="20">
        <f t="shared" si="1005"/>
        <v>0.13214055370740244</v>
      </c>
      <c r="AL3354" s="55"/>
      <c r="AM3354" s="55"/>
      <c r="AN3354" s="55"/>
      <c r="AO3354" s="55"/>
      <c r="AP3354" s="28" t="str">
        <f t="shared" si="1006"/>
        <v>20184</v>
      </c>
      <c r="AQ3354" s="28" t="str">
        <f t="shared" si="1007"/>
        <v/>
      </c>
      <c r="AR3354" s="206" t="str">
        <f t="shared" si="1008"/>
        <v>C66 SERVICE</v>
      </c>
      <c r="AS3354" s="22" t="str">
        <f t="shared" si="1009"/>
        <v/>
      </c>
      <c r="AT3354" s="24" t="str">
        <f t="shared" si="1010"/>
        <v/>
      </c>
    </row>
    <row r="3355" spans="1:46" s="12" customFormat="1" ht="42">
      <c r="A3355" s="33" t="str">
        <f t="shared" si="998"/>
        <v/>
      </c>
      <c r="B3355" s="52"/>
      <c r="C3355" s="52"/>
      <c r="D3355" s="33" t="str">
        <f t="shared" si="999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1000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1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97"/>
        <v/>
      </c>
      <c r="AA3355" s="128"/>
      <c r="AB3355" s="129">
        <v>1367000</v>
      </c>
      <c r="AC3355" s="130">
        <f t="shared" si="1003"/>
        <v>0</v>
      </c>
      <c r="AD3355" s="210"/>
      <c r="AE3355" s="154">
        <f t="shared" si="1004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1013"/>
        <v>27318180.088495575</v>
      </c>
      <c r="AJ3355" s="19">
        <f t="shared" si="1014"/>
        <v>3014099.212353982</v>
      </c>
      <c r="AK3355" s="20">
        <f t="shared" si="1005"/>
        <v>0.11033308963444827</v>
      </c>
      <c r="AL3355" s="55"/>
      <c r="AM3355" s="55"/>
      <c r="AN3355" s="55"/>
      <c r="AO3355" s="55"/>
      <c r="AP3355" s="28" t="str">
        <f t="shared" si="1006"/>
        <v>201912</v>
      </c>
      <c r="AQ3355" s="28" t="str">
        <f t="shared" si="1007"/>
        <v/>
      </c>
      <c r="AR3355" s="206" t="str">
        <f t="shared" si="1008"/>
        <v>C66 SERVICE</v>
      </c>
      <c r="AS3355" s="22" t="str">
        <f t="shared" si="1009"/>
        <v/>
      </c>
      <c r="AT3355" s="24" t="str">
        <f t="shared" si="1010"/>
        <v/>
      </c>
    </row>
    <row r="3356" spans="1:46" s="12" customFormat="1" ht="42">
      <c r="A3356" s="33" t="str">
        <f t="shared" si="998"/>
        <v/>
      </c>
      <c r="B3356" s="52"/>
      <c r="C3356" s="52"/>
      <c r="D3356" s="33" t="str">
        <f t="shared" si="999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1000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1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97"/>
        <v/>
      </c>
      <c r="AA3356" s="128"/>
      <c r="AB3356" s="129">
        <v>944000</v>
      </c>
      <c r="AC3356" s="130">
        <f t="shared" si="1003"/>
        <v>0</v>
      </c>
      <c r="AD3356" s="153"/>
      <c r="AE3356" s="154">
        <f t="shared" si="1004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1013"/>
        <v>26147030.909862842</v>
      </c>
      <c r="AJ3356" s="19">
        <f t="shared" si="1014"/>
        <v>2743862.8630715334</v>
      </c>
      <c r="AK3356" s="20">
        <f t="shared" si="1005"/>
        <v>0.10493974908778378</v>
      </c>
      <c r="AL3356" s="55"/>
      <c r="AM3356" s="55"/>
      <c r="AN3356" s="55"/>
      <c r="AO3356" s="55"/>
      <c r="AP3356" s="28" t="str">
        <f t="shared" si="1006"/>
        <v>201911</v>
      </c>
      <c r="AQ3356" s="28" t="str">
        <f t="shared" si="1007"/>
        <v/>
      </c>
      <c r="AR3356" s="206" t="str">
        <f t="shared" si="1008"/>
        <v>C66 SERVICE</v>
      </c>
      <c r="AS3356" s="22" t="str">
        <f t="shared" si="1009"/>
        <v/>
      </c>
      <c r="AT3356" s="24" t="str">
        <f t="shared" si="1010"/>
        <v/>
      </c>
    </row>
    <row r="3357" spans="1:46" s="12" customFormat="1" ht="42">
      <c r="A3357" s="33" t="str">
        <f t="shared" si="998"/>
        <v/>
      </c>
      <c r="B3357" s="52"/>
      <c r="C3357" s="52"/>
      <c r="D3357" s="33" t="str">
        <f t="shared" si="999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1000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1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97"/>
        <v/>
      </c>
      <c r="AA3357" s="128"/>
      <c r="AB3357" s="129">
        <v>869000</v>
      </c>
      <c r="AC3357" s="130">
        <f t="shared" si="1003"/>
        <v>0</v>
      </c>
      <c r="AD3357" s="153"/>
      <c r="AE3357" s="154">
        <f t="shared" si="1004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1013"/>
        <v>28647263.974455759</v>
      </c>
      <c r="AJ3357" s="19">
        <f t="shared" si="1014"/>
        <v>3219855.6912513468</v>
      </c>
      <c r="AK3357" s="20">
        <f t="shared" si="1005"/>
        <v>0.11239662168514358</v>
      </c>
      <c r="AL3357" s="55"/>
      <c r="AM3357" s="55"/>
      <c r="AN3357" s="55"/>
      <c r="AO3357" s="55"/>
      <c r="AP3357" s="28" t="str">
        <f t="shared" si="1006"/>
        <v>201910</v>
      </c>
      <c r="AQ3357" s="28" t="str">
        <f t="shared" si="1007"/>
        <v/>
      </c>
      <c r="AR3357" s="206" t="str">
        <f t="shared" si="1008"/>
        <v>C66 SERVICE</v>
      </c>
      <c r="AS3357" s="22" t="str">
        <f t="shared" si="1009"/>
        <v/>
      </c>
      <c r="AT3357" s="24" t="str">
        <f t="shared" si="1010"/>
        <v/>
      </c>
    </row>
    <row r="3358" spans="1:46" s="12" customFormat="1" ht="42">
      <c r="A3358" s="33" t="str">
        <f t="shared" si="998"/>
        <v/>
      </c>
      <c r="B3358" s="52"/>
      <c r="C3358" s="52"/>
      <c r="D3358" s="33" t="str">
        <f t="shared" si="999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1000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1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15">IF(X3358="","",X3358*MAX(O3358,N3358))</f>
        <v/>
      </c>
      <c r="AA3358" s="128"/>
      <c r="AB3358" s="129">
        <v>623000</v>
      </c>
      <c r="AC3358" s="130">
        <f t="shared" si="1003"/>
        <v>0</v>
      </c>
      <c r="AD3358" s="210"/>
      <c r="AE3358" s="154">
        <f t="shared" si="1004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1013"/>
        <v>37599388.802345134</v>
      </c>
      <c r="AJ3358" s="19">
        <f t="shared" si="1014"/>
        <v>4866784.3630338367</v>
      </c>
      <c r="AK3358" s="20">
        <f t="shared" si="1005"/>
        <v>0.12943785838163113</v>
      </c>
      <c r="AL3358" s="55"/>
      <c r="AM3358" s="55"/>
      <c r="AN3358" s="55"/>
      <c r="AO3358" s="55"/>
      <c r="AP3358" s="28" t="str">
        <f t="shared" si="1006"/>
        <v>20199</v>
      </c>
      <c r="AQ3358" s="28" t="str">
        <f t="shared" si="1007"/>
        <v/>
      </c>
      <c r="AR3358" s="206" t="str">
        <f t="shared" si="1008"/>
        <v>C66 SERVICE</v>
      </c>
      <c r="AS3358" s="22" t="str">
        <f t="shared" si="1009"/>
        <v/>
      </c>
      <c r="AT3358" s="24" t="str">
        <f t="shared" si="1010"/>
        <v/>
      </c>
    </row>
    <row r="3359" spans="1:46" s="12" customFormat="1" ht="42">
      <c r="A3359" s="33" t="str">
        <f t="shared" si="998"/>
        <v/>
      </c>
      <c r="B3359" s="52"/>
      <c r="C3359" s="52"/>
      <c r="D3359" s="33" t="str">
        <f t="shared" si="999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1000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1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15"/>
        <v/>
      </c>
      <c r="AA3359" s="128"/>
      <c r="AB3359" s="129">
        <v>969000</v>
      </c>
      <c r="AC3359" s="130">
        <f t="shared" si="1003"/>
        <v>0</v>
      </c>
      <c r="AD3359" s="153"/>
      <c r="AE3359" s="154">
        <f t="shared" si="1004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1013"/>
        <v>21386017.707964607</v>
      </c>
      <c r="AJ3359" s="19">
        <f t="shared" si="1014"/>
        <v>2238764.3265707968</v>
      </c>
      <c r="AK3359" s="20">
        <f t="shared" si="1005"/>
        <v>0.10468355339185161</v>
      </c>
      <c r="AL3359" s="55"/>
      <c r="AM3359" s="55"/>
      <c r="AN3359" s="55"/>
      <c r="AO3359" s="55"/>
      <c r="AP3359" s="28" t="str">
        <f t="shared" si="1006"/>
        <v>20198</v>
      </c>
      <c r="AQ3359" s="28" t="str">
        <f t="shared" si="1007"/>
        <v/>
      </c>
      <c r="AR3359" s="206" t="str">
        <f t="shared" si="1008"/>
        <v>C66 SERVICE</v>
      </c>
      <c r="AS3359" s="22" t="str">
        <f t="shared" si="1009"/>
        <v/>
      </c>
      <c r="AT3359" s="24" t="str">
        <f t="shared" si="1010"/>
        <v/>
      </c>
    </row>
    <row r="3360" spans="1:46" s="12" customFormat="1" ht="42">
      <c r="A3360" s="33" t="str">
        <f t="shared" si="998"/>
        <v/>
      </c>
      <c r="B3360" s="52"/>
      <c r="C3360" s="52"/>
      <c r="D3360" s="33" t="str">
        <f t="shared" si="999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1000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1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15"/>
        <v/>
      </c>
      <c r="AA3360" s="128"/>
      <c r="AB3360" s="129">
        <v>640000</v>
      </c>
      <c r="AC3360" s="130">
        <f t="shared" si="1003"/>
        <v>0</v>
      </c>
      <c r="AD3360" s="153"/>
      <c r="AE3360" s="154">
        <f t="shared" si="1004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1013"/>
        <v>34015877.71150443</v>
      </c>
      <c r="AJ3360" s="19">
        <f t="shared" si="1014"/>
        <v>4446292.375441948</v>
      </c>
      <c r="AK3360" s="20">
        <f t="shared" si="1005"/>
        <v>0.13071226364205143</v>
      </c>
      <c r="AL3360" s="55"/>
      <c r="AM3360" s="55"/>
      <c r="AN3360" s="55"/>
      <c r="AO3360" s="55"/>
      <c r="AP3360" s="28" t="str">
        <f t="shared" si="1006"/>
        <v>20197</v>
      </c>
      <c r="AQ3360" s="28" t="str">
        <f t="shared" si="1007"/>
        <v/>
      </c>
      <c r="AR3360" s="206" t="str">
        <f t="shared" si="1008"/>
        <v>C66 SERVICE</v>
      </c>
      <c r="AS3360" s="22" t="str">
        <f t="shared" si="1009"/>
        <v/>
      </c>
      <c r="AT3360" s="24" t="str">
        <f t="shared" si="1010"/>
        <v/>
      </c>
    </row>
    <row r="3361" spans="1:46" s="12" customFormat="1" ht="42">
      <c r="A3361" s="33" t="str">
        <f t="shared" si="998"/>
        <v/>
      </c>
      <c r="B3361" s="52"/>
      <c r="C3361" s="52"/>
      <c r="D3361" s="33" t="str">
        <f t="shared" si="999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1000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1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15"/>
        <v/>
      </c>
      <c r="AA3361" s="128"/>
      <c r="AB3361" s="129">
        <v>716000</v>
      </c>
      <c r="AC3361" s="130">
        <f t="shared" si="1003"/>
        <v>0</v>
      </c>
      <c r="AD3361" s="153"/>
      <c r="AE3361" s="154">
        <f t="shared" si="1004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1013"/>
        <v>31296887.037898075</v>
      </c>
      <c r="AJ3361" s="19">
        <f t="shared" si="1014"/>
        <v>3588873.9502021763</v>
      </c>
      <c r="AK3361" s="20">
        <f t="shared" si="1005"/>
        <v>0.11467191436184473</v>
      </c>
      <c r="AL3361" s="55"/>
      <c r="AM3361" s="55"/>
      <c r="AN3361" s="55"/>
      <c r="AO3361" s="55"/>
      <c r="AP3361" s="28" t="str">
        <f t="shared" si="1006"/>
        <v>20196</v>
      </c>
      <c r="AQ3361" s="28" t="str">
        <f t="shared" si="1007"/>
        <v/>
      </c>
      <c r="AR3361" s="206" t="str">
        <f t="shared" si="1008"/>
        <v>C66 SERVICE</v>
      </c>
      <c r="AS3361" s="22" t="str">
        <f t="shared" si="1009"/>
        <v/>
      </c>
      <c r="AT3361" s="24" t="str">
        <f t="shared" si="1010"/>
        <v/>
      </c>
    </row>
    <row r="3362" spans="1:46" s="12" customFormat="1" ht="42">
      <c r="A3362" s="33" t="str">
        <f t="shared" si="998"/>
        <v/>
      </c>
      <c r="B3362" s="52"/>
      <c r="C3362" s="52"/>
      <c r="D3362" s="33" t="str">
        <f t="shared" si="999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1000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1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15"/>
        <v/>
      </c>
      <c r="AA3362" s="128"/>
      <c r="AB3362" s="129">
        <v>661000</v>
      </c>
      <c r="AC3362" s="130">
        <f t="shared" si="1003"/>
        <v>0</v>
      </c>
      <c r="AD3362" s="153"/>
      <c r="AE3362" s="154">
        <f t="shared" si="1004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1013"/>
        <v>14593788.187146019</v>
      </c>
      <c r="AJ3362" s="19">
        <f t="shared" si="1014"/>
        <v>1868647.7321969916</v>
      </c>
      <c r="AK3362" s="20">
        <f t="shared" si="1005"/>
        <v>0.12804404916900652</v>
      </c>
      <c r="AL3362" s="55"/>
      <c r="AM3362" s="55"/>
      <c r="AN3362" s="55"/>
      <c r="AO3362" s="55"/>
      <c r="AP3362" s="28" t="str">
        <f t="shared" si="1006"/>
        <v>20195</v>
      </c>
      <c r="AQ3362" s="28" t="str">
        <f t="shared" si="1007"/>
        <v/>
      </c>
      <c r="AR3362" s="206" t="str">
        <f t="shared" si="1008"/>
        <v>C66 SERVICE</v>
      </c>
      <c r="AS3362" s="22" t="str">
        <f t="shared" si="1009"/>
        <v/>
      </c>
      <c r="AT3362" s="24" t="str">
        <f t="shared" si="1010"/>
        <v/>
      </c>
    </row>
    <row r="3363" spans="1:46" s="12" customFormat="1" ht="42">
      <c r="A3363" s="33" t="str">
        <f t="shared" si="998"/>
        <v/>
      </c>
      <c r="B3363" s="52"/>
      <c r="C3363" s="52"/>
      <c r="D3363" s="33" t="str">
        <f t="shared" si="999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1000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1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15"/>
        <v/>
      </c>
      <c r="AA3363" s="128"/>
      <c r="AB3363" s="129">
        <v>560000</v>
      </c>
      <c r="AC3363" s="130">
        <f t="shared" si="1003"/>
        <v>0</v>
      </c>
      <c r="AD3363" s="153"/>
      <c r="AE3363" s="154">
        <f t="shared" si="1004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1013"/>
        <v>32843736.557277881</v>
      </c>
      <c r="AJ3363" s="19">
        <f t="shared" si="1014"/>
        <v>3921470.6822663117</v>
      </c>
      <c r="AK3363" s="20">
        <f t="shared" si="1005"/>
        <v>0.11939782416131177</v>
      </c>
      <c r="AL3363" s="55"/>
      <c r="AM3363" s="55"/>
      <c r="AN3363" s="55"/>
      <c r="AO3363" s="55"/>
      <c r="AP3363" s="28" t="str">
        <f t="shared" si="1006"/>
        <v>20194</v>
      </c>
      <c r="AQ3363" s="28" t="str">
        <f t="shared" si="1007"/>
        <v/>
      </c>
      <c r="AR3363" s="206" t="str">
        <f t="shared" si="1008"/>
        <v>C66 SERVICE</v>
      </c>
      <c r="AS3363" s="22" t="str">
        <f t="shared" si="1009"/>
        <v/>
      </c>
      <c r="AT3363" s="24" t="str">
        <f t="shared" si="1010"/>
        <v/>
      </c>
    </row>
    <row r="3364" spans="1:46" s="12" customFormat="1" ht="42">
      <c r="A3364" s="33" t="str">
        <f t="shared" si="998"/>
        <v/>
      </c>
      <c r="B3364" s="52"/>
      <c r="C3364" s="52"/>
      <c r="D3364" s="33" t="str">
        <f t="shared" si="999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1000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1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15"/>
        <v/>
      </c>
      <c r="AA3364" s="128"/>
      <c r="AB3364" s="129">
        <v>913000</v>
      </c>
      <c r="AC3364" s="130">
        <f t="shared" si="1003"/>
        <v>0</v>
      </c>
      <c r="AD3364" s="153"/>
      <c r="AE3364" s="154">
        <f t="shared" si="1004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1013"/>
        <v>47416008.333399981</v>
      </c>
      <c r="AJ3364" s="19">
        <f t="shared" si="1014"/>
        <v>6981738.4465290187</v>
      </c>
      <c r="AK3364" s="20">
        <f t="shared" si="1005"/>
        <v>0.14724433143839863</v>
      </c>
      <c r="AL3364" s="55"/>
      <c r="AM3364" s="55"/>
      <c r="AN3364" s="55"/>
      <c r="AO3364" s="55"/>
      <c r="AP3364" s="28" t="str">
        <f t="shared" si="1006"/>
        <v>20193</v>
      </c>
      <c r="AQ3364" s="28" t="str">
        <f t="shared" si="1007"/>
        <v/>
      </c>
      <c r="AR3364" s="206" t="str">
        <f t="shared" si="1008"/>
        <v>C66 SERVICE</v>
      </c>
      <c r="AS3364" s="22" t="str">
        <f t="shared" si="1009"/>
        <v/>
      </c>
      <c r="AT3364" s="24" t="str">
        <f t="shared" si="1010"/>
        <v/>
      </c>
    </row>
    <row r="3365" spans="1:46" s="12" customFormat="1" ht="42">
      <c r="A3365" s="33" t="str">
        <f t="shared" si="998"/>
        <v/>
      </c>
      <c r="B3365" s="52"/>
      <c r="C3365" s="52"/>
      <c r="D3365" s="33" t="str">
        <f t="shared" si="999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1000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1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15"/>
        <v/>
      </c>
      <c r="AA3365" s="128"/>
      <c r="AB3365" s="129">
        <v>353000</v>
      </c>
      <c r="AC3365" s="130">
        <f t="shared" si="1003"/>
        <v>0</v>
      </c>
      <c r="AD3365" s="153"/>
      <c r="AE3365" s="154">
        <f t="shared" si="1004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1013"/>
        <v>16455710.386637932</v>
      </c>
      <c r="AJ3365" s="19">
        <f t="shared" si="1014"/>
        <v>2150644.6466930606</v>
      </c>
      <c r="AK3365" s="20">
        <f t="shared" si="1005"/>
        <v>0.13069290818580451</v>
      </c>
      <c r="AL3365" s="55"/>
      <c r="AM3365" s="55"/>
      <c r="AN3365" s="55"/>
      <c r="AO3365" s="55"/>
      <c r="AP3365" s="28" t="str">
        <f t="shared" si="1006"/>
        <v>20192</v>
      </c>
      <c r="AQ3365" s="28" t="str">
        <f t="shared" si="1007"/>
        <v/>
      </c>
      <c r="AR3365" s="206" t="str">
        <f t="shared" si="1008"/>
        <v>C66 SERVICE</v>
      </c>
      <c r="AS3365" s="22" t="str">
        <f t="shared" si="1009"/>
        <v/>
      </c>
      <c r="AT3365" s="24" t="str">
        <f t="shared" si="1010"/>
        <v/>
      </c>
    </row>
    <row r="3366" spans="1:46" s="12" customFormat="1" ht="42">
      <c r="A3366" s="33" t="str">
        <f t="shared" si="998"/>
        <v/>
      </c>
      <c r="B3366" s="52"/>
      <c r="C3366" s="52"/>
      <c r="D3366" s="33" t="str">
        <f t="shared" si="999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1000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1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15"/>
        <v/>
      </c>
      <c r="AA3366" s="128"/>
      <c r="AB3366" s="129">
        <v>471000</v>
      </c>
      <c r="AC3366" s="130">
        <f t="shared" si="1003"/>
        <v>0</v>
      </c>
      <c r="AD3366" s="153"/>
      <c r="AE3366" s="154">
        <f t="shared" si="1004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1013"/>
        <v>23237072.69172414</v>
      </c>
      <c r="AJ3366" s="19">
        <f t="shared" si="1014"/>
        <v>2402195.7372206897</v>
      </c>
      <c r="AK3366" s="20">
        <f t="shared" si="1005"/>
        <v>0.10337772614862238</v>
      </c>
      <c r="AL3366" s="55"/>
      <c r="AM3366" s="55"/>
      <c r="AN3366" s="55"/>
      <c r="AO3366" s="55"/>
      <c r="AP3366" s="28" t="str">
        <f t="shared" si="1006"/>
        <v>20191</v>
      </c>
      <c r="AQ3366" s="28" t="str">
        <f t="shared" si="1007"/>
        <v/>
      </c>
      <c r="AR3366" s="206" t="str">
        <f t="shared" si="1008"/>
        <v>C66 SERVICE</v>
      </c>
      <c r="AS3366" s="22" t="str">
        <f t="shared" si="1009"/>
        <v/>
      </c>
      <c r="AT3366" s="24" t="str">
        <f t="shared" si="1010"/>
        <v/>
      </c>
    </row>
    <row r="3367" spans="1:46" s="12" customFormat="1" ht="42">
      <c r="A3367" s="33" t="str">
        <f t="shared" si="998"/>
        <v/>
      </c>
      <c r="B3367" s="52"/>
      <c r="C3367" s="52"/>
      <c r="D3367" s="33" t="str">
        <f t="shared" si="999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1000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1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15"/>
        <v/>
      </c>
      <c r="AA3367" s="128"/>
      <c r="AB3367" s="129">
        <v>583000</v>
      </c>
      <c r="AC3367" s="130">
        <f t="shared" si="1003"/>
        <v>0</v>
      </c>
      <c r="AD3367" s="153"/>
      <c r="AE3367" s="154">
        <f t="shared" si="1004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1013"/>
        <v>48763143.537654862</v>
      </c>
      <c r="AJ3367" s="19">
        <f t="shared" si="1014"/>
        <v>5924029.9702154724</v>
      </c>
      <c r="AK3367" s="20">
        <f t="shared" si="1005"/>
        <v>0.1214858095774925</v>
      </c>
      <c r="AL3367" s="55"/>
      <c r="AM3367" s="55"/>
      <c r="AN3367" s="55"/>
      <c r="AO3367" s="55"/>
      <c r="AP3367" s="28" t="str">
        <f t="shared" si="1006"/>
        <v>202012</v>
      </c>
      <c r="AQ3367" s="28" t="str">
        <f t="shared" si="1007"/>
        <v/>
      </c>
      <c r="AR3367" s="206" t="str">
        <f t="shared" si="1008"/>
        <v>C66 SERVICE</v>
      </c>
      <c r="AS3367" s="22" t="str">
        <f t="shared" si="1009"/>
        <v/>
      </c>
      <c r="AT3367" s="24" t="str">
        <f t="shared" si="1010"/>
        <v/>
      </c>
    </row>
    <row r="3368" spans="1:46" s="12" customFormat="1" ht="42">
      <c r="A3368" s="33" t="str">
        <f t="shared" si="998"/>
        <v/>
      </c>
      <c r="B3368" s="52"/>
      <c r="C3368" s="52"/>
      <c r="D3368" s="33" t="str">
        <f t="shared" si="999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1000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1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15"/>
        <v/>
      </c>
      <c r="AA3368" s="128"/>
      <c r="AB3368" s="129">
        <v>289000</v>
      </c>
      <c r="AC3368" s="130">
        <f t="shared" si="1003"/>
        <v>0</v>
      </c>
      <c r="AD3368" s="153"/>
      <c r="AE3368" s="154">
        <f t="shared" si="1004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1013"/>
        <v>48763143.537654862</v>
      </c>
      <c r="AJ3368" s="19">
        <f t="shared" si="1014"/>
        <v>5924029.9702154724</v>
      </c>
      <c r="AK3368" s="20">
        <f t="shared" si="1005"/>
        <v>0.1214858095774925</v>
      </c>
      <c r="AL3368" s="55"/>
      <c r="AM3368" s="55"/>
      <c r="AN3368" s="55"/>
      <c r="AO3368" s="55"/>
      <c r="AP3368" s="28" t="str">
        <f t="shared" si="1006"/>
        <v>202012</v>
      </c>
      <c r="AQ3368" s="28" t="str">
        <f t="shared" si="1007"/>
        <v/>
      </c>
      <c r="AR3368" s="206" t="str">
        <f t="shared" si="1008"/>
        <v>C66 SERVICE</v>
      </c>
      <c r="AS3368" s="22" t="str">
        <f t="shared" si="1009"/>
        <v/>
      </c>
      <c r="AT3368" s="24" t="str">
        <f t="shared" si="1010"/>
        <v/>
      </c>
    </row>
    <row r="3369" spans="1:46" s="12" customFormat="1" ht="42">
      <c r="A3369" s="33" t="str">
        <f t="shared" si="998"/>
        <v/>
      </c>
      <c r="B3369" s="52"/>
      <c r="C3369" s="52"/>
      <c r="D3369" s="33" t="str">
        <f t="shared" si="999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1000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1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15"/>
        <v/>
      </c>
      <c r="AA3369" s="128"/>
      <c r="AB3369" s="129">
        <v>41000</v>
      </c>
      <c r="AC3369" s="130">
        <f t="shared" si="1003"/>
        <v>0</v>
      </c>
      <c r="AD3369" s="210"/>
      <c r="AE3369" s="154">
        <f t="shared" si="1004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1013"/>
        <v>48763143.537654862</v>
      </c>
      <c r="AJ3369" s="19">
        <f t="shared" si="1014"/>
        <v>5924029.9702154724</v>
      </c>
      <c r="AK3369" s="20">
        <f t="shared" si="1005"/>
        <v>0.1214858095774925</v>
      </c>
      <c r="AL3369" s="55"/>
      <c r="AM3369" s="55"/>
      <c r="AN3369" s="55"/>
      <c r="AO3369" s="55"/>
      <c r="AP3369" s="28" t="str">
        <f t="shared" si="1006"/>
        <v>202012</v>
      </c>
      <c r="AQ3369" s="28" t="str">
        <f t="shared" si="1007"/>
        <v/>
      </c>
      <c r="AR3369" s="206" t="str">
        <f t="shared" si="1008"/>
        <v>C66 SERVICE</v>
      </c>
      <c r="AS3369" s="22" t="str">
        <f t="shared" si="1009"/>
        <v/>
      </c>
      <c r="AT3369" s="24" t="str">
        <f t="shared" si="1010"/>
        <v/>
      </c>
    </row>
    <row r="3370" spans="1:46" s="12" customFormat="1" ht="42">
      <c r="A3370" s="33" t="str">
        <f t="shared" si="998"/>
        <v/>
      </c>
      <c r="B3370" s="52"/>
      <c r="C3370" s="52"/>
      <c r="D3370" s="33" t="str">
        <f t="shared" si="999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1000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1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15"/>
        <v/>
      </c>
      <c r="AA3370" s="128"/>
      <c r="AB3370" s="129">
        <v>19000</v>
      </c>
      <c r="AC3370" s="130">
        <f t="shared" si="1003"/>
        <v>0</v>
      </c>
      <c r="AD3370" s="153"/>
      <c r="AE3370" s="154">
        <f t="shared" si="1004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1013"/>
        <v>48763143.537654862</v>
      </c>
      <c r="AJ3370" s="19">
        <f t="shared" si="1014"/>
        <v>5924029.9702154724</v>
      </c>
      <c r="AK3370" s="20">
        <f t="shared" si="1005"/>
        <v>0.1214858095774925</v>
      </c>
      <c r="AL3370" s="55"/>
      <c r="AM3370" s="55"/>
      <c r="AN3370" s="55"/>
      <c r="AO3370" s="55"/>
      <c r="AP3370" s="28" t="str">
        <f t="shared" si="1006"/>
        <v>202012</v>
      </c>
      <c r="AQ3370" s="28" t="str">
        <f t="shared" si="1007"/>
        <v/>
      </c>
      <c r="AR3370" s="206" t="str">
        <f t="shared" si="1008"/>
        <v>C66 SERVICE</v>
      </c>
      <c r="AS3370" s="22" t="str">
        <f t="shared" si="1009"/>
        <v/>
      </c>
      <c r="AT3370" s="24" t="str">
        <f t="shared" si="1010"/>
        <v/>
      </c>
    </row>
    <row r="3371" spans="1:46" s="12" customFormat="1" ht="42">
      <c r="A3371" s="33" t="str">
        <f t="shared" si="998"/>
        <v/>
      </c>
      <c r="B3371" s="52"/>
      <c r="C3371" s="52"/>
      <c r="D3371" s="33" t="str">
        <f t="shared" si="999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1000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1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15"/>
        <v/>
      </c>
      <c r="AA3371" s="128"/>
      <c r="AB3371" s="129">
        <v>1288000</v>
      </c>
      <c r="AC3371" s="130">
        <f t="shared" si="1003"/>
        <v>0</v>
      </c>
      <c r="AD3371" s="153"/>
      <c r="AE3371" s="154">
        <f t="shared" si="1004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1013"/>
        <v>44078731.611185849</v>
      </c>
      <c r="AJ3371" s="19">
        <f t="shared" si="1014"/>
        <v>5508173.2163771465</v>
      </c>
      <c r="AK3371" s="20">
        <f t="shared" si="1005"/>
        <v>0.12496215328889679</v>
      </c>
      <c r="AL3371" s="55"/>
      <c r="AM3371" s="55"/>
      <c r="AN3371" s="55"/>
      <c r="AO3371" s="55"/>
      <c r="AP3371" s="28" t="str">
        <f t="shared" si="1006"/>
        <v>202011</v>
      </c>
      <c r="AQ3371" s="28" t="str">
        <f t="shared" si="1007"/>
        <v/>
      </c>
      <c r="AR3371" s="206" t="str">
        <f t="shared" si="1008"/>
        <v>C66 SERVICE</v>
      </c>
      <c r="AS3371" s="22" t="str">
        <f t="shared" si="1009"/>
        <v/>
      </c>
      <c r="AT3371" s="24" t="str">
        <f t="shared" si="1010"/>
        <v/>
      </c>
    </row>
    <row r="3372" spans="1:46" s="12" customFormat="1" ht="42">
      <c r="A3372" s="33" t="str">
        <f t="shared" ref="A3372:A3435" si="1016">IF(C3372="cancel","cancel",IFERROR(IF(D3372="Q4","FY "&amp;RIGHT(B3372,2)-1&amp;"/"&amp;RIGHT(B3372,2),"FY "&amp;RIGHT(B3372,2)&amp;"/"&amp;RIGHT(B3372,2)+1),""))</f>
        <v/>
      </c>
      <c r="B3372" s="52"/>
      <c r="C3372" s="52"/>
      <c r="D3372" s="33" t="str">
        <f t="shared" ref="D3372:D3435" si="1017">IF(B3372="","",IF(AND(C3372&gt;=10,C3372&lt;=12),"Q3",IF(AND(C3372&gt;=1,C3372&lt;=3),"Q4",IF(AND(C3372&gt;=7,C3372&lt;=9),"Q2",IF(AND(C3372&gt;=4,C3372&lt;=6),"Q1")))))</f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ref="I3372:I3435" si="1018">IFERROR(IF(F3372="","",IF(F3372="TBA","TBA",IF(F3372="Cancel","Cancel",IF(AND(G3372&gt;=10,G3372&lt;=12),"Q3",IF(AND(G3372&gt;=1,G3372&lt;=3),"Q4",IF(AND(G3372&gt;=7,G3372&lt;=9),"Q2",IF(AND(G3372&gt;=4,G3372&lt;=6),"Q1"))))))),"")</f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ref="P3372:P3435" si="1019">IF(M3372="","",IF(AND(N3372&gt;0,L3372&lt;&gt;""),"MAIN UNIT",IF(AND(O3372&gt;0,L3372&lt;&gt;""),"SERVICE/ PARTS","C66 SERVICE/OTHERS")))</f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15"/>
        <v/>
      </c>
      <c r="AA3372" s="128"/>
      <c r="AB3372" s="129">
        <v>226000</v>
      </c>
      <c r="AC3372" s="130">
        <f t="shared" ref="AC3372:AC3435" si="1020">IF(R3372&lt;&gt;"",AB3372*AD3372,"")</f>
        <v>0</v>
      </c>
      <c r="AD3372" s="153"/>
      <c r="AE3372" s="154">
        <f t="shared" ref="AE3372:AE3435" si="1021">IF(Q3372="","",IF(Q3372="Yes",1,0))</f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1013"/>
        <v>44078731.611185849</v>
      </c>
      <c r="AJ3372" s="19">
        <f t="shared" si="1014"/>
        <v>5508173.2163771465</v>
      </c>
      <c r="AK3372" s="20">
        <f t="shared" ref="AK3372:AK3435" si="1022">IF(AJ3372&gt;0,AJ3372/AI3372,"")</f>
        <v>0.12496215328889679</v>
      </c>
      <c r="AL3372" s="55"/>
      <c r="AM3372" s="55"/>
      <c r="AN3372" s="55"/>
      <c r="AO3372" s="55"/>
      <c r="AP3372" s="28" t="str">
        <f t="shared" ref="AP3372:AP3435" si="1023">IF(F3372="","",F3372&amp;G3372)</f>
        <v>202011</v>
      </c>
      <c r="AQ3372" s="28" t="str">
        <f t="shared" ref="AQ3372:AQ3435" si="1024">IF(W3372="","",F3372&amp;G3372&amp;W3372)</f>
        <v/>
      </c>
      <c r="AR3372" s="206" t="str">
        <f t="shared" ref="AR3372:AR3435" si="1025">IFERROR(IF(AND(M3372="YAMAHA", R3372="C28"), "YAMAHA_Non_Mounter", IF(AND(M3372="YAMAHA", R3372="C49"), "YAMAHA_Mounter", M3372)),"")</f>
        <v>C66 SERVICE</v>
      </c>
      <c r="AS3372" s="22" t="str">
        <f t="shared" ref="AS3372:AS3435" si="1026">IFERROR(IF(OR(G3372="TBA", G3372=""), "", DATEDIF(DATE(B3372, C3372, 1), DATE(F3372, G3372, 1), "M")),"")</f>
        <v/>
      </c>
      <c r="AT3372" s="24" t="str">
        <f t="shared" ref="AT3372:AT3435" si="1027">IF(ISNUMBER(AS3372), IF(AS3372&gt;=0, IF(AS3372&lt;=3, "0-3 months", IF(AS3372&lt;=6, "4-6 months", "&gt; 6 months"))), "")</f>
        <v/>
      </c>
    </row>
    <row r="3373" spans="1:46" s="12" customFormat="1" ht="42">
      <c r="A3373" s="33" t="str">
        <f t="shared" si="1016"/>
        <v/>
      </c>
      <c r="B3373" s="52"/>
      <c r="C3373" s="52"/>
      <c r="D3373" s="33" t="str">
        <f t="shared" si="1017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1018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19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15"/>
        <v/>
      </c>
      <c r="AA3373" s="128"/>
      <c r="AB3373" s="129">
        <v>3000</v>
      </c>
      <c r="AC3373" s="130">
        <f t="shared" si="1020"/>
        <v>0</v>
      </c>
      <c r="AD3373" s="153"/>
      <c r="AE3373" s="154">
        <f t="shared" si="1021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1013"/>
        <v>44078731.611185849</v>
      </c>
      <c r="AJ3373" s="19">
        <f t="shared" si="1014"/>
        <v>5508173.2163771465</v>
      </c>
      <c r="AK3373" s="20">
        <f t="shared" si="1022"/>
        <v>0.12496215328889679</v>
      </c>
      <c r="AL3373" s="55"/>
      <c r="AM3373" s="55"/>
      <c r="AN3373" s="55"/>
      <c r="AO3373" s="55"/>
      <c r="AP3373" s="28" t="str">
        <f t="shared" si="1023"/>
        <v>202011</v>
      </c>
      <c r="AQ3373" s="28" t="str">
        <f t="shared" si="1024"/>
        <v/>
      </c>
      <c r="AR3373" s="206" t="str">
        <f t="shared" si="1025"/>
        <v>C66 SERVICE</v>
      </c>
      <c r="AS3373" s="22" t="str">
        <f t="shared" si="1026"/>
        <v/>
      </c>
      <c r="AT3373" s="24" t="str">
        <f t="shared" si="1027"/>
        <v/>
      </c>
    </row>
    <row r="3374" spans="1:46" s="12" customFormat="1" ht="42">
      <c r="A3374" s="33" t="str">
        <f t="shared" si="1016"/>
        <v/>
      </c>
      <c r="B3374" s="52"/>
      <c r="C3374" s="52"/>
      <c r="D3374" s="33" t="str">
        <f t="shared" si="1017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1018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19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15"/>
        <v/>
      </c>
      <c r="AA3374" s="128"/>
      <c r="AB3374" s="129">
        <v>11000</v>
      </c>
      <c r="AC3374" s="130">
        <f t="shared" si="1020"/>
        <v>0</v>
      </c>
      <c r="AD3374" s="153"/>
      <c r="AE3374" s="154">
        <f t="shared" si="1021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1013"/>
        <v>44078731.611185849</v>
      </c>
      <c r="AJ3374" s="19">
        <f t="shared" si="1014"/>
        <v>5508173.2163771465</v>
      </c>
      <c r="AK3374" s="20">
        <f t="shared" si="1022"/>
        <v>0.12496215328889679</v>
      </c>
      <c r="AL3374" s="55"/>
      <c r="AM3374" s="55"/>
      <c r="AN3374" s="55"/>
      <c r="AO3374" s="55"/>
      <c r="AP3374" s="28" t="str">
        <f t="shared" si="1023"/>
        <v>202011</v>
      </c>
      <c r="AQ3374" s="28" t="str">
        <f t="shared" si="1024"/>
        <v/>
      </c>
      <c r="AR3374" s="206" t="str">
        <f t="shared" si="1025"/>
        <v>C66 SERVICE</v>
      </c>
      <c r="AS3374" s="22" t="str">
        <f t="shared" si="1026"/>
        <v/>
      </c>
      <c r="AT3374" s="24" t="str">
        <f t="shared" si="1027"/>
        <v/>
      </c>
    </row>
    <row r="3375" spans="1:46" s="12" customFormat="1" ht="42">
      <c r="A3375" s="33" t="str">
        <f t="shared" si="1016"/>
        <v/>
      </c>
      <c r="B3375" s="52"/>
      <c r="C3375" s="52"/>
      <c r="D3375" s="33" t="str">
        <f t="shared" si="1017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1018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19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15"/>
        <v/>
      </c>
      <c r="AA3375" s="128"/>
      <c r="AB3375" s="129">
        <v>838000</v>
      </c>
      <c r="AC3375" s="130">
        <f t="shared" si="1020"/>
        <v>0</v>
      </c>
      <c r="AD3375" s="153"/>
      <c r="AE3375" s="154">
        <f t="shared" si="1021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1013"/>
        <v>28011162.254106201</v>
      </c>
      <c r="AJ3375" s="19">
        <f t="shared" si="1014"/>
        <v>3401347.1124888416</v>
      </c>
      <c r="AK3375" s="20">
        <f t="shared" si="1022"/>
        <v>0.12142827497242578</v>
      </c>
      <c r="AL3375" s="55"/>
      <c r="AM3375" s="55"/>
      <c r="AN3375" s="55"/>
      <c r="AO3375" s="55"/>
      <c r="AP3375" s="28" t="str">
        <f t="shared" si="1023"/>
        <v>202010</v>
      </c>
      <c r="AQ3375" s="28" t="str">
        <f t="shared" si="1024"/>
        <v/>
      </c>
      <c r="AR3375" s="206" t="str">
        <f t="shared" si="1025"/>
        <v>C66 SERVICE</v>
      </c>
      <c r="AS3375" s="22" t="str">
        <f t="shared" si="1026"/>
        <v/>
      </c>
      <c r="AT3375" s="24" t="str">
        <f t="shared" si="1027"/>
        <v/>
      </c>
    </row>
    <row r="3376" spans="1:46" s="12" customFormat="1" ht="42">
      <c r="A3376" s="33" t="str">
        <f t="shared" si="1016"/>
        <v/>
      </c>
      <c r="B3376" s="52"/>
      <c r="C3376" s="52"/>
      <c r="D3376" s="33" t="str">
        <f t="shared" si="1017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1018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19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15"/>
        <v/>
      </c>
      <c r="AA3376" s="128"/>
      <c r="AB3376" s="129">
        <v>141000</v>
      </c>
      <c r="AC3376" s="130">
        <f t="shared" si="1020"/>
        <v>0</v>
      </c>
      <c r="AD3376" s="153"/>
      <c r="AE3376" s="154">
        <f t="shared" si="1021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1013"/>
        <v>28011162.254106201</v>
      </c>
      <c r="AJ3376" s="19">
        <f t="shared" si="1014"/>
        <v>3401347.1124888416</v>
      </c>
      <c r="AK3376" s="20">
        <f t="shared" si="1022"/>
        <v>0.12142827497242578</v>
      </c>
      <c r="AL3376" s="55"/>
      <c r="AM3376" s="55"/>
      <c r="AN3376" s="55"/>
      <c r="AO3376" s="55"/>
      <c r="AP3376" s="28" t="str">
        <f t="shared" si="1023"/>
        <v>202010</v>
      </c>
      <c r="AQ3376" s="28" t="str">
        <f t="shared" si="1024"/>
        <v/>
      </c>
      <c r="AR3376" s="206" t="str">
        <f t="shared" si="1025"/>
        <v>C66 SERVICE</v>
      </c>
      <c r="AS3376" s="22" t="str">
        <f t="shared" si="1026"/>
        <v/>
      </c>
      <c r="AT3376" s="24" t="str">
        <f t="shared" si="1027"/>
        <v/>
      </c>
    </row>
    <row r="3377" spans="1:46" s="12" customFormat="1" ht="42">
      <c r="A3377" s="33" t="str">
        <f t="shared" si="1016"/>
        <v/>
      </c>
      <c r="B3377" s="52"/>
      <c r="C3377" s="52"/>
      <c r="D3377" s="33" t="str">
        <f t="shared" si="1017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1018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19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15"/>
        <v/>
      </c>
      <c r="AA3377" s="128"/>
      <c r="AB3377" s="129"/>
      <c r="AC3377" s="130">
        <f t="shared" si="1020"/>
        <v>0</v>
      </c>
      <c r="AD3377" s="153"/>
      <c r="AE3377" s="154">
        <f t="shared" si="1021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1013"/>
        <v>28011162.254106201</v>
      </c>
      <c r="AJ3377" s="19">
        <f t="shared" si="1014"/>
        <v>3401347.1124888416</v>
      </c>
      <c r="AK3377" s="20">
        <f t="shared" si="1022"/>
        <v>0.12142827497242578</v>
      </c>
      <c r="AL3377" s="55"/>
      <c r="AM3377" s="55"/>
      <c r="AN3377" s="55"/>
      <c r="AO3377" s="55"/>
      <c r="AP3377" s="28" t="str">
        <f t="shared" si="1023"/>
        <v>202010</v>
      </c>
      <c r="AQ3377" s="28" t="str">
        <f t="shared" si="1024"/>
        <v/>
      </c>
      <c r="AR3377" s="206" t="str">
        <f t="shared" si="1025"/>
        <v>C66 SERVICE</v>
      </c>
      <c r="AS3377" s="22" t="str">
        <f t="shared" si="1026"/>
        <v/>
      </c>
      <c r="AT3377" s="24" t="str">
        <f t="shared" si="1027"/>
        <v/>
      </c>
    </row>
    <row r="3378" spans="1:46" s="12" customFormat="1" ht="42">
      <c r="A3378" s="33" t="str">
        <f t="shared" si="1016"/>
        <v/>
      </c>
      <c r="B3378" s="52"/>
      <c r="C3378" s="52"/>
      <c r="D3378" s="33" t="str">
        <f t="shared" si="1017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1018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19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15"/>
        <v/>
      </c>
      <c r="AA3378" s="128"/>
      <c r="AB3378" s="129">
        <v>23000</v>
      </c>
      <c r="AC3378" s="130">
        <f t="shared" si="1020"/>
        <v>0</v>
      </c>
      <c r="AD3378" s="153"/>
      <c r="AE3378" s="154">
        <f t="shared" si="1021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1013"/>
        <v>28011162.254106201</v>
      </c>
      <c r="AJ3378" s="19">
        <f t="shared" si="1014"/>
        <v>3401347.1124888416</v>
      </c>
      <c r="AK3378" s="20">
        <f t="shared" si="1022"/>
        <v>0.12142827497242578</v>
      </c>
      <c r="AL3378" s="55"/>
      <c r="AM3378" s="55"/>
      <c r="AN3378" s="55"/>
      <c r="AO3378" s="55"/>
      <c r="AP3378" s="28" t="str">
        <f t="shared" si="1023"/>
        <v>202010</v>
      </c>
      <c r="AQ3378" s="28" t="str">
        <f t="shared" si="1024"/>
        <v/>
      </c>
      <c r="AR3378" s="206" t="str">
        <f t="shared" si="1025"/>
        <v>C66 SERVICE</v>
      </c>
      <c r="AS3378" s="22" t="str">
        <f t="shared" si="1026"/>
        <v/>
      </c>
      <c r="AT3378" s="24" t="str">
        <f t="shared" si="1027"/>
        <v/>
      </c>
    </row>
    <row r="3379" spans="1:46" s="12" customFormat="1" ht="42">
      <c r="A3379" s="33" t="str">
        <f t="shared" si="1016"/>
        <v/>
      </c>
      <c r="B3379" s="52"/>
      <c r="C3379" s="52"/>
      <c r="D3379" s="33" t="str">
        <f t="shared" si="1017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1018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19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15"/>
        <v/>
      </c>
      <c r="AA3379" s="128"/>
      <c r="AB3379" s="129">
        <v>547000</v>
      </c>
      <c r="AC3379" s="130">
        <f t="shared" si="1020"/>
        <v>0</v>
      </c>
      <c r="AD3379" s="153"/>
      <c r="AE3379" s="154">
        <f t="shared" si="1021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1013"/>
        <v>47907808.356810622</v>
      </c>
      <c r="AJ3379" s="19">
        <f t="shared" si="1014"/>
        <v>6027384.8806384448</v>
      </c>
      <c r="AK3379" s="20">
        <f t="shared" si="1022"/>
        <v>0.12581216063459488</v>
      </c>
      <c r="AL3379" s="55"/>
      <c r="AM3379" s="55"/>
      <c r="AN3379" s="55"/>
      <c r="AO3379" s="55"/>
      <c r="AP3379" s="28" t="str">
        <f t="shared" si="1023"/>
        <v>20209</v>
      </c>
      <c r="AQ3379" s="28" t="str">
        <f t="shared" si="1024"/>
        <v/>
      </c>
      <c r="AR3379" s="206" t="str">
        <f t="shared" si="1025"/>
        <v>C66 SERVICE</v>
      </c>
      <c r="AS3379" s="22" t="str">
        <f t="shared" si="1026"/>
        <v/>
      </c>
      <c r="AT3379" s="24" t="str">
        <f t="shared" si="1027"/>
        <v/>
      </c>
    </row>
    <row r="3380" spans="1:46" s="12" customFormat="1" ht="42">
      <c r="A3380" s="33" t="str">
        <f t="shared" si="1016"/>
        <v/>
      </c>
      <c r="B3380" s="52"/>
      <c r="C3380" s="52"/>
      <c r="D3380" s="33" t="str">
        <f t="shared" si="1017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1018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19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15"/>
        <v/>
      </c>
      <c r="AA3380" s="128"/>
      <c r="AB3380" s="129">
        <v>155000</v>
      </c>
      <c r="AC3380" s="130">
        <f t="shared" si="1020"/>
        <v>0</v>
      </c>
      <c r="AD3380" s="153"/>
      <c r="AE3380" s="154">
        <f t="shared" si="1021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1013"/>
        <v>47907808.356810622</v>
      </c>
      <c r="AJ3380" s="19">
        <f t="shared" si="1014"/>
        <v>6027384.8806384448</v>
      </c>
      <c r="AK3380" s="20">
        <f t="shared" si="1022"/>
        <v>0.12581216063459488</v>
      </c>
      <c r="AL3380" s="55"/>
      <c r="AM3380" s="55"/>
      <c r="AN3380" s="55"/>
      <c r="AO3380" s="55"/>
      <c r="AP3380" s="28" t="str">
        <f t="shared" si="1023"/>
        <v>20209</v>
      </c>
      <c r="AQ3380" s="28" t="str">
        <f t="shared" si="1024"/>
        <v/>
      </c>
      <c r="AR3380" s="206" t="str">
        <f t="shared" si="1025"/>
        <v>C66 SERVICE</v>
      </c>
      <c r="AS3380" s="22" t="str">
        <f t="shared" si="1026"/>
        <v/>
      </c>
      <c r="AT3380" s="24" t="str">
        <f t="shared" si="1027"/>
        <v/>
      </c>
    </row>
    <row r="3381" spans="1:46" s="12" customFormat="1" ht="42">
      <c r="A3381" s="33" t="str">
        <f t="shared" si="1016"/>
        <v/>
      </c>
      <c r="B3381" s="52"/>
      <c r="C3381" s="52"/>
      <c r="D3381" s="33" t="str">
        <f t="shared" si="1017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1018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19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15"/>
        <v/>
      </c>
      <c r="AA3381" s="128"/>
      <c r="AB3381" s="129">
        <v>94000</v>
      </c>
      <c r="AC3381" s="130">
        <f t="shared" si="1020"/>
        <v>0</v>
      </c>
      <c r="AD3381" s="153"/>
      <c r="AE3381" s="154">
        <f t="shared" si="1021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1013"/>
        <v>47907808.356810622</v>
      </c>
      <c r="AJ3381" s="19">
        <f t="shared" si="1014"/>
        <v>6027384.8806384448</v>
      </c>
      <c r="AK3381" s="20">
        <f t="shared" si="1022"/>
        <v>0.12581216063459488</v>
      </c>
      <c r="AL3381" s="55"/>
      <c r="AM3381" s="55"/>
      <c r="AN3381" s="55"/>
      <c r="AO3381" s="55"/>
      <c r="AP3381" s="28" t="str">
        <f t="shared" si="1023"/>
        <v>20209</v>
      </c>
      <c r="AQ3381" s="28" t="str">
        <f t="shared" si="1024"/>
        <v/>
      </c>
      <c r="AR3381" s="206" t="str">
        <f t="shared" si="1025"/>
        <v>C66 SERVICE</v>
      </c>
      <c r="AS3381" s="22" t="str">
        <f t="shared" si="1026"/>
        <v/>
      </c>
      <c r="AT3381" s="24" t="str">
        <f t="shared" si="1027"/>
        <v/>
      </c>
    </row>
    <row r="3382" spans="1:46" s="12" customFormat="1" ht="42">
      <c r="A3382" s="33" t="str">
        <f t="shared" si="1016"/>
        <v/>
      </c>
      <c r="B3382" s="52"/>
      <c r="C3382" s="52"/>
      <c r="D3382" s="33" t="str">
        <f t="shared" si="1017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1018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19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15"/>
        <v/>
      </c>
      <c r="AA3382" s="128"/>
      <c r="AB3382" s="129">
        <v>148000</v>
      </c>
      <c r="AC3382" s="130">
        <f t="shared" si="1020"/>
        <v>0</v>
      </c>
      <c r="AD3382" s="153"/>
      <c r="AE3382" s="154">
        <f t="shared" si="1021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1013"/>
        <v>47907808.356810622</v>
      </c>
      <c r="AJ3382" s="19">
        <f t="shared" si="1014"/>
        <v>6027384.8806384448</v>
      </c>
      <c r="AK3382" s="20">
        <f t="shared" si="1022"/>
        <v>0.12581216063459488</v>
      </c>
      <c r="AL3382" s="55"/>
      <c r="AM3382" s="55"/>
      <c r="AN3382" s="55"/>
      <c r="AO3382" s="55"/>
      <c r="AP3382" s="28" t="str">
        <f t="shared" si="1023"/>
        <v>20209</v>
      </c>
      <c r="AQ3382" s="28" t="str">
        <f t="shared" si="1024"/>
        <v/>
      </c>
      <c r="AR3382" s="206" t="str">
        <f t="shared" si="1025"/>
        <v>C66 SERVICE</v>
      </c>
      <c r="AS3382" s="22" t="str">
        <f t="shared" si="1026"/>
        <v/>
      </c>
      <c r="AT3382" s="24" t="str">
        <f t="shared" si="1027"/>
        <v/>
      </c>
    </row>
    <row r="3383" spans="1:46" s="12" customFormat="1" ht="42">
      <c r="A3383" s="33" t="str">
        <f t="shared" si="1016"/>
        <v/>
      </c>
      <c r="B3383" s="52"/>
      <c r="C3383" s="52"/>
      <c r="D3383" s="33" t="str">
        <f t="shared" si="1017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1018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19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15"/>
        <v/>
      </c>
      <c r="AA3383" s="128"/>
      <c r="AB3383" s="129">
        <v>794000</v>
      </c>
      <c r="AC3383" s="130">
        <f t="shared" si="1020"/>
        <v>0</v>
      </c>
      <c r="AD3383" s="153"/>
      <c r="AE3383" s="154">
        <f t="shared" si="1021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1013"/>
        <v>37969334.083628319</v>
      </c>
      <c r="AJ3383" s="19">
        <f t="shared" si="1014"/>
        <v>5097226.4551657084</v>
      </c>
      <c r="AK3383" s="20">
        <f t="shared" si="1022"/>
        <v>0.13424587441904964</v>
      </c>
      <c r="AL3383" s="55"/>
      <c r="AM3383" s="55"/>
      <c r="AN3383" s="55"/>
      <c r="AO3383" s="55"/>
      <c r="AP3383" s="28" t="str">
        <f t="shared" si="1023"/>
        <v>20208</v>
      </c>
      <c r="AQ3383" s="28" t="str">
        <f t="shared" si="1024"/>
        <v/>
      </c>
      <c r="AR3383" s="206" t="str">
        <f t="shared" si="1025"/>
        <v>C66 SERVICE</v>
      </c>
      <c r="AS3383" s="22" t="str">
        <f t="shared" si="1026"/>
        <v/>
      </c>
      <c r="AT3383" s="24" t="str">
        <f t="shared" si="1027"/>
        <v/>
      </c>
    </row>
    <row r="3384" spans="1:46" s="12" customFormat="1" ht="42">
      <c r="A3384" s="33" t="str">
        <f t="shared" si="1016"/>
        <v/>
      </c>
      <c r="B3384" s="52"/>
      <c r="C3384" s="52"/>
      <c r="D3384" s="33" t="str">
        <f t="shared" si="1017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1018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19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15"/>
        <v/>
      </c>
      <c r="AA3384" s="128"/>
      <c r="AB3384" s="129">
        <v>234000</v>
      </c>
      <c r="AC3384" s="130">
        <f t="shared" si="1020"/>
        <v>0</v>
      </c>
      <c r="AD3384" s="153"/>
      <c r="AE3384" s="154">
        <f t="shared" si="1021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1013"/>
        <v>37969334.083628319</v>
      </c>
      <c r="AJ3384" s="19">
        <f t="shared" si="1014"/>
        <v>5097226.4551657084</v>
      </c>
      <c r="AK3384" s="20">
        <f t="shared" si="1022"/>
        <v>0.13424587441904964</v>
      </c>
      <c r="AL3384" s="55"/>
      <c r="AM3384" s="55"/>
      <c r="AN3384" s="55"/>
      <c r="AO3384" s="55"/>
      <c r="AP3384" s="28" t="str">
        <f t="shared" si="1023"/>
        <v>20208</v>
      </c>
      <c r="AQ3384" s="28" t="str">
        <f t="shared" si="1024"/>
        <v/>
      </c>
      <c r="AR3384" s="206" t="str">
        <f t="shared" si="1025"/>
        <v>C66 SERVICE</v>
      </c>
      <c r="AS3384" s="22" t="str">
        <f t="shared" si="1026"/>
        <v/>
      </c>
      <c r="AT3384" s="24" t="str">
        <f t="shared" si="1027"/>
        <v/>
      </c>
    </row>
    <row r="3385" spans="1:46" s="12" customFormat="1" ht="42">
      <c r="A3385" s="33" t="str">
        <f t="shared" si="1016"/>
        <v/>
      </c>
      <c r="B3385" s="52"/>
      <c r="C3385" s="52"/>
      <c r="D3385" s="33" t="str">
        <f t="shared" si="1017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1018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19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15"/>
        <v/>
      </c>
      <c r="AA3385" s="128"/>
      <c r="AB3385" s="129">
        <v>13000</v>
      </c>
      <c r="AC3385" s="130">
        <f t="shared" si="1020"/>
        <v>0</v>
      </c>
      <c r="AD3385" s="153"/>
      <c r="AE3385" s="154">
        <f t="shared" si="1021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1013"/>
        <v>37969334.083628319</v>
      </c>
      <c r="AJ3385" s="19">
        <f t="shared" si="1014"/>
        <v>5097226.4551657084</v>
      </c>
      <c r="AK3385" s="20">
        <f t="shared" si="1022"/>
        <v>0.13424587441904964</v>
      </c>
      <c r="AL3385" s="55"/>
      <c r="AM3385" s="55"/>
      <c r="AN3385" s="55"/>
      <c r="AO3385" s="55"/>
      <c r="AP3385" s="28" t="str">
        <f t="shared" si="1023"/>
        <v>20208</v>
      </c>
      <c r="AQ3385" s="28" t="str">
        <f t="shared" si="1024"/>
        <v/>
      </c>
      <c r="AR3385" s="206" t="str">
        <f t="shared" si="1025"/>
        <v>C66 SERVICE</v>
      </c>
      <c r="AS3385" s="22" t="str">
        <f t="shared" si="1026"/>
        <v/>
      </c>
      <c r="AT3385" s="24" t="str">
        <f t="shared" si="1027"/>
        <v/>
      </c>
    </row>
    <row r="3386" spans="1:46" s="12" customFormat="1" ht="42">
      <c r="A3386" s="33" t="str">
        <f t="shared" si="1016"/>
        <v/>
      </c>
      <c r="B3386" s="52"/>
      <c r="C3386" s="52"/>
      <c r="D3386" s="33" t="str">
        <f t="shared" si="1017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1018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19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15"/>
        <v/>
      </c>
      <c r="AA3386" s="128"/>
      <c r="AB3386" s="129">
        <v>7000</v>
      </c>
      <c r="AC3386" s="130">
        <f t="shared" si="1020"/>
        <v>0</v>
      </c>
      <c r="AD3386" s="153"/>
      <c r="AE3386" s="154">
        <f t="shared" si="1021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1013"/>
        <v>37969334.083628319</v>
      </c>
      <c r="AJ3386" s="19">
        <f t="shared" si="1014"/>
        <v>5097226.4551657084</v>
      </c>
      <c r="AK3386" s="20">
        <f t="shared" si="1022"/>
        <v>0.13424587441904964</v>
      </c>
      <c r="AL3386" s="55"/>
      <c r="AM3386" s="55"/>
      <c r="AN3386" s="55"/>
      <c r="AO3386" s="55"/>
      <c r="AP3386" s="28" t="str">
        <f t="shared" si="1023"/>
        <v>20208</v>
      </c>
      <c r="AQ3386" s="28" t="str">
        <f t="shared" si="1024"/>
        <v/>
      </c>
      <c r="AR3386" s="206" t="str">
        <f t="shared" si="1025"/>
        <v>C66 SERVICE</v>
      </c>
      <c r="AS3386" s="22" t="str">
        <f t="shared" si="1026"/>
        <v/>
      </c>
      <c r="AT3386" s="24" t="str">
        <f t="shared" si="1027"/>
        <v/>
      </c>
    </row>
    <row r="3387" spans="1:46" s="12" customFormat="1" ht="42">
      <c r="A3387" s="33" t="str">
        <f t="shared" si="1016"/>
        <v/>
      </c>
      <c r="B3387" s="52"/>
      <c r="C3387" s="52"/>
      <c r="D3387" s="33" t="str">
        <f t="shared" si="1017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1018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19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15"/>
        <v/>
      </c>
      <c r="AA3387" s="128"/>
      <c r="AB3387" s="129">
        <v>561000</v>
      </c>
      <c r="AC3387" s="130">
        <f t="shared" si="1020"/>
        <v>0</v>
      </c>
      <c r="AD3387" s="153"/>
      <c r="AE3387" s="154">
        <f t="shared" si="1021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1013"/>
        <v>35384300.169380538</v>
      </c>
      <c r="AJ3387" s="19">
        <f t="shared" si="1014"/>
        <v>5044538.8896988509</v>
      </c>
      <c r="AK3387" s="20">
        <f t="shared" si="1022"/>
        <v>0.14256432557804533</v>
      </c>
      <c r="AL3387" s="55"/>
      <c r="AM3387" s="55"/>
      <c r="AN3387" s="55"/>
      <c r="AO3387" s="55"/>
      <c r="AP3387" s="28" t="str">
        <f t="shared" si="1023"/>
        <v>20207</v>
      </c>
      <c r="AQ3387" s="28" t="str">
        <f t="shared" si="1024"/>
        <v/>
      </c>
      <c r="AR3387" s="206" t="str">
        <f t="shared" si="1025"/>
        <v>C66 SERVICE</v>
      </c>
      <c r="AS3387" s="22" t="str">
        <f t="shared" si="1026"/>
        <v/>
      </c>
      <c r="AT3387" s="24" t="str">
        <f t="shared" si="1027"/>
        <v/>
      </c>
    </row>
    <row r="3388" spans="1:46" s="12" customFormat="1" ht="42">
      <c r="A3388" s="33" t="str">
        <f t="shared" si="1016"/>
        <v/>
      </c>
      <c r="B3388" s="52"/>
      <c r="C3388" s="52"/>
      <c r="D3388" s="33" t="str">
        <f t="shared" si="1017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1018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19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15"/>
        <v/>
      </c>
      <c r="AA3388" s="128"/>
      <c r="AB3388" s="129">
        <v>133000</v>
      </c>
      <c r="AC3388" s="130">
        <f t="shared" si="1020"/>
        <v>0</v>
      </c>
      <c r="AD3388" s="153"/>
      <c r="AE3388" s="154">
        <f t="shared" si="1021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1013"/>
        <v>35384300.169380538</v>
      </c>
      <c r="AJ3388" s="19">
        <f t="shared" si="1014"/>
        <v>5044538.8896988509</v>
      </c>
      <c r="AK3388" s="20">
        <f t="shared" si="1022"/>
        <v>0.14256432557804533</v>
      </c>
      <c r="AL3388" s="55"/>
      <c r="AM3388" s="55"/>
      <c r="AN3388" s="55"/>
      <c r="AO3388" s="55"/>
      <c r="AP3388" s="28" t="str">
        <f t="shared" si="1023"/>
        <v>20207</v>
      </c>
      <c r="AQ3388" s="28" t="str">
        <f t="shared" si="1024"/>
        <v/>
      </c>
      <c r="AR3388" s="206" t="str">
        <f t="shared" si="1025"/>
        <v>C66 SERVICE</v>
      </c>
      <c r="AS3388" s="22" t="str">
        <f t="shared" si="1026"/>
        <v/>
      </c>
      <c r="AT3388" s="24" t="str">
        <f t="shared" si="1027"/>
        <v/>
      </c>
    </row>
    <row r="3389" spans="1:46" s="12" customFormat="1" ht="42">
      <c r="A3389" s="33" t="str">
        <f t="shared" si="1016"/>
        <v/>
      </c>
      <c r="B3389" s="52"/>
      <c r="C3389" s="52"/>
      <c r="D3389" s="33" t="str">
        <f t="shared" si="1017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1018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19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15"/>
        <v/>
      </c>
      <c r="AA3389" s="128"/>
      <c r="AB3389" s="129">
        <v>59000</v>
      </c>
      <c r="AC3389" s="130">
        <f t="shared" si="1020"/>
        <v>0</v>
      </c>
      <c r="AD3389" s="153"/>
      <c r="AE3389" s="154">
        <f t="shared" si="1021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1013"/>
        <v>35384300.169380538</v>
      </c>
      <c r="AJ3389" s="19">
        <f t="shared" si="1014"/>
        <v>5044538.8896988509</v>
      </c>
      <c r="AK3389" s="20">
        <f t="shared" si="1022"/>
        <v>0.14256432557804533</v>
      </c>
      <c r="AL3389" s="55"/>
      <c r="AM3389" s="55"/>
      <c r="AN3389" s="55"/>
      <c r="AO3389" s="55"/>
      <c r="AP3389" s="28" t="str">
        <f t="shared" si="1023"/>
        <v>20207</v>
      </c>
      <c r="AQ3389" s="28" t="str">
        <f t="shared" si="1024"/>
        <v/>
      </c>
      <c r="AR3389" s="206" t="str">
        <f t="shared" si="1025"/>
        <v>C66 SERVICE</v>
      </c>
      <c r="AS3389" s="22" t="str">
        <f t="shared" si="1026"/>
        <v/>
      </c>
      <c r="AT3389" s="24" t="str">
        <f t="shared" si="1027"/>
        <v/>
      </c>
    </row>
    <row r="3390" spans="1:46" s="12" customFormat="1" ht="42">
      <c r="A3390" s="33" t="str">
        <f t="shared" si="1016"/>
        <v/>
      </c>
      <c r="B3390" s="52"/>
      <c r="C3390" s="52"/>
      <c r="D3390" s="33" t="str">
        <f t="shared" si="1017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1018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19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15"/>
        <v/>
      </c>
      <c r="AA3390" s="128"/>
      <c r="AB3390" s="129">
        <v>5000</v>
      </c>
      <c r="AC3390" s="130">
        <f t="shared" si="1020"/>
        <v>0</v>
      </c>
      <c r="AD3390" s="153"/>
      <c r="AE3390" s="154">
        <f t="shared" si="1021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1013"/>
        <v>35384300.169380538</v>
      </c>
      <c r="AJ3390" s="19">
        <f t="shared" si="1014"/>
        <v>5044538.8896988509</v>
      </c>
      <c r="AK3390" s="20">
        <f t="shared" si="1022"/>
        <v>0.14256432557804533</v>
      </c>
      <c r="AL3390" s="55"/>
      <c r="AM3390" s="55"/>
      <c r="AN3390" s="55"/>
      <c r="AO3390" s="55"/>
      <c r="AP3390" s="28" t="str">
        <f t="shared" si="1023"/>
        <v>20207</v>
      </c>
      <c r="AQ3390" s="28" t="str">
        <f t="shared" si="1024"/>
        <v/>
      </c>
      <c r="AR3390" s="206" t="str">
        <f t="shared" si="1025"/>
        <v>C66 SERVICE</v>
      </c>
      <c r="AS3390" s="22" t="str">
        <f t="shared" si="1026"/>
        <v/>
      </c>
      <c r="AT3390" s="24" t="str">
        <f t="shared" si="1027"/>
        <v/>
      </c>
    </row>
    <row r="3391" spans="1:46" s="12" customFormat="1" ht="42">
      <c r="A3391" s="33" t="str">
        <f t="shared" si="1016"/>
        <v/>
      </c>
      <c r="B3391" s="52"/>
      <c r="C3391" s="52"/>
      <c r="D3391" s="33" t="str">
        <f t="shared" si="1017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1018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19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15"/>
        <v/>
      </c>
      <c r="AA3391" s="128"/>
      <c r="AB3391" s="129">
        <v>500000</v>
      </c>
      <c r="AC3391" s="130">
        <f t="shared" si="1020"/>
        <v>0</v>
      </c>
      <c r="AD3391" s="153"/>
      <c r="AE3391" s="154">
        <f t="shared" si="1021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1013"/>
        <v>29183109.05575221</v>
      </c>
      <c r="AJ3391" s="19">
        <f t="shared" si="1014"/>
        <v>3741266.5648721238</v>
      </c>
      <c r="AK3391" s="20">
        <f t="shared" si="1022"/>
        <v>0.12819972531798121</v>
      </c>
      <c r="AL3391" s="55"/>
      <c r="AM3391" s="55"/>
      <c r="AN3391" s="55"/>
      <c r="AO3391" s="55"/>
      <c r="AP3391" s="28" t="str">
        <f t="shared" si="1023"/>
        <v>20206</v>
      </c>
      <c r="AQ3391" s="28" t="str">
        <f t="shared" si="1024"/>
        <v/>
      </c>
      <c r="AR3391" s="206" t="str">
        <f t="shared" si="1025"/>
        <v>C66 SERVICE</v>
      </c>
      <c r="AS3391" s="22" t="str">
        <f t="shared" si="1026"/>
        <v/>
      </c>
      <c r="AT3391" s="24" t="str">
        <f t="shared" si="1027"/>
        <v/>
      </c>
    </row>
    <row r="3392" spans="1:46" s="12" customFormat="1" ht="42">
      <c r="A3392" s="33" t="str">
        <f t="shared" si="1016"/>
        <v/>
      </c>
      <c r="B3392" s="52"/>
      <c r="C3392" s="52"/>
      <c r="D3392" s="33" t="str">
        <f t="shared" si="1017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1018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19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15"/>
        <v/>
      </c>
      <c r="AA3392" s="128"/>
      <c r="AB3392" s="129">
        <v>150000</v>
      </c>
      <c r="AC3392" s="130">
        <f t="shared" si="1020"/>
        <v>0</v>
      </c>
      <c r="AD3392" s="153"/>
      <c r="AE3392" s="154">
        <f t="shared" si="1021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1013"/>
        <v>29183109.05575221</v>
      </c>
      <c r="AJ3392" s="19">
        <f t="shared" si="1014"/>
        <v>3741266.5648721238</v>
      </c>
      <c r="AK3392" s="20">
        <f t="shared" si="1022"/>
        <v>0.12819972531798121</v>
      </c>
      <c r="AL3392" s="55"/>
      <c r="AM3392" s="55"/>
      <c r="AN3392" s="55"/>
      <c r="AO3392" s="55"/>
      <c r="AP3392" s="28" t="str">
        <f t="shared" si="1023"/>
        <v>20206</v>
      </c>
      <c r="AQ3392" s="28" t="str">
        <f t="shared" si="1024"/>
        <v/>
      </c>
      <c r="AR3392" s="206" t="str">
        <f t="shared" si="1025"/>
        <v>C66 SERVICE</v>
      </c>
      <c r="AS3392" s="22" t="str">
        <f t="shared" si="1026"/>
        <v/>
      </c>
      <c r="AT3392" s="24" t="str">
        <f t="shared" si="1027"/>
        <v/>
      </c>
    </row>
    <row r="3393" spans="1:46" s="12" customFormat="1" ht="42">
      <c r="A3393" s="33" t="str">
        <f t="shared" si="1016"/>
        <v/>
      </c>
      <c r="B3393" s="52"/>
      <c r="C3393" s="52"/>
      <c r="D3393" s="33" t="str">
        <f t="shared" si="1017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1018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19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15"/>
        <v/>
      </c>
      <c r="AA3393" s="128"/>
      <c r="AB3393" s="129">
        <v>80000</v>
      </c>
      <c r="AC3393" s="130">
        <f t="shared" si="1020"/>
        <v>0</v>
      </c>
      <c r="AD3393" s="153"/>
      <c r="AE3393" s="154">
        <f t="shared" si="1021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1013"/>
        <v>29183109.05575221</v>
      </c>
      <c r="AJ3393" s="19">
        <f t="shared" si="1014"/>
        <v>3741266.5648721238</v>
      </c>
      <c r="AK3393" s="20">
        <f t="shared" si="1022"/>
        <v>0.12819972531798121</v>
      </c>
      <c r="AL3393" s="55"/>
      <c r="AM3393" s="55"/>
      <c r="AN3393" s="55"/>
      <c r="AO3393" s="55"/>
      <c r="AP3393" s="28" t="str">
        <f t="shared" si="1023"/>
        <v>20206</v>
      </c>
      <c r="AQ3393" s="28" t="str">
        <f t="shared" si="1024"/>
        <v/>
      </c>
      <c r="AR3393" s="206" t="str">
        <f t="shared" si="1025"/>
        <v>C66 SERVICE</v>
      </c>
      <c r="AS3393" s="22" t="str">
        <f t="shared" si="1026"/>
        <v/>
      </c>
      <c r="AT3393" s="24" t="str">
        <f t="shared" si="1027"/>
        <v/>
      </c>
    </row>
    <row r="3394" spans="1:46" s="12" customFormat="1" ht="42">
      <c r="A3394" s="33" t="str">
        <f t="shared" si="1016"/>
        <v/>
      </c>
      <c r="B3394" s="52"/>
      <c r="C3394" s="52"/>
      <c r="D3394" s="33" t="str">
        <f t="shared" si="1017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1018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19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15"/>
        <v/>
      </c>
      <c r="AA3394" s="128"/>
      <c r="AB3394" s="129">
        <v>80000</v>
      </c>
      <c r="AC3394" s="130">
        <f t="shared" si="1020"/>
        <v>0</v>
      </c>
      <c r="AD3394" s="153"/>
      <c r="AE3394" s="154">
        <f t="shared" si="1021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28">IF(P3394="C66 SERVICE","",SUMIFS(AB:AB,F:F,F3394,G:G,G3394,E:E,E3394))</f>
        <v>29183109.05575221</v>
      </c>
      <c r="AJ3394" s="19">
        <f t="shared" ref="AJ3394:AJ3457" si="1029">IF(P3394="C66 SERVICE","",SUMIFS(AC:AC,F:F,F3394,G:G,G3394,E:E,E3394))</f>
        <v>3741266.5648721238</v>
      </c>
      <c r="AK3394" s="20">
        <f t="shared" si="1022"/>
        <v>0.12819972531798121</v>
      </c>
      <c r="AL3394" s="55"/>
      <c r="AM3394" s="55"/>
      <c r="AN3394" s="55"/>
      <c r="AO3394" s="55"/>
      <c r="AP3394" s="28" t="str">
        <f t="shared" si="1023"/>
        <v>20206</v>
      </c>
      <c r="AQ3394" s="28" t="str">
        <f t="shared" si="1024"/>
        <v/>
      </c>
      <c r="AR3394" s="206" t="str">
        <f t="shared" si="1025"/>
        <v>C66 SERVICE</v>
      </c>
      <c r="AS3394" s="22" t="str">
        <f t="shared" si="1026"/>
        <v/>
      </c>
      <c r="AT3394" s="24" t="str">
        <f t="shared" si="1027"/>
        <v/>
      </c>
    </row>
    <row r="3395" spans="1:46" s="12" customFormat="1" ht="42">
      <c r="A3395" s="33" t="str">
        <f t="shared" si="1016"/>
        <v/>
      </c>
      <c r="B3395" s="52"/>
      <c r="C3395" s="52"/>
      <c r="D3395" s="33" t="str">
        <f t="shared" si="1017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1018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19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15"/>
        <v/>
      </c>
      <c r="AA3395" s="128"/>
      <c r="AB3395" s="129">
        <v>192000</v>
      </c>
      <c r="AC3395" s="130">
        <f t="shared" si="1020"/>
        <v>0</v>
      </c>
      <c r="AD3395" s="153"/>
      <c r="AE3395" s="154">
        <f t="shared" si="1021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28"/>
        <v>28065694.408805311</v>
      </c>
      <c r="AJ3395" s="19">
        <f t="shared" si="1029"/>
        <v>4157433.2906989697</v>
      </c>
      <c r="AK3395" s="20">
        <f t="shared" si="1022"/>
        <v>0.14813220831602228</v>
      </c>
      <c r="AL3395" s="55"/>
      <c r="AM3395" s="55"/>
      <c r="AN3395" s="55"/>
      <c r="AO3395" s="55"/>
      <c r="AP3395" s="28" t="str">
        <f t="shared" si="1023"/>
        <v>20205</v>
      </c>
      <c r="AQ3395" s="28" t="str">
        <f t="shared" si="1024"/>
        <v/>
      </c>
      <c r="AR3395" s="206" t="str">
        <f t="shared" si="1025"/>
        <v>C66 SERVICE</v>
      </c>
      <c r="AS3395" s="22" t="str">
        <f t="shared" si="1026"/>
        <v/>
      </c>
      <c r="AT3395" s="24" t="str">
        <f t="shared" si="1027"/>
        <v/>
      </c>
    </row>
    <row r="3396" spans="1:46" s="12" customFormat="1" ht="42">
      <c r="A3396" s="33" t="str">
        <f t="shared" si="1016"/>
        <v/>
      </c>
      <c r="B3396" s="52"/>
      <c r="C3396" s="52"/>
      <c r="D3396" s="33" t="str">
        <f t="shared" si="1017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1018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19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15"/>
        <v/>
      </c>
      <c r="AA3396" s="128"/>
      <c r="AB3396" s="129">
        <v>278000</v>
      </c>
      <c r="AC3396" s="130">
        <f t="shared" si="1020"/>
        <v>0</v>
      </c>
      <c r="AD3396" s="153"/>
      <c r="AE3396" s="154">
        <f t="shared" si="1021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28"/>
        <v>28065694.408805311</v>
      </c>
      <c r="AJ3396" s="19">
        <f t="shared" si="1029"/>
        <v>4157433.2906989697</v>
      </c>
      <c r="AK3396" s="20">
        <f t="shared" si="1022"/>
        <v>0.14813220831602228</v>
      </c>
      <c r="AL3396" s="55"/>
      <c r="AM3396" s="55"/>
      <c r="AN3396" s="55"/>
      <c r="AO3396" s="55"/>
      <c r="AP3396" s="28" t="str">
        <f t="shared" si="1023"/>
        <v>20205</v>
      </c>
      <c r="AQ3396" s="28" t="str">
        <f t="shared" si="1024"/>
        <v/>
      </c>
      <c r="AR3396" s="206" t="str">
        <f t="shared" si="1025"/>
        <v>C66 SERVICE</v>
      </c>
      <c r="AS3396" s="22" t="str">
        <f t="shared" si="1026"/>
        <v/>
      </c>
      <c r="AT3396" s="24" t="str">
        <f t="shared" si="1027"/>
        <v/>
      </c>
    </row>
    <row r="3397" spans="1:46" s="12" customFormat="1" ht="42">
      <c r="A3397" s="33" t="str">
        <f t="shared" si="1016"/>
        <v/>
      </c>
      <c r="B3397" s="52"/>
      <c r="C3397" s="52"/>
      <c r="D3397" s="33" t="str">
        <f t="shared" si="1017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1018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19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15"/>
        <v/>
      </c>
      <c r="AA3397" s="128"/>
      <c r="AB3397" s="129">
        <v>95000</v>
      </c>
      <c r="AC3397" s="130">
        <f t="shared" si="1020"/>
        <v>0</v>
      </c>
      <c r="AD3397" s="153"/>
      <c r="AE3397" s="154">
        <f t="shared" si="1021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28"/>
        <v>28065694.408805311</v>
      </c>
      <c r="AJ3397" s="19">
        <f t="shared" si="1029"/>
        <v>4157433.2906989697</v>
      </c>
      <c r="AK3397" s="20">
        <f t="shared" si="1022"/>
        <v>0.14813220831602228</v>
      </c>
      <c r="AL3397" s="55"/>
      <c r="AM3397" s="55"/>
      <c r="AN3397" s="55"/>
      <c r="AO3397" s="55"/>
      <c r="AP3397" s="28" t="str">
        <f t="shared" si="1023"/>
        <v>20205</v>
      </c>
      <c r="AQ3397" s="28" t="str">
        <f t="shared" si="1024"/>
        <v/>
      </c>
      <c r="AR3397" s="206" t="str">
        <f t="shared" si="1025"/>
        <v>C66 SERVICE</v>
      </c>
      <c r="AS3397" s="22" t="str">
        <f t="shared" si="1026"/>
        <v/>
      </c>
      <c r="AT3397" s="24" t="str">
        <f t="shared" si="1027"/>
        <v/>
      </c>
    </row>
    <row r="3398" spans="1:46" s="12" customFormat="1" ht="42">
      <c r="A3398" s="33" t="str">
        <f t="shared" si="1016"/>
        <v/>
      </c>
      <c r="B3398" s="52"/>
      <c r="C3398" s="52"/>
      <c r="D3398" s="33" t="str">
        <f t="shared" si="1017"/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si="1018"/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19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15"/>
        <v/>
      </c>
      <c r="AA3398" s="128"/>
      <c r="AB3398" s="129">
        <v>81000</v>
      </c>
      <c r="AC3398" s="130">
        <f t="shared" si="1020"/>
        <v>0</v>
      </c>
      <c r="AD3398" s="153"/>
      <c r="AE3398" s="154">
        <f t="shared" si="1021"/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28"/>
        <v>28065694.408805311</v>
      </c>
      <c r="AJ3398" s="19">
        <f t="shared" si="1029"/>
        <v>4157433.2906989697</v>
      </c>
      <c r="AK3398" s="20">
        <f t="shared" si="1022"/>
        <v>0.14813220831602228</v>
      </c>
      <c r="AL3398" s="55"/>
      <c r="AM3398" s="55"/>
      <c r="AN3398" s="55"/>
      <c r="AO3398" s="55"/>
      <c r="AP3398" s="28" t="str">
        <f t="shared" si="1023"/>
        <v>20205</v>
      </c>
      <c r="AQ3398" s="28" t="str">
        <f t="shared" si="1024"/>
        <v/>
      </c>
      <c r="AR3398" s="206" t="str">
        <f t="shared" si="1025"/>
        <v>C66 SERVICE</v>
      </c>
      <c r="AS3398" s="22" t="str">
        <f t="shared" si="1026"/>
        <v/>
      </c>
      <c r="AT3398" s="24" t="str">
        <f t="shared" si="1027"/>
        <v/>
      </c>
    </row>
    <row r="3399" spans="1:46" s="12" customFormat="1" ht="42">
      <c r="A3399" s="33" t="str">
        <f t="shared" si="1016"/>
        <v/>
      </c>
      <c r="B3399" s="52"/>
      <c r="C3399" s="52"/>
      <c r="D3399" s="33" t="str">
        <f t="shared" si="1017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8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19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15"/>
        <v/>
      </c>
      <c r="AA3399" s="128"/>
      <c r="AB3399" s="129">
        <v>287000</v>
      </c>
      <c r="AC3399" s="130">
        <f t="shared" si="1020"/>
        <v>0</v>
      </c>
      <c r="AD3399" s="153"/>
      <c r="AE3399" s="154">
        <f t="shared" si="1021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28"/>
        <v>33477255.428389374</v>
      </c>
      <c r="AJ3399" s="19">
        <f t="shared" si="1029"/>
        <v>4578663.362915583</v>
      </c>
      <c r="AK3399" s="20">
        <f t="shared" si="1022"/>
        <v>0.13676937682988152</v>
      </c>
      <c r="AL3399" s="55"/>
      <c r="AM3399" s="55"/>
      <c r="AN3399" s="55"/>
      <c r="AO3399" s="55"/>
      <c r="AP3399" s="28" t="str">
        <f t="shared" si="1023"/>
        <v>20204</v>
      </c>
      <c r="AQ3399" s="28" t="str">
        <f t="shared" si="1024"/>
        <v/>
      </c>
      <c r="AR3399" s="206" t="str">
        <f t="shared" si="1025"/>
        <v>C66 SERVICE</v>
      </c>
      <c r="AS3399" s="22" t="str">
        <f t="shared" si="1026"/>
        <v/>
      </c>
      <c r="AT3399" s="24" t="str">
        <f t="shared" si="1027"/>
        <v/>
      </c>
    </row>
    <row r="3400" spans="1:46" s="12" customFormat="1" ht="42">
      <c r="A3400" s="33" t="str">
        <f t="shared" si="1016"/>
        <v/>
      </c>
      <c r="B3400" s="52"/>
      <c r="C3400" s="52"/>
      <c r="D3400" s="33" t="str">
        <f t="shared" si="1017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8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19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15"/>
        <v/>
      </c>
      <c r="AA3400" s="128"/>
      <c r="AB3400" s="129">
        <v>248000</v>
      </c>
      <c r="AC3400" s="130">
        <f t="shared" si="1020"/>
        <v>0</v>
      </c>
      <c r="AD3400" s="153"/>
      <c r="AE3400" s="154">
        <f t="shared" si="1021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28"/>
        <v>33477255.428389374</v>
      </c>
      <c r="AJ3400" s="19">
        <f t="shared" si="1029"/>
        <v>4578663.362915583</v>
      </c>
      <c r="AK3400" s="20">
        <f t="shared" si="1022"/>
        <v>0.13676937682988152</v>
      </c>
      <c r="AL3400" s="55"/>
      <c r="AM3400" s="55"/>
      <c r="AN3400" s="55"/>
      <c r="AO3400" s="55"/>
      <c r="AP3400" s="28" t="str">
        <f t="shared" si="1023"/>
        <v>20204</v>
      </c>
      <c r="AQ3400" s="28" t="str">
        <f t="shared" si="1024"/>
        <v/>
      </c>
      <c r="AR3400" s="206" t="str">
        <f t="shared" si="1025"/>
        <v>C66 SERVICE</v>
      </c>
      <c r="AS3400" s="22" t="str">
        <f t="shared" si="1026"/>
        <v/>
      </c>
      <c r="AT3400" s="24" t="str">
        <f t="shared" si="1027"/>
        <v/>
      </c>
    </row>
    <row r="3401" spans="1:46" s="12" customFormat="1" ht="42">
      <c r="A3401" s="33" t="str">
        <f t="shared" si="1016"/>
        <v/>
      </c>
      <c r="B3401" s="52"/>
      <c r="C3401" s="52"/>
      <c r="D3401" s="33" t="str">
        <f t="shared" si="1017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8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19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15"/>
        <v/>
      </c>
      <c r="AA3401" s="128"/>
      <c r="AB3401" s="129">
        <v>186000</v>
      </c>
      <c r="AC3401" s="130">
        <f t="shared" si="1020"/>
        <v>0</v>
      </c>
      <c r="AD3401" s="153"/>
      <c r="AE3401" s="154">
        <f t="shared" si="1021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28"/>
        <v>33477255.428389374</v>
      </c>
      <c r="AJ3401" s="19">
        <f t="shared" si="1029"/>
        <v>4578663.362915583</v>
      </c>
      <c r="AK3401" s="20">
        <f t="shared" si="1022"/>
        <v>0.13676937682988152</v>
      </c>
      <c r="AL3401" s="55"/>
      <c r="AM3401" s="55"/>
      <c r="AN3401" s="55"/>
      <c r="AO3401" s="55"/>
      <c r="AP3401" s="28" t="str">
        <f t="shared" si="1023"/>
        <v>20204</v>
      </c>
      <c r="AQ3401" s="28" t="str">
        <f t="shared" si="1024"/>
        <v/>
      </c>
      <c r="AR3401" s="206" t="str">
        <f t="shared" si="1025"/>
        <v>C66 SERVICE</v>
      </c>
      <c r="AS3401" s="22" t="str">
        <f t="shared" si="1026"/>
        <v/>
      </c>
      <c r="AT3401" s="24" t="str">
        <f t="shared" si="1027"/>
        <v/>
      </c>
    </row>
    <row r="3402" spans="1:46" s="12" customFormat="1" ht="42">
      <c r="A3402" s="33" t="str">
        <f t="shared" si="1016"/>
        <v/>
      </c>
      <c r="B3402" s="52"/>
      <c r="C3402" s="52"/>
      <c r="D3402" s="33" t="str">
        <f t="shared" si="1017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8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19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15"/>
        <v/>
      </c>
      <c r="AA3402" s="128"/>
      <c r="AB3402" s="129">
        <v>0</v>
      </c>
      <c r="AC3402" s="130">
        <f t="shared" si="1020"/>
        <v>0</v>
      </c>
      <c r="AD3402" s="153"/>
      <c r="AE3402" s="154">
        <f t="shared" si="1021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28"/>
        <v>33477255.428389374</v>
      </c>
      <c r="AJ3402" s="19">
        <f t="shared" si="1029"/>
        <v>4578663.362915583</v>
      </c>
      <c r="AK3402" s="20">
        <f t="shared" si="1022"/>
        <v>0.13676937682988152</v>
      </c>
      <c r="AL3402" s="55"/>
      <c r="AM3402" s="55"/>
      <c r="AN3402" s="55"/>
      <c r="AO3402" s="55"/>
      <c r="AP3402" s="28" t="str">
        <f t="shared" si="1023"/>
        <v>20204</v>
      </c>
      <c r="AQ3402" s="28" t="str">
        <f t="shared" si="1024"/>
        <v/>
      </c>
      <c r="AR3402" s="206" t="str">
        <f t="shared" si="1025"/>
        <v>C66 SERVICE</v>
      </c>
      <c r="AS3402" s="22" t="str">
        <f t="shared" si="1026"/>
        <v/>
      </c>
      <c r="AT3402" s="24" t="str">
        <f t="shared" si="1027"/>
        <v/>
      </c>
    </row>
    <row r="3403" spans="1:46" s="12" customFormat="1" ht="42">
      <c r="A3403" s="33" t="str">
        <f t="shared" si="1016"/>
        <v/>
      </c>
      <c r="B3403" s="52"/>
      <c r="C3403" s="52"/>
      <c r="D3403" s="33" t="str">
        <f t="shared" si="1017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8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19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15"/>
        <v/>
      </c>
      <c r="AA3403" s="128"/>
      <c r="AB3403" s="129">
        <v>1537000</v>
      </c>
      <c r="AC3403" s="130">
        <f t="shared" si="1020"/>
        <v>0</v>
      </c>
      <c r="AD3403" s="153"/>
      <c r="AE3403" s="154">
        <f t="shared" si="1021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28"/>
        <v>23168285.927433632</v>
      </c>
      <c r="AJ3403" s="19">
        <f t="shared" si="1029"/>
        <v>2764878.916878053</v>
      </c>
      <c r="AK3403" s="20">
        <f t="shared" si="1022"/>
        <v>0.11933895004309111</v>
      </c>
      <c r="AL3403" s="55"/>
      <c r="AM3403" s="55"/>
      <c r="AN3403" s="55"/>
      <c r="AO3403" s="55"/>
      <c r="AP3403" s="28" t="str">
        <f t="shared" si="1023"/>
        <v>20203</v>
      </c>
      <c r="AQ3403" s="28" t="str">
        <f t="shared" si="1024"/>
        <v/>
      </c>
      <c r="AR3403" s="206" t="str">
        <f t="shared" si="1025"/>
        <v>C66 SERVICE</v>
      </c>
      <c r="AS3403" s="22" t="str">
        <f t="shared" si="1026"/>
        <v/>
      </c>
      <c r="AT3403" s="24" t="str">
        <f t="shared" si="1027"/>
        <v/>
      </c>
    </row>
    <row r="3404" spans="1:46" s="12" customFormat="1" ht="42">
      <c r="A3404" s="33" t="str">
        <f t="shared" si="1016"/>
        <v/>
      </c>
      <c r="B3404" s="52"/>
      <c r="C3404" s="52"/>
      <c r="D3404" s="33" t="str">
        <f t="shared" si="1017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8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19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15"/>
        <v/>
      </c>
      <c r="AA3404" s="128"/>
      <c r="AB3404" s="129">
        <v>195000</v>
      </c>
      <c r="AC3404" s="130">
        <f t="shared" si="1020"/>
        <v>0</v>
      </c>
      <c r="AD3404" s="153"/>
      <c r="AE3404" s="154">
        <f t="shared" si="1021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28"/>
        <v>14005204.685000001</v>
      </c>
      <c r="AJ3404" s="19">
        <f t="shared" si="1029"/>
        <v>1436995.246084</v>
      </c>
      <c r="AK3404" s="20">
        <f t="shared" si="1022"/>
        <v>0.10260437304590525</v>
      </c>
      <c r="AL3404" s="55"/>
      <c r="AM3404" s="55"/>
      <c r="AN3404" s="55"/>
      <c r="AO3404" s="55"/>
      <c r="AP3404" s="28" t="str">
        <f t="shared" si="1023"/>
        <v>20202</v>
      </c>
      <c r="AQ3404" s="28" t="str">
        <f t="shared" si="1024"/>
        <v/>
      </c>
      <c r="AR3404" s="206" t="str">
        <f t="shared" si="1025"/>
        <v>C66 SERVICE</v>
      </c>
      <c r="AS3404" s="22" t="str">
        <f t="shared" si="1026"/>
        <v/>
      </c>
      <c r="AT3404" s="24" t="str">
        <f t="shared" si="1027"/>
        <v/>
      </c>
    </row>
    <row r="3405" spans="1:46" s="12" customFormat="1" ht="42">
      <c r="A3405" s="33" t="str">
        <f t="shared" si="1016"/>
        <v/>
      </c>
      <c r="B3405" s="52"/>
      <c r="C3405" s="52"/>
      <c r="D3405" s="33" t="str">
        <f t="shared" si="1017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8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19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15"/>
        <v/>
      </c>
      <c r="AA3405" s="128"/>
      <c r="AB3405" s="129">
        <v>319000</v>
      </c>
      <c r="AC3405" s="130">
        <f t="shared" si="1020"/>
        <v>0</v>
      </c>
      <c r="AD3405" s="153"/>
      <c r="AE3405" s="154">
        <f t="shared" si="1021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28"/>
        <v>11620538.477876106</v>
      </c>
      <c r="AJ3405" s="19">
        <f t="shared" si="1029"/>
        <v>1598596.3145221241</v>
      </c>
      <c r="AK3405" s="20">
        <f t="shared" si="1022"/>
        <v>0.13756645766163331</v>
      </c>
      <c r="AL3405" s="55"/>
      <c r="AM3405" s="55"/>
      <c r="AN3405" s="55"/>
      <c r="AO3405" s="55"/>
      <c r="AP3405" s="28" t="str">
        <f t="shared" si="1023"/>
        <v>20201</v>
      </c>
      <c r="AQ3405" s="28" t="str">
        <f t="shared" si="1024"/>
        <v/>
      </c>
      <c r="AR3405" s="206" t="str">
        <f t="shared" si="1025"/>
        <v>C66 SERVICE</v>
      </c>
      <c r="AS3405" s="22" t="str">
        <f t="shared" si="1026"/>
        <v/>
      </c>
      <c r="AT3405" s="24" t="str">
        <f t="shared" si="1027"/>
        <v/>
      </c>
    </row>
    <row r="3406" spans="1:46" s="12" customFormat="1" ht="42">
      <c r="A3406" s="33" t="str">
        <f t="shared" si="1016"/>
        <v/>
      </c>
      <c r="B3406" s="52"/>
      <c r="C3406" s="52"/>
      <c r="D3406" s="33" t="str">
        <f t="shared" si="1017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8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19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15"/>
        <v/>
      </c>
      <c r="AA3406" s="128"/>
      <c r="AB3406" s="129">
        <v>264000</v>
      </c>
      <c r="AC3406" s="130">
        <f t="shared" si="1020"/>
        <v>0</v>
      </c>
      <c r="AD3406" s="153"/>
      <c r="AE3406" s="154">
        <f t="shared" si="1021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28"/>
        <v>57778307.282035396</v>
      </c>
      <c r="AJ3406" s="19">
        <f t="shared" si="1029"/>
        <v>7259860.7225420559</v>
      </c>
      <c r="AK3406" s="20">
        <f t="shared" si="1022"/>
        <v>0.12565028406083667</v>
      </c>
      <c r="AL3406" s="55"/>
      <c r="AM3406" s="55"/>
      <c r="AN3406" s="55"/>
      <c r="AO3406" s="55"/>
      <c r="AP3406" s="28" t="str">
        <f t="shared" si="1023"/>
        <v>20213</v>
      </c>
      <c r="AQ3406" s="28" t="str">
        <f t="shared" si="1024"/>
        <v/>
      </c>
      <c r="AR3406" s="206" t="str">
        <f t="shared" si="1025"/>
        <v>C66 SERVICE</v>
      </c>
      <c r="AS3406" s="22" t="str">
        <f t="shared" si="1026"/>
        <v/>
      </c>
      <c r="AT3406" s="24" t="str">
        <f t="shared" si="1027"/>
        <v/>
      </c>
    </row>
    <row r="3407" spans="1:46" s="12" customFormat="1" ht="42">
      <c r="A3407" s="33" t="str">
        <f t="shared" si="1016"/>
        <v/>
      </c>
      <c r="B3407" s="52"/>
      <c r="C3407" s="52"/>
      <c r="D3407" s="33" t="str">
        <f t="shared" si="1017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8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19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15"/>
        <v/>
      </c>
      <c r="AA3407" s="128"/>
      <c r="AB3407" s="129">
        <v>31000</v>
      </c>
      <c r="AC3407" s="130">
        <f t="shared" si="1020"/>
        <v>0</v>
      </c>
      <c r="AD3407" s="153"/>
      <c r="AE3407" s="154">
        <f t="shared" si="1021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28"/>
        <v>57778307.282035396</v>
      </c>
      <c r="AJ3407" s="19">
        <f t="shared" si="1029"/>
        <v>7259860.7225420559</v>
      </c>
      <c r="AK3407" s="20">
        <f t="shared" si="1022"/>
        <v>0.12565028406083667</v>
      </c>
      <c r="AL3407" s="55"/>
      <c r="AM3407" s="55"/>
      <c r="AN3407" s="55"/>
      <c r="AO3407" s="55"/>
      <c r="AP3407" s="28" t="str">
        <f t="shared" si="1023"/>
        <v>20213</v>
      </c>
      <c r="AQ3407" s="28" t="str">
        <f t="shared" si="1024"/>
        <v/>
      </c>
      <c r="AR3407" s="206" t="str">
        <f t="shared" si="1025"/>
        <v>C66 SERVICE</v>
      </c>
      <c r="AS3407" s="22" t="str">
        <f t="shared" si="1026"/>
        <v/>
      </c>
      <c r="AT3407" s="24" t="str">
        <f t="shared" si="1027"/>
        <v/>
      </c>
    </row>
    <row r="3408" spans="1:46" s="12" customFormat="1" ht="42">
      <c r="A3408" s="33" t="str">
        <f t="shared" si="1016"/>
        <v/>
      </c>
      <c r="B3408" s="52"/>
      <c r="C3408" s="52"/>
      <c r="D3408" s="33" t="str">
        <f t="shared" si="1017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8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19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15"/>
        <v/>
      </c>
      <c r="AA3408" s="128"/>
      <c r="AB3408" s="129">
        <v>274000</v>
      </c>
      <c r="AC3408" s="130">
        <f t="shared" si="1020"/>
        <v>0</v>
      </c>
      <c r="AD3408" s="153"/>
      <c r="AE3408" s="154">
        <f t="shared" si="1021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28"/>
        <v>57778307.282035396</v>
      </c>
      <c r="AJ3408" s="19">
        <f t="shared" si="1029"/>
        <v>7259860.7225420559</v>
      </c>
      <c r="AK3408" s="20">
        <f t="shared" si="1022"/>
        <v>0.12565028406083667</v>
      </c>
      <c r="AL3408" s="55"/>
      <c r="AM3408" s="55"/>
      <c r="AN3408" s="55"/>
      <c r="AO3408" s="55"/>
      <c r="AP3408" s="28" t="str">
        <f t="shared" si="1023"/>
        <v>20213</v>
      </c>
      <c r="AQ3408" s="28" t="str">
        <f t="shared" si="1024"/>
        <v/>
      </c>
      <c r="AR3408" s="206" t="str">
        <f t="shared" si="1025"/>
        <v>C66 SERVICE</v>
      </c>
      <c r="AS3408" s="22" t="str">
        <f t="shared" si="1026"/>
        <v/>
      </c>
      <c r="AT3408" s="24" t="str">
        <f t="shared" si="1027"/>
        <v/>
      </c>
    </row>
    <row r="3409" spans="1:46" s="12" customFormat="1" ht="42">
      <c r="A3409" s="33" t="str">
        <f t="shared" si="1016"/>
        <v/>
      </c>
      <c r="B3409" s="52"/>
      <c r="C3409" s="52"/>
      <c r="D3409" s="33" t="str">
        <f t="shared" si="1017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8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19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15"/>
        <v/>
      </c>
      <c r="AA3409" s="128"/>
      <c r="AB3409" s="129">
        <v>0</v>
      </c>
      <c r="AC3409" s="130">
        <f t="shared" si="1020"/>
        <v>0</v>
      </c>
      <c r="AD3409" s="153"/>
      <c r="AE3409" s="154">
        <f t="shared" si="1021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28"/>
        <v>57778307.282035396</v>
      </c>
      <c r="AJ3409" s="19">
        <f t="shared" si="1029"/>
        <v>7259860.7225420559</v>
      </c>
      <c r="AK3409" s="20">
        <f t="shared" si="1022"/>
        <v>0.12565028406083667</v>
      </c>
      <c r="AL3409" s="55"/>
      <c r="AM3409" s="55"/>
      <c r="AN3409" s="55"/>
      <c r="AO3409" s="55"/>
      <c r="AP3409" s="28" t="str">
        <f t="shared" si="1023"/>
        <v>20213</v>
      </c>
      <c r="AQ3409" s="28" t="str">
        <f t="shared" si="1024"/>
        <v/>
      </c>
      <c r="AR3409" s="206" t="str">
        <f t="shared" si="1025"/>
        <v>C66 SERVICE</v>
      </c>
      <c r="AS3409" s="22" t="str">
        <f t="shared" si="1026"/>
        <v/>
      </c>
      <c r="AT3409" s="24" t="str">
        <f t="shared" si="1027"/>
        <v/>
      </c>
    </row>
    <row r="3410" spans="1:46" s="12" customFormat="1" ht="42">
      <c r="A3410" s="33" t="str">
        <f t="shared" si="1016"/>
        <v/>
      </c>
      <c r="B3410" s="52"/>
      <c r="C3410" s="52"/>
      <c r="D3410" s="33" t="str">
        <f t="shared" si="1017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8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19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15"/>
        <v/>
      </c>
      <c r="AA3410" s="128"/>
      <c r="AB3410" s="129">
        <v>103000</v>
      </c>
      <c r="AC3410" s="130">
        <f t="shared" si="1020"/>
        <v>0</v>
      </c>
      <c r="AD3410" s="153"/>
      <c r="AE3410" s="154">
        <f t="shared" si="1021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28"/>
        <v>31097187.02948761</v>
      </c>
      <c r="AJ3410" s="19">
        <f t="shared" si="1029"/>
        <v>3892353.6644401965</v>
      </c>
      <c r="AK3410" s="20">
        <f t="shared" si="1022"/>
        <v>0.12516738767237401</v>
      </c>
      <c r="AL3410" s="55"/>
      <c r="AM3410" s="55"/>
      <c r="AN3410" s="55"/>
      <c r="AO3410" s="55"/>
      <c r="AP3410" s="28" t="str">
        <f t="shared" si="1023"/>
        <v>20212</v>
      </c>
      <c r="AQ3410" s="28" t="str">
        <f t="shared" si="1024"/>
        <v/>
      </c>
      <c r="AR3410" s="206" t="str">
        <f t="shared" si="1025"/>
        <v>C66 SERVICE</v>
      </c>
      <c r="AS3410" s="22" t="str">
        <f t="shared" si="1026"/>
        <v/>
      </c>
      <c r="AT3410" s="24" t="str">
        <f t="shared" si="1027"/>
        <v/>
      </c>
    </row>
    <row r="3411" spans="1:46" s="12" customFormat="1" ht="42">
      <c r="A3411" s="33" t="str">
        <f t="shared" si="1016"/>
        <v/>
      </c>
      <c r="B3411" s="52"/>
      <c r="C3411" s="52"/>
      <c r="D3411" s="33" t="str">
        <f t="shared" si="1017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8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19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15"/>
        <v/>
      </c>
      <c r="AA3411" s="128"/>
      <c r="AB3411" s="129">
        <v>306000</v>
      </c>
      <c r="AC3411" s="130">
        <f t="shared" si="1020"/>
        <v>0</v>
      </c>
      <c r="AD3411" s="153"/>
      <c r="AE3411" s="154">
        <f t="shared" si="1021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28"/>
        <v>31097187.02948761</v>
      </c>
      <c r="AJ3411" s="19">
        <f t="shared" si="1029"/>
        <v>3892353.6644401965</v>
      </c>
      <c r="AK3411" s="20">
        <f t="shared" si="1022"/>
        <v>0.12516738767237401</v>
      </c>
      <c r="AL3411" s="55"/>
      <c r="AM3411" s="55"/>
      <c r="AN3411" s="55"/>
      <c r="AO3411" s="55"/>
      <c r="AP3411" s="28" t="str">
        <f t="shared" si="1023"/>
        <v>20212</v>
      </c>
      <c r="AQ3411" s="28" t="str">
        <f t="shared" si="1024"/>
        <v/>
      </c>
      <c r="AR3411" s="206" t="str">
        <f t="shared" si="1025"/>
        <v>C66 SERVICE</v>
      </c>
      <c r="AS3411" s="22" t="str">
        <f t="shared" si="1026"/>
        <v/>
      </c>
      <c r="AT3411" s="24" t="str">
        <f t="shared" si="1027"/>
        <v/>
      </c>
    </row>
    <row r="3412" spans="1:46" s="12" customFormat="1" ht="42">
      <c r="A3412" s="33" t="str">
        <f t="shared" si="1016"/>
        <v/>
      </c>
      <c r="B3412" s="52"/>
      <c r="C3412" s="52"/>
      <c r="D3412" s="33" t="str">
        <f t="shared" si="1017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8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19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15"/>
        <v/>
      </c>
      <c r="AA3412" s="128"/>
      <c r="AB3412" s="129">
        <v>54000</v>
      </c>
      <c r="AC3412" s="130">
        <f t="shared" si="1020"/>
        <v>0</v>
      </c>
      <c r="AD3412" s="153"/>
      <c r="AE3412" s="154">
        <f t="shared" si="1021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28"/>
        <v>31097187.02948761</v>
      </c>
      <c r="AJ3412" s="19">
        <f t="shared" si="1029"/>
        <v>3892353.6644401965</v>
      </c>
      <c r="AK3412" s="20">
        <f t="shared" si="1022"/>
        <v>0.12516738767237401</v>
      </c>
      <c r="AL3412" s="55"/>
      <c r="AM3412" s="55"/>
      <c r="AN3412" s="55"/>
      <c r="AO3412" s="55"/>
      <c r="AP3412" s="28" t="str">
        <f t="shared" si="1023"/>
        <v>20212</v>
      </c>
      <c r="AQ3412" s="28" t="str">
        <f t="shared" si="1024"/>
        <v/>
      </c>
      <c r="AR3412" s="206" t="str">
        <f t="shared" si="1025"/>
        <v>C66 SERVICE</v>
      </c>
      <c r="AS3412" s="22" t="str">
        <f t="shared" si="1026"/>
        <v/>
      </c>
      <c r="AT3412" s="24" t="str">
        <f t="shared" si="1027"/>
        <v/>
      </c>
    </row>
    <row r="3413" spans="1:46" s="12" customFormat="1" ht="42">
      <c r="A3413" s="33" t="str">
        <f t="shared" si="1016"/>
        <v/>
      </c>
      <c r="B3413" s="52"/>
      <c r="C3413" s="52"/>
      <c r="D3413" s="33" t="str">
        <f t="shared" si="1017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8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19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15"/>
        <v/>
      </c>
      <c r="AA3413" s="128"/>
      <c r="AB3413" s="129">
        <v>16000</v>
      </c>
      <c r="AC3413" s="130">
        <f t="shared" si="1020"/>
        <v>0</v>
      </c>
      <c r="AD3413" s="153"/>
      <c r="AE3413" s="154">
        <f t="shared" si="1021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28"/>
        <v>31097187.02948761</v>
      </c>
      <c r="AJ3413" s="19">
        <f t="shared" si="1029"/>
        <v>3892353.6644401965</v>
      </c>
      <c r="AK3413" s="20">
        <f t="shared" si="1022"/>
        <v>0.12516738767237401</v>
      </c>
      <c r="AL3413" s="55"/>
      <c r="AM3413" s="55"/>
      <c r="AN3413" s="55"/>
      <c r="AO3413" s="55"/>
      <c r="AP3413" s="28" t="str">
        <f t="shared" si="1023"/>
        <v>20212</v>
      </c>
      <c r="AQ3413" s="28" t="str">
        <f t="shared" si="1024"/>
        <v/>
      </c>
      <c r="AR3413" s="206" t="str">
        <f t="shared" si="1025"/>
        <v>C66 SERVICE</v>
      </c>
      <c r="AS3413" s="22" t="str">
        <f t="shared" si="1026"/>
        <v/>
      </c>
      <c r="AT3413" s="24" t="str">
        <f t="shared" si="1027"/>
        <v/>
      </c>
    </row>
    <row r="3414" spans="1:46" s="12" customFormat="1" ht="42">
      <c r="A3414" s="33" t="str">
        <f t="shared" si="1016"/>
        <v/>
      </c>
      <c r="B3414" s="52"/>
      <c r="C3414" s="52"/>
      <c r="D3414" s="33" t="str">
        <f t="shared" si="1017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8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si="1019"/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15"/>
        <v/>
      </c>
      <c r="AA3414" s="128"/>
      <c r="AB3414" s="129">
        <v>251000</v>
      </c>
      <c r="AC3414" s="130">
        <f t="shared" si="1020"/>
        <v>0</v>
      </c>
      <c r="AD3414" s="153"/>
      <c r="AE3414" s="154">
        <f t="shared" si="1021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28"/>
        <v>45803245.025628321</v>
      </c>
      <c r="AJ3414" s="19">
        <f t="shared" si="1029"/>
        <v>5664636.2584379362</v>
      </c>
      <c r="AK3414" s="20">
        <f t="shared" si="1022"/>
        <v>0.12367325186825515</v>
      </c>
      <c r="AL3414" s="55"/>
      <c r="AM3414" s="55"/>
      <c r="AN3414" s="55"/>
      <c r="AO3414" s="55"/>
      <c r="AP3414" s="28" t="str">
        <f t="shared" si="1023"/>
        <v>20211</v>
      </c>
      <c r="AQ3414" s="28" t="str">
        <f t="shared" si="1024"/>
        <v/>
      </c>
      <c r="AR3414" s="206" t="str">
        <f t="shared" si="1025"/>
        <v>C66 SERVICE</v>
      </c>
      <c r="AS3414" s="22" t="str">
        <f t="shared" si="1026"/>
        <v/>
      </c>
      <c r="AT3414" s="24" t="str">
        <f t="shared" si="1027"/>
        <v/>
      </c>
    </row>
    <row r="3415" spans="1:46" s="12" customFormat="1" ht="42">
      <c r="A3415" s="33" t="str">
        <f t="shared" si="1016"/>
        <v/>
      </c>
      <c r="B3415" s="52"/>
      <c r="C3415" s="52"/>
      <c r="D3415" s="33" t="str">
        <f t="shared" si="1017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8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19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15"/>
        <v/>
      </c>
      <c r="AA3415" s="128"/>
      <c r="AB3415" s="129">
        <v>446000</v>
      </c>
      <c r="AC3415" s="130">
        <f t="shared" si="1020"/>
        <v>0</v>
      </c>
      <c r="AD3415" s="153"/>
      <c r="AE3415" s="154">
        <f t="shared" si="1021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28"/>
        <v>45803245.025628321</v>
      </c>
      <c r="AJ3415" s="19">
        <f t="shared" si="1029"/>
        <v>5664636.2584379362</v>
      </c>
      <c r="AK3415" s="20">
        <f t="shared" si="1022"/>
        <v>0.12367325186825515</v>
      </c>
      <c r="AL3415" s="55"/>
      <c r="AM3415" s="55"/>
      <c r="AN3415" s="55"/>
      <c r="AO3415" s="55"/>
      <c r="AP3415" s="28" t="str">
        <f t="shared" si="1023"/>
        <v>20211</v>
      </c>
      <c r="AQ3415" s="28" t="str">
        <f t="shared" si="1024"/>
        <v/>
      </c>
      <c r="AR3415" s="206" t="str">
        <f t="shared" si="1025"/>
        <v>C66 SERVICE</v>
      </c>
      <c r="AS3415" s="22" t="str">
        <f t="shared" si="1026"/>
        <v/>
      </c>
      <c r="AT3415" s="24" t="str">
        <f t="shared" si="1027"/>
        <v/>
      </c>
    </row>
    <row r="3416" spans="1:46" s="12" customFormat="1" ht="42">
      <c r="A3416" s="33" t="str">
        <f t="shared" si="1016"/>
        <v/>
      </c>
      <c r="B3416" s="52"/>
      <c r="C3416" s="52"/>
      <c r="D3416" s="33" t="str">
        <f t="shared" si="1017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8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19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15"/>
        <v/>
      </c>
      <c r="AA3416" s="128"/>
      <c r="AB3416" s="129">
        <v>107000</v>
      </c>
      <c r="AC3416" s="130">
        <f t="shared" si="1020"/>
        <v>0</v>
      </c>
      <c r="AD3416" s="153"/>
      <c r="AE3416" s="154">
        <f t="shared" si="1021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28"/>
        <v>45803245.025628321</v>
      </c>
      <c r="AJ3416" s="19">
        <f t="shared" si="1029"/>
        <v>5664636.2584379362</v>
      </c>
      <c r="AK3416" s="20">
        <f t="shared" si="1022"/>
        <v>0.12367325186825515</v>
      </c>
      <c r="AL3416" s="55"/>
      <c r="AM3416" s="55"/>
      <c r="AN3416" s="55"/>
      <c r="AO3416" s="55"/>
      <c r="AP3416" s="28" t="str">
        <f t="shared" si="1023"/>
        <v>20211</v>
      </c>
      <c r="AQ3416" s="28" t="str">
        <f t="shared" si="1024"/>
        <v/>
      </c>
      <c r="AR3416" s="206" t="str">
        <f t="shared" si="1025"/>
        <v>C66 SERVICE</v>
      </c>
      <c r="AS3416" s="22" t="str">
        <f t="shared" si="1026"/>
        <v/>
      </c>
      <c r="AT3416" s="24" t="str">
        <f t="shared" si="1027"/>
        <v/>
      </c>
    </row>
    <row r="3417" spans="1:46" s="12" customFormat="1" ht="25.75" customHeight="1">
      <c r="A3417" s="33" t="str">
        <f t="shared" si="1016"/>
        <v/>
      </c>
      <c r="B3417" s="52"/>
      <c r="C3417" s="52"/>
      <c r="D3417" s="33" t="str">
        <f t="shared" si="1017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8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19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15"/>
        <v/>
      </c>
      <c r="AA3417" s="128"/>
      <c r="AB3417" s="129">
        <v>0</v>
      </c>
      <c r="AC3417" s="130">
        <f t="shared" si="1020"/>
        <v>0</v>
      </c>
      <c r="AD3417" s="153"/>
      <c r="AE3417" s="154">
        <f t="shared" si="1021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28"/>
        <v>45803245.025628321</v>
      </c>
      <c r="AJ3417" s="19">
        <f t="shared" si="1029"/>
        <v>5664636.2584379362</v>
      </c>
      <c r="AK3417" s="20">
        <f t="shared" si="1022"/>
        <v>0.12367325186825515</v>
      </c>
      <c r="AL3417" s="55"/>
      <c r="AM3417" s="55"/>
      <c r="AN3417" s="55"/>
      <c r="AO3417" s="55"/>
      <c r="AP3417" s="28" t="str">
        <f t="shared" si="1023"/>
        <v>20211</v>
      </c>
      <c r="AQ3417" s="28" t="str">
        <f t="shared" si="1024"/>
        <v/>
      </c>
      <c r="AR3417" s="206" t="str">
        <f t="shared" si="1025"/>
        <v>C66 SERVICE</v>
      </c>
      <c r="AS3417" s="22" t="str">
        <f t="shared" si="1026"/>
        <v/>
      </c>
      <c r="AT3417" s="24" t="str">
        <f t="shared" si="1027"/>
        <v/>
      </c>
    </row>
    <row r="3418" spans="1:46" s="12" customFormat="1" ht="42">
      <c r="A3418" s="33" t="str">
        <f t="shared" si="1016"/>
        <v/>
      </c>
      <c r="B3418" s="52"/>
      <c r="C3418" s="52"/>
      <c r="D3418" s="33" t="str">
        <f t="shared" si="1017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8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19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15"/>
        <v/>
      </c>
      <c r="AA3418" s="128"/>
      <c r="AB3418" s="129">
        <v>228000</v>
      </c>
      <c r="AC3418" s="130">
        <f t="shared" si="1020"/>
        <v>0</v>
      </c>
      <c r="AD3418" s="153"/>
      <c r="AE3418" s="154">
        <f t="shared" si="1021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28"/>
        <v>43684091.636631854</v>
      </c>
      <c r="AJ3418" s="19">
        <f t="shared" si="1029"/>
        <v>6483951.8242071122</v>
      </c>
      <c r="AK3418" s="20">
        <f t="shared" si="1022"/>
        <v>0.14842821680123736</v>
      </c>
      <c r="AL3418" s="55"/>
      <c r="AM3418" s="55"/>
      <c r="AN3418" s="55"/>
      <c r="AO3418" s="55"/>
      <c r="AP3418" s="28" t="str">
        <f t="shared" si="1023"/>
        <v>20214</v>
      </c>
      <c r="AQ3418" s="28" t="str">
        <f t="shared" si="1024"/>
        <v/>
      </c>
      <c r="AR3418" s="206" t="str">
        <f t="shared" si="1025"/>
        <v>C66 SERVICE</v>
      </c>
      <c r="AS3418" s="22" t="str">
        <f t="shared" si="1026"/>
        <v/>
      </c>
      <c r="AT3418" s="24" t="str">
        <f t="shared" si="1027"/>
        <v/>
      </c>
    </row>
    <row r="3419" spans="1:46" s="12" customFormat="1" ht="42">
      <c r="A3419" s="33" t="str">
        <f t="shared" si="1016"/>
        <v/>
      </c>
      <c r="B3419" s="52"/>
      <c r="C3419" s="52"/>
      <c r="D3419" s="33" t="str">
        <f t="shared" si="1017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8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19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15"/>
        <v/>
      </c>
      <c r="AA3419" s="128"/>
      <c r="AB3419" s="129">
        <v>260000</v>
      </c>
      <c r="AC3419" s="130">
        <f t="shared" si="1020"/>
        <v>0</v>
      </c>
      <c r="AD3419" s="153"/>
      <c r="AE3419" s="154">
        <f t="shared" si="1021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28"/>
        <v>43684091.636631854</v>
      </c>
      <c r="AJ3419" s="19">
        <f t="shared" si="1029"/>
        <v>6483951.8242071122</v>
      </c>
      <c r="AK3419" s="20">
        <f t="shared" si="1022"/>
        <v>0.14842821680123736</v>
      </c>
      <c r="AL3419" s="55"/>
      <c r="AM3419" s="55"/>
      <c r="AN3419" s="55"/>
      <c r="AO3419" s="55"/>
      <c r="AP3419" s="28" t="str">
        <f t="shared" si="1023"/>
        <v>20214</v>
      </c>
      <c r="AQ3419" s="28" t="str">
        <f t="shared" si="1024"/>
        <v/>
      </c>
      <c r="AR3419" s="206" t="str">
        <f t="shared" si="1025"/>
        <v>C66 SERVICE</v>
      </c>
      <c r="AS3419" s="22" t="str">
        <f t="shared" si="1026"/>
        <v/>
      </c>
      <c r="AT3419" s="24" t="str">
        <f t="shared" si="1027"/>
        <v/>
      </c>
    </row>
    <row r="3420" spans="1:46" s="12" customFormat="1" ht="42">
      <c r="A3420" s="33" t="str">
        <f t="shared" si="1016"/>
        <v/>
      </c>
      <c r="B3420" s="52"/>
      <c r="C3420" s="52"/>
      <c r="D3420" s="33" t="str">
        <f t="shared" si="1017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8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19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15"/>
        <v/>
      </c>
      <c r="AA3420" s="128"/>
      <c r="AB3420" s="129">
        <v>122000</v>
      </c>
      <c r="AC3420" s="130">
        <f t="shared" si="1020"/>
        <v>0</v>
      </c>
      <c r="AD3420" s="153"/>
      <c r="AE3420" s="154">
        <f t="shared" si="1021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28"/>
        <v>43684091.636631854</v>
      </c>
      <c r="AJ3420" s="19">
        <f t="shared" si="1029"/>
        <v>6483951.8242071122</v>
      </c>
      <c r="AK3420" s="20">
        <f t="shared" si="1022"/>
        <v>0.14842821680123736</v>
      </c>
      <c r="AL3420" s="55"/>
      <c r="AM3420" s="55"/>
      <c r="AN3420" s="55"/>
      <c r="AO3420" s="55"/>
      <c r="AP3420" s="28" t="str">
        <f t="shared" si="1023"/>
        <v>20214</v>
      </c>
      <c r="AQ3420" s="28" t="str">
        <f t="shared" si="1024"/>
        <v/>
      </c>
      <c r="AR3420" s="206" t="str">
        <f t="shared" si="1025"/>
        <v>C66 SERVICE</v>
      </c>
      <c r="AS3420" s="22" t="str">
        <f t="shared" si="1026"/>
        <v/>
      </c>
      <c r="AT3420" s="24" t="str">
        <f t="shared" si="1027"/>
        <v/>
      </c>
    </row>
    <row r="3421" spans="1:46" s="12" customFormat="1" ht="42">
      <c r="A3421" s="33" t="str">
        <f t="shared" si="1016"/>
        <v/>
      </c>
      <c r="B3421" s="52"/>
      <c r="C3421" s="52"/>
      <c r="D3421" s="33" t="str">
        <f t="shared" si="1017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8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19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15"/>
        <v/>
      </c>
      <c r="AA3421" s="128"/>
      <c r="AB3421" s="129">
        <v>44000</v>
      </c>
      <c r="AC3421" s="130">
        <f t="shared" si="1020"/>
        <v>0</v>
      </c>
      <c r="AD3421" s="153"/>
      <c r="AE3421" s="154">
        <f t="shared" si="1021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28"/>
        <v>43684091.636631854</v>
      </c>
      <c r="AJ3421" s="19">
        <f t="shared" si="1029"/>
        <v>6483951.8242071122</v>
      </c>
      <c r="AK3421" s="20">
        <f t="shared" si="1022"/>
        <v>0.14842821680123736</v>
      </c>
      <c r="AL3421" s="55"/>
      <c r="AM3421" s="55"/>
      <c r="AN3421" s="55"/>
      <c r="AO3421" s="55"/>
      <c r="AP3421" s="28" t="str">
        <f t="shared" si="1023"/>
        <v>20214</v>
      </c>
      <c r="AQ3421" s="28" t="str">
        <f t="shared" si="1024"/>
        <v/>
      </c>
      <c r="AR3421" s="206" t="str">
        <f t="shared" si="1025"/>
        <v>C66 SERVICE</v>
      </c>
      <c r="AS3421" s="22" t="str">
        <f t="shared" si="1026"/>
        <v/>
      </c>
      <c r="AT3421" s="24" t="str">
        <f t="shared" si="1027"/>
        <v/>
      </c>
    </row>
    <row r="3422" spans="1:46" s="12" customFormat="1" ht="42">
      <c r="A3422" s="33" t="str">
        <f t="shared" si="1016"/>
        <v/>
      </c>
      <c r="B3422" s="52"/>
      <c r="C3422" s="52"/>
      <c r="D3422" s="33" t="str">
        <f t="shared" si="1017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8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19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30">IF(X3422="","",X3422*MAX(O3422,N3422))</f>
        <v/>
      </c>
      <c r="AA3422" s="128"/>
      <c r="AB3422" s="129">
        <v>471000</v>
      </c>
      <c r="AC3422" s="130">
        <f t="shared" si="1020"/>
        <v>0</v>
      </c>
      <c r="AD3422" s="153"/>
      <c r="AE3422" s="154">
        <f t="shared" si="1021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28"/>
        <v>63006605.696460173</v>
      </c>
      <c r="AJ3422" s="19">
        <f t="shared" si="1029"/>
        <v>8897485.660753984</v>
      </c>
      <c r="AK3422" s="20">
        <f t="shared" si="1022"/>
        <v>0.141215124388995</v>
      </c>
      <c r="AL3422" s="55"/>
      <c r="AM3422" s="55"/>
      <c r="AN3422" s="55"/>
      <c r="AO3422" s="55"/>
      <c r="AP3422" s="28" t="str">
        <f t="shared" si="1023"/>
        <v>20215</v>
      </c>
      <c r="AQ3422" s="28" t="str">
        <f t="shared" si="1024"/>
        <v/>
      </c>
      <c r="AR3422" s="206" t="str">
        <f t="shared" si="1025"/>
        <v>C66 SERVICE</v>
      </c>
      <c r="AS3422" s="22" t="str">
        <f t="shared" si="1026"/>
        <v/>
      </c>
      <c r="AT3422" s="24" t="str">
        <f t="shared" si="1027"/>
        <v/>
      </c>
    </row>
    <row r="3423" spans="1:46" s="12" customFormat="1" ht="42">
      <c r="A3423" s="33" t="str">
        <f t="shared" si="1016"/>
        <v/>
      </c>
      <c r="B3423" s="52"/>
      <c r="C3423" s="52"/>
      <c r="D3423" s="33" t="str">
        <f t="shared" si="1017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8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19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30"/>
        <v/>
      </c>
      <c r="AA3423" s="128"/>
      <c r="AB3423" s="129">
        <v>205000</v>
      </c>
      <c r="AC3423" s="130">
        <f t="shared" si="1020"/>
        <v>0</v>
      </c>
      <c r="AD3423" s="153"/>
      <c r="AE3423" s="154">
        <f t="shared" si="1021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28"/>
        <v>63006605.696460173</v>
      </c>
      <c r="AJ3423" s="19">
        <f t="shared" si="1029"/>
        <v>8897485.660753984</v>
      </c>
      <c r="AK3423" s="20">
        <f t="shared" si="1022"/>
        <v>0.141215124388995</v>
      </c>
      <c r="AL3423" s="55"/>
      <c r="AM3423" s="55"/>
      <c r="AN3423" s="55"/>
      <c r="AO3423" s="55"/>
      <c r="AP3423" s="28" t="str">
        <f t="shared" si="1023"/>
        <v>20215</v>
      </c>
      <c r="AQ3423" s="28" t="str">
        <f t="shared" si="1024"/>
        <v/>
      </c>
      <c r="AR3423" s="206" t="str">
        <f t="shared" si="1025"/>
        <v>C66 SERVICE</v>
      </c>
      <c r="AS3423" s="22" t="str">
        <f t="shared" si="1026"/>
        <v/>
      </c>
      <c r="AT3423" s="24" t="str">
        <f t="shared" si="1027"/>
        <v/>
      </c>
    </row>
    <row r="3424" spans="1:46" s="12" customFormat="1" ht="42">
      <c r="A3424" s="33" t="str">
        <f t="shared" si="1016"/>
        <v/>
      </c>
      <c r="B3424" s="52"/>
      <c r="C3424" s="52"/>
      <c r="D3424" s="33" t="str">
        <f t="shared" si="1017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8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19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30"/>
        <v/>
      </c>
      <c r="AA3424" s="128"/>
      <c r="AB3424" s="129">
        <v>18000</v>
      </c>
      <c r="AC3424" s="130">
        <f t="shared" si="1020"/>
        <v>0</v>
      </c>
      <c r="AD3424" s="153"/>
      <c r="AE3424" s="154">
        <f t="shared" si="1021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28"/>
        <v>63006605.696460173</v>
      </c>
      <c r="AJ3424" s="19">
        <f t="shared" si="1029"/>
        <v>8897485.660753984</v>
      </c>
      <c r="AK3424" s="20">
        <f t="shared" si="1022"/>
        <v>0.141215124388995</v>
      </c>
      <c r="AL3424" s="55"/>
      <c r="AM3424" s="55"/>
      <c r="AN3424" s="55"/>
      <c r="AO3424" s="55"/>
      <c r="AP3424" s="28" t="str">
        <f t="shared" si="1023"/>
        <v>20215</v>
      </c>
      <c r="AQ3424" s="28" t="str">
        <f t="shared" si="1024"/>
        <v/>
      </c>
      <c r="AR3424" s="206" t="str">
        <f t="shared" si="1025"/>
        <v>C66 SERVICE</v>
      </c>
      <c r="AS3424" s="22" t="str">
        <f t="shared" si="1026"/>
        <v/>
      </c>
      <c r="AT3424" s="24" t="str">
        <f t="shared" si="1027"/>
        <v/>
      </c>
    </row>
    <row r="3425" spans="1:46" s="12" customFormat="1" ht="42">
      <c r="A3425" s="33" t="str">
        <f t="shared" si="1016"/>
        <v/>
      </c>
      <c r="B3425" s="52"/>
      <c r="C3425" s="52"/>
      <c r="D3425" s="33" t="str">
        <f t="shared" si="1017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8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19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30"/>
        <v/>
      </c>
      <c r="AA3425" s="128"/>
      <c r="AB3425" s="129">
        <v>0</v>
      </c>
      <c r="AC3425" s="130">
        <f t="shared" si="1020"/>
        <v>0</v>
      </c>
      <c r="AD3425" s="153"/>
      <c r="AE3425" s="154">
        <f t="shared" si="1021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28"/>
        <v>63006605.696460173</v>
      </c>
      <c r="AJ3425" s="19">
        <f t="shared" si="1029"/>
        <v>8897485.660753984</v>
      </c>
      <c r="AK3425" s="20">
        <f t="shared" si="1022"/>
        <v>0.141215124388995</v>
      </c>
      <c r="AL3425" s="55"/>
      <c r="AM3425" s="55"/>
      <c r="AN3425" s="55"/>
      <c r="AO3425" s="55"/>
      <c r="AP3425" s="28" t="str">
        <f t="shared" si="1023"/>
        <v>20215</v>
      </c>
      <c r="AQ3425" s="28" t="str">
        <f t="shared" si="1024"/>
        <v/>
      </c>
      <c r="AR3425" s="206" t="str">
        <f t="shared" si="1025"/>
        <v>C66 SERVICE</v>
      </c>
      <c r="AS3425" s="22" t="str">
        <f t="shared" si="1026"/>
        <v/>
      </c>
      <c r="AT3425" s="24" t="str">
        <f t="shared" si="1027"/>
        <v/>
      </c>
    </row>
    <row r="3426" spans="1:46" s="12" customFormat="1" ht="42">
      <c r="A3426" s="33" t="str">
        <f t="shared" si="1016"/>
        <v/>
      </c>
      <c r="B3426" s="52"/>
      <c r="C3426" s="52"/>
      <c r="D3426" s="33" t="str">
        <f t="shared" si="1017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8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19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30"/>
        <v/>
      </c>
      <c r="AA3426" s="128"/>
      <c r="AB3426" s="129">
        <v>845000</v>
      </c>
      <c r="AC3426" s="130">
        <f t="shared" si="1020"/>
        <v>0</v>
      </c>
      <c r="AD3426" s="153"/>
      <c r="AE3426" s="154">
        <f t="shared" si="1021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28"/>
        <v>54700260.692079648</v>
      </c>
      <c r="AJ3426" s="19">
        <f t="shared" si="1029"/>
        <v>7482899.5749188727</v>
      </c>
      <c r="AK3426" s="20">
        <f t="shared" si="1022"/>
        <v>0.13679824337660537</v>
      </c>
      <c r="AL3426" s="55"/>
      <c r="AM3426" s="55"/>
      <c r="AN3426" s="55"/>
      <c r="AO3426" s="55"/>
      <c r="AP3426" s="28" t="str">
        <f t="shared" si="1023"/>
        <v>20216</v>
      </c>
      <c r="AQ3426" s="28" t="str">
        <f t="shared" si="1024"/>
        <v/>
      </c>
      <c r="AR3426" s="206" t="str">
        <f t="shared" si="1025"/>
        <v>C66 SERVICE</v>
      </c>
      <c r="AS3426" s="22" t="str">
        <f t="shared" si="1026"/>
        <v/>
      </c>
      <c r="AT3426" s="24" t="str">
        <f t="shared" si="1027"/>
        <v/>
      </c>
    </row>
    <row r="3427" spans="1:46" s="12" customFormat="1" ht="42">
      <c r="A3427" s="33" t="str">
        <f t="shared" si="1016"/>
        <v/>
      </c>
      <c r="B3427" s="52"/>
      <c r="C3427" s="52"/>
      <c r="D3427" s="33" t="str">
        <f t="shared" si="1017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8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19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30"/>
        <v/>
      </c>
      <c r="AA3427" s="128"/>
      <c r="AB3427" s="129">
        <v>317000</v>
      </c>
      <c r="AC3427" s="130">
        <f t="shared" si="1020"/>
        <v>0</v>
      </c>
      <c r="AD3427" s="153"/>
      <c r="AE3427" s="154">
        <f t="shared" si="1021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28"/>
        <v>54700260.692079648</v>
      </c>
      <c r="AJ3427" s="19">
        <f t="shared" si="1029"/>
        <v>7482899.5749188727</v>
      </c>
      <c r="AK3427" s="20">
        <f t="shared" si="1022"/>
        <v>0.13679824337660537</v>
      </c>
      <c r="AL3427" s="55"/>
      <c r="AM3427" s="55"/>
      <c r="AN3427" s="55"/>
      <c r="AO3427" s="55"/>
      <c r="AP3427" s="28" t="str">
        <f t="shared" si="1023"/>
        <v>20216</v>
      </c>
      <c r="AQ3427" s="28" t="str">
        <f t="shared" si="1024"/>
        <v/>
      </c>
      <c r="AR3427" s="206" t="str">
        <f t="shared" si="1025"/>
        <v>C66 SERVICE</v>
      </c>
      <c r="AS3427" s="22" t="str">
        <f t="shared" si="1026"/>
        <v/>
      </c>
      <c r="AT3427" s="24" t="str">
        <f t="shared" si="1027"/>
        <v/>
      </c>
    </row>
    <row r="3428" spans="1:46" s="12" customFormat="1" ht="42">
      <c r="A3428" s="33" t="str">
        <f t="shared" si="1016"/>
        <v/>
      </c>
      <c r="B3428" s="52"/>
      <c r="C3428" s="52"/>
      <c r="D3428" s="33" t="str">
        <f t="shared" si="1017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8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19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30"/>
        <v/>
      </c>
      <c r="AA3428" s="128"/>
      <c r="AB3428" s="129">
        <v>156000</v>
      </c>
      <c r="AC3428" s="130">
        <f t="shared" si="1020"/>
        <v>0</v>
      </c>
      <c r="AD3428" s="153"/>
      <c r="AE3428" s="154">
        <f t="shared" si="1021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28"/>
        <v>54700260.692079648</v>
      </c>
      <c r="AJ3428" s="19">
        <f t="shared" si="1029"/>
        <v>7482899.5749188727</v>
      </c>
      <c r="AK3428" s="20">
        <f t="shared" si="1022"/>
        <v>0.13679824337660537</v>
      </c>
      <c r="AL3428" s="55"/>
      <c r="AM3428" s="55"/>
      <c r="AN3428" s="55"/>
      <c r="AO3428" s="55"/>
      <c r="AP3428" s="28" t="str">
        <f t="shared" si="1023"/>
        <v>20216</v>
      </c>
      <c r="AQ3428" s="28" t="str">
        <f t="shared" si="1024"/>
        <v/>
      </c>
      <c r="AR3428" s="206" t="str">
        <f t="shared" si="1025"/>
        <v>C66 SERVICE</v>
      </c>
      <c r="AS3428" s="22" t="str">
        <f t="shared" si="1026"/>
        <v/>
      </c>
      <c r="AT3428" s="24" t="str">
        <f t="shared" si="1027"/>
        <v/>
      </c>
    </row>
    <row r="3429" spans="1:46" s="12" customFormat="1" ht="42">
      <c r="A3429" s="33" t="str">
        <f t="shared" si="1016"/>
        <v/>
      </c>
      <c r="B3429" s="52"/>
      <c r="C3429" s="52"/>
      <c r="D3429" s="33" t="str">
        <f t="shared" si="1017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8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19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30"/>
        <v/>
      </c>
      <c r="AA3429" s="128"/>
      <c r="AB3429" s="129">
        <v>15000</v>
      </c>
      <c r="AC3429" s="130">
        <f t="shared" si="1020"/>
        <v>0</v>
      </c>
      <c r="AD3429" s="153"/>
      <c r="AE3429" s="154">
        <f t="shared" si="1021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28"/>
        <v>54700260.692079648</v>
      </c>
      <c r="AJ3429" s="19">
        <f t="shared" si="1029"/>
        <v>7482899.5749188727</v>
      </c>
      <c r="AK3429" s="20">
        <f t="shared" si="1022"/>
        <v>0.13679824337660537</v>
      </c>
      <c r="AL3429" s="55"/>
      <c r="AM3429" s="55"/>
      <c r="AN3429" s="55"/>
      <c r="AO3429" s="55"/>
      <c r="AP3429" s="28" t="str">
        <f t="shared" si="1023"/>
        <v>20216</v>
      </c>
      <c r="AQ3429" s="28" t="str">
        <f t="shared" si="1024"/>
        <v/>
      </c>
      <c r="AR3429" s="206" t="str">
        <f t="shared" si="1025"/>
        <v>C66 SERVICE</v>
      </c>
      <c r="AS3429" s="22" t="str">
        <f t="shared" si="1026"/>
        <v/>
      </c>
      <c r="AT3429" s="24" t="str">
        <f t="shared" si="1027"/>
        <v/>
      </c>
    </row>
    <row r="3430" spans="1:46" s="12" customFormat="1" ht="42">
      <c r="A3430" s="33" t="str">
        <f t="shared" si="1016"/>
        <v/>
      </c>
      <c r="B3430" s="52"/>
      <c r="C3430" s="52"/>
      <c r="D3430" s="33" t="str">
        <f t="shared" si="1017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8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19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30"/>
        <v/>
      </c>
      <c r="AA3430" s="128"/>
      <c r="AB3430" s="129">
        <v>269000</v>
      </c>
      <c r="AC3430" s="130">
        <f t="shared" si="1020"/>
        <v>0</v>
      </c>
      <c r="AD3430" s="153"/>
      <c r="AE3430" s="154">
        <f t="shared" si="1021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28"/>
        <v>41443303.53761062</v>
      </c>
      <c r="AJ3430" s="19">
        <f t="shared" si="1029"/>
        <v>6194988.76643031</v>
      </c>
      <c r="AK3430" s="20">
        <f t="shared" si="1022"/>
        <v>0.1494810557466355</v>
      </c>
      <c r="AL3430" s="55"/>
      <c r="AM3430" s="55"/>
      <c r="AN3430" s="55"/>
      <c r="AO3430" s="55"/>
      <c r="AP3430" s="28" t="str">
        <f t="shared" si="1023"/>
        <v>20217</v>
      </c>
      <c r="AQ3430" s="28" t="str">
        <f t="shared" si="1024"/>
        <v/>
      </c>
      <c r="AR3430" s="206" t="str">
        <f t="shared" si="1025"/>
        <v>C66 SERVICE</v>
      </c>
      <c r="AS3430" s="22" t="str">
        <f t="shared" si="1026"/>
        <v/>
      </c>
      <c r="AT3430" s="24" t="str">
        <f t="shared" si="1027"/>
        <v/>
      </c>
    </row>
    <row r="3431" spans="1:46" s="12" customFormat="1" ht="42">
      <c r="A3431" s="33" t="str">
        <f t="shared" si="1016"/>
        <v/>
      </c>
      <c r="B3431" s="52"/>
      <c r="C3431" s="52"/>
      <c r="D3431" s="33" t="str">
        <f t="shared" si="1017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8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19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30"/>
        <v/>
      </c>
      <c r="AA3431" s="128"/>
      <c r="AB3431" s="129">
        <v>145000</v>
      </c>
      <c r="AC3431" s="130">
        <f t="shared" si="1020"/>
        <v>0</v>
      </c>
      <c r="AD3431" s="153"/>
      <c r="AE3431" s="154">
        <f t="shared" si="1021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28"/>
        <v>41443303.53761062</v>
      </c>
      <c r="AJ3431" s="19">
        <f t="shared" si="1029"/>
        <v>6194988.76643031</v>
      </c>
      <c r="AK3431" s="20">
        <f t="shared" si="1022"/>
        <v>0.1494810557466355</v>
      </c>
      <c r="AL3431" s="55"/>
      <c r="AM3431" s="55"/>
      <c r="AN3431" s="55"/>
      <c r="AO3431" s="55"/>
      <c r="AP3431" s="28" t="str">
        <f t="shared" si="1023"/>
        <v>20217</v>
      </c>
      <c r="AQ3431" s="28" t="str">
        <f t="shared" si="1024"/>
        <v/>
      </c>
      <c r="AR3431" s="206" t="str">
        <f t="shared" si="1025"/>
        <v>C66 SERVICE</v>
      </c>
      <c r="AS3431" s="22" t="str">
        <f t="shared" si="1026"/>
        <v/>
      </c>
      <c r="AT3431" s="24" t="str">
        <f t="shared" si="1027"/>
        <v/>
      </c>
    </row>
    <row r="3432" spans="1:46" s="12" customFormat="1" ht="42">
      <c r="A3432" s="33" t="str">
        <f t="shared" si="1016"/>
        <v/>
      </c>
      <c r="B3432" s="52"/>
      <c r="C3432" s="52"/>
      <c r="D3432" s="33" t="str">
        <f t="shared" si="1017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8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19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30"/>
        <v/>
      </c>
      <c r="AA3432" s="128"/>
      <c r="AB3432" s="129">
        <v>216000</v>
      </c>
      <c r="AC3432" s="130">
        <f t="shared" si="1020"/>
        <v>0</v>
      </c>
      <c r="AD3432" s="153"/>
      <c r="AE3432" s="154">
        <f t="shared" si="1021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28"/>
        <v>41443303.53761062</v>
      </c>
      <c r="AJ3432" s="19">
        <f t="shared" si="1029"/>
        <v>6194988.76643031</v>
      </c>
      <c r="AK3432" s="20">
        <f t="shared" si="1022"/>
        <v>0.1494810557466355</v>
      </c>
      <c r="AL3432" s="55"/>
      <c r="AM3432" s="55"/>
      <c r="AN3432" s="55"/>
      <c r="AO3432" s="55"/>
      <c r="AP3432" s="28" t="str">
        <f t="shared" si="1023"/>
        <v>20217</v>
      </c>
      <c r="AQ3432" s="28" t="str">
        <f t="shared" si="1024"/>
        <v/>
      </c>
      <c r="AR3432" s="206" t="str">
        <f t="shared" si="1025"/>
        <v>C66 SERVICE</v>
      </c>
      <c r="AS3432" s="22" t="str">
        <f t="shared" si="1026"/>
        <v/>
      </c>
      <c r="AT3432" s="24" t="str">
        <f t="shared" si="1027"/>
        <v/>
      </c>
    </row>
    <row r="3433" spans="1:46" s="12" customFormat="1" ht="42">
      <c r="A3433" s="33" t="str">
        <f t="shared" si="1016"/>
        <v/>
      </c>
      <c r="B3433" s="52"/>
      <c r="C3433" s="52"/>
      <c r="D3433" s="33" t="str">
        <f t="shared" si="1017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8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19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30"/>
        <v/>
      </c>
      <c r="AA3433" s="128"/>
      <c r="AB3433" s="129">
        <v>10000</v>
      </c>
      <c r="AC3433" s="130">
        <f t="shared" si="1020"/>
        <v>0</v>
      </c>
      <c r="AD3433" s="153"/>
      <c r="AE3433" s="154">
        <f t="shared" si="1021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28"/>
        <v>41443303.53761062</v>
      </c>
      <c r="AJ3433" s="19">
        <f t="shared" si="1029"/>
        <v>6194988.76643031</v>
      </c>
      <c r="AK3433" s="20">
        <f t="shared" si="1022"/>
        <v>0.1494810557466355</v>
      </c>
      <c r="AL3433" s="55"/>
      <c r="AM3433" s="55"/>
      <c r="AN3433" s="55"/>
      <c r="AO3433" s="55"/>
      <c r="AP3433" s="28" t="str">
        <f t="shared" si="1023"/>
        <v>20217</v>
      </c>
      <c r="AQ3433" s="28" t="str">
        <f t="shared" si="1024"/>
        <v/>
      </c>
      <c r="AR3433" s="206" t="str">
        <f t="shared" si="1025"/>
        <v>C66 SERVICE</v>
      </c>
      <c r="AS3433" s="22" t="str">
        <f t="shared" si="1026"/>
        <v/>
      </c>
      <c r="AT3433" s="24" t="str">
        <f t="shared" si="1027"/>
        <v/>
      </c>
    </row>
    <row r="3434" spans="1:46" s="12" customFormat="1" ht="42">
      <c r="A3434" s="33" t="str">
        <f t="shared" si="1016"/>
        <v/>
      </c>
      <c r="B3434" s="52"/>
      <c r="C3434" s="52"/>
      <c r="D3434" s="33" t="str">
        <f t="shared" si="1017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8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19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30"/>
        <v/>
      </c>
      <c r="AA3434" s="128"/>
      <c r="AB3434" s="129">
        <v>142000</v>
      </c>
      <c r="AC3434" s="130">
        <f t="shared" si="1020"/>
        <v>0</v>
      </c>
      <c r="AD3434" s="153"/>
      <c r="AE3434" s="154">
        <f t="shared" si="1021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28"/>
        <v>47458373.787610628</v>
      </c>
      <c r="AJ3434" s="19">
        <f t="shared" si="1029"/>
        <v>7436880.1411522133</v>
      </c>
      <c r="AK3434" s="20">
        <f t="shared" si="1022"/>
        <v>0.15670322321692506</v>
      </c>
      <c r="AL3434" s="55"/>
      <c r="AM3434" s="55"/>
      <c r="AN3434" s="55"/>
      <c r="AO3434" s="55"/>
      <c r="AP3434" s="28" t="str">
        <f t="shared" si="1023"/>
        <v>20218</v>
      </c>
      <c r="AQ3434" s="28" t="str">
        <f t="shared" si="1024"/>
        <v/>
      </c>
      <c r="AR3434" s="206" t="str">
        <f t="shared" si="1025"/>
        <v>C66 SERVICE</v>
      </c>
      <c r="AS3434" s="22" t="str">
        <f t="shared" si="1026"/>
        <v/>
      </c>
      <c r="AT3434" s="24" t="str">
        <f t="shared" si="1027"/>
        <v/>
      </c>
    </row>
    <row r="3435" spans="1:46" s="12" customFormat="1" ht="42">
      <c r="A3435" s="33" t="str">
        <f t="shared" si="1016"/>
        <v/>
      </c>
      <c r="B3435" s="52"/>
      <c r="C3435" s="52"/>
      <c r="D3435" s="33" t="str">
        <f t="shared" si="1017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8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19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30"/>
        <v/>
      </c>
      <c r="AA3435" s="128"/>
      <c r="AB3435" s="129">
        <v>82000</v>
      </c>
      <c r="AC3435" s="130">
        <f t="shared" si="1020"/>
        <v>0</v>
      </c>
      <c r="AD3435" s="153"/>
      <c r="AE3435" s="154">
        <f t="shared" si="1021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28"/>
        <v>47458373.787610628</v>
      </c>
      <c r="AJ3435" s="19">
        <f t="shared" si="1029"/>
        <v>7436880.1411522133</v>
      </c>
      <c r="AK3435" s="20">
        <f t="shared" si="1022"/>
        <v>0.15670322321692506</v>
      </c>
      <c r="AL3435" s="55"/>
      <c r="AM3435" s="55"/>
      <c r="AN3435" s="55"/>
      <c r="AO3435" s="55"/>
      <c r="AP3435" s="28" t="str">
        <f t="shared" si="1023"/>
        <v>20218</v>
      </c>
      <c r="AQ3435" s="28" t="str">
        <f t="shared" si="1024"/>
        <v/>
      </c>
      <c r="AR3435" s="206" t="str">
        <f t="shared" si="1025"/>
        <v>C66 SERVICE</v>
      </c>
      <c r="AS3435" s="22" t="str">
        <f t="shared" si="1026"/>
        <v/>
      </c>
      <c r="AT3435" s="24" t="str">
        <f t="shared" si="1027"/>
        <v/>
      </c>
    </row>
    <row r="3436" spans="1:46" s="12" customFormat="1" ht="42">
      <c r="A3436" s="33" t="str">
        <f t="shared" ref="A3436:A3499" si="1031">IF(C3436="cancel","cancel",IFERROR(IF(D3436="Q4","FY "&amp;RIGHT(B3436,2)-1&amp;"/"&amp;RIGHT(B3436,2),"FY "&amp;RIGHT(B3436,2)&amp;"/"&amp;RIGHT(B3436,2)+1),""))</f>
        <v/>
      </c>
      <c r="B3436" s="52"/>
      <c r="C3436" s="52"/>
      <c r="D3436" s="33" t="str">
        <f t="shared" ref="D3436:D3499" si="1032">IF(B3436="","",IF(AND(C3436&gt;=10,C3436&lt;=12),"Q3",IF(AND(C3436&gt;=1,C3436&lt;=3),"Q4",IF(AND(C3436&gt;=7,C3436&lt;=9),"Q2",IF(AND(C3436&gt;=4,C3436&lt;=6),"Q1")))))</f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ref="I3436:I3499" si="1033">IFERROR(IF(F3436="","",IF(F3436="TBA","TBA",IF(F3436="Cancel","Cancel",IF(AND(G3436&gt;=10,G3436&lt;=12),"Q3",IF(AND(G3436&gt;=1,G3436&lt;=3),"Q4",IF(AND(G3436&gt;=7,G3436&lt;=9),"Q2",IF(AND(G3436&gt;=4,G3436&lt;=6),"Q1"))))))),"")</f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ref="P3436:P3499" si="1034">IF(M3436="","",IF(AND(N3436&gt;0,L3436&lt;&gt;""),"MAIN UNIT",IF(AND(O3436&gt;0,L3436&lt;&gt;""),"SERVICE/ PARTS","C66 SERVICE/OTHERS")))</f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30"/>
        <v/>
      </c>
      <c r="AA3436" s="128"/>
      <c r="AB3436" s="129">
        <v>136000</v>
      </c>
      <c r="AC3436" s="130">
        <f t="shared" ref="AC3436:AC3499" si="1035">IF(R3436&lt;&gt;"",AB3436*AD3436,"")</f>
        <v>0</v>
      </c>
      <c r="AD3436" s="153"/>
      <c r="AE3436" s="154">
        <f t="shared" ref="AE3436:AE3499" si="1036">IF(Q3436="","",IF(Q3436="Yes",1,0))</f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28"/>
        <v>47458373.787610628</v>
      </c>
      <c r="AJ3436" s="19">
        <f t="shared" si="1029"/>
        <v>7436880.1411522133</v>
      </c>
      <c r="AK3436" s="20">
        <f t="shared" ref="AK3436:AK3499" si="1037">IF(AJ3436&gt;0,AJ3436/AI3436,"")</f>
        <v>0.15670322321692506</v>
      </c>
      <c r="AL3436" s="55"/>
      <c r="AM3436" s="55"/>
      <c r="AN3436" s="55"/>
      <c r="AO3436" s="55"/>
      <c r="AP3436" s="28" t="str">
        <f t="shared" ref="AP3436:AP3499" si="1038">IF(F3436="","",F3436&amp;G3436)</f>
        <v>20218</v>
      </c>
      <c r="AQ3436" s="28" t="str">
        <f t="shared" ref="AQ3436:AQ3499" si="1039">IF(W3436="","",F3436&amp;G3436&amp;W3436)</f>
        <v/>
      </c>
      <c r="AR3436" s="206" t="str">
        <f t="shared" ref="AR3436:AR3499" si="1040">IFERROR(IF(AND(M3436="YAMAHA", R3436="C28"), "YAMAHA_Non_Mounter", IF(AND(M3436="YAMAHA", R3436="C49"), "YAMAHA_Mounter", M3436)),"")</f>
        <v>C66 SERVICE</v>
      </c>
      <c r="AS3436" s="22" t="str">
        <f t="shared" ref="AS3436:AS3499" si="1041">IFERROR(IF(OR(G3436="TBA", G3436=""), "", DATEDIF(DATE(B3436, C3436, 1), DATE(F3436, G3436, 1), "M")),"")</f>
        <v/>
      </c>
      <c r="AT3436" s="24" t="str">
        <f t="shared" ref="AT3436:AT3499" si="1042">IF(ISNUMBER(AS3436), IF(AS3436&gt;=0, IF(AS3436&lt;=3, "0-3 months", IF(AS3436&lt;=6, "4-6 months", "&gt; 6 months"))), "")</f>
        <v/>
      </c>
    </row>
    <row r="3437" spans="1:46" s="12" customFormat="1" ht="42">
      <c r="A3437" s="33" t="str">
        <f t="shared" si="1031"/>
        <v/>
      </c>
      <c r="B3437" s="52"/>
      <c r="C3437" s="52"/>
      <c r="D3437" s="33" t="str">
        <f t="shared" si="1032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33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34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30"/>
        <v/>
      </c>
      <c r="AA3437" s="128"/>
      <c r="AB3437" s="129">
        <v>48000</v>
      </c>
      <c r="AC3437" s="130">
        <f t="shared" si="1035"/>
        <v>0</v>
      </c>
      <c r="AD3437" s="153"/>
      <c r="AE3437" s="154">
        <f t="shared" si="1036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28"/>
        <v>47458373.787610628</v>
      </c>
      <c r="AJ3437" s="19">
        <f t="shared" si="1029"/>
        <v>7436880.1411522133</v>
      </c>
      <c r="AK3437" s="20">
        <f t="shared" si="1037"/>
        <v>0.15670322321692506</v>
      </c>
      <c r="AL3437" s="55"/>
      <c r="AM3437" s="55"/>
      <c r="AN3437" s="55"/>
      <c r="AO3437" s="55"/>
      <c r="AP3437" s="28" t="str">
        <f t="shared" si="1038"/>
        <v>20218</v>
      </c>
      <c r="AQ3437" s="28" t="str">
        <f t="shared" si="1039"/>
        <v/>
      </c>
      <c r="AR3437" s="206" t="str">
        <f t="shared" si="1040"/>
        <v>C66 SERVICE</v>
      </c>
      <c r="AS3437" s="22" t="str">
        <f t="shared" si="1041"/>
        <v/>
      </c>
      <c r="AT3437" s="24" t="str">
        <f t="shared" si="1042"/>
        <v/>
      </c>
    </row>
    <row r="3438" spans="1:46" s="12" customFormat="1" ht="42">
      <c r="A3438" s="33" t="str">
        <f t="shared" si="1031"/>
        <v/>
      </c>
      <c r="B3438" s="52"/>
      <c r="C3438" s="52"/>
      <c r="D3438" s="33" t="str">
        <f t="shared" si="1032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33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34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30"/>
        <v/>
      </c>
      <c r="AA3438" s="128"/>
      <c r="AB3438" s="129">
        <v>327000</v>
      </c>
      <c r="AC3438" s="130">
        <f t="shared" si="1035"/>
        <v>0</v>
      </c>
      <c r="AD3438" s="153"/>
      <c r="AE3438" s="154">
        <f t="shared" si="1036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28"/>
        <v>10844605.840707963</v>
      </c>
      <c r="AJ3438" s="19">
        <f t="shared" si="1029"/>
        <v>1523130.9860707966</v>
      </c>
      <c r="AK3438" s="20">
        <f t="shared" si="1037"/>
        <v>0.14045056209911663</v>
      </c>
      <c r="AL3438" s="55"/>
      <c r="AM3438" s="55"/>
      <c r="AN3438" s="55"/>
      <c r="AO3438" s="55"/>
      <c r="AP3438" s="28" t="str">
        <f t="shared" si="1038"/>
        <v>20219</v>
      </c>
      <c r="AQ3438" s="28" t="str">
        <f t="shared" si="1039"/>
        <v/>
      </c>
      <c r="AR3438" s="206" t="str">
        <f t="shared" si="1040"/>
        <v>C66 SERVICE</v>
      </c>
      <c r="AS3438" s="22" t="str">
        <f t="shared" si="1041"/>
        <v/>
      </c>
      <c r="AT3438" s="24" t="str">
        <f t="shared" si="1042"/>
        <v/>
      </c>
    </row>
    <row r="3439" spans="1:46" s="12" customFormat="1" ht="42">
      <c r="A3439" s="33" t="str">
        <f t="shared" si="1031"/>
        <v/>
      </c>
      <c r="B3439" s="52"/>
      <c r="C3439" s="52"/>
      <c r="D3439" s="33" t="str">
        <f t="shared" si="1032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33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34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30"/>
        <v/>
      </c>
      <c r="AA3439" s="128"/>
      <c r="AB3439" s="129">
        <v>175000</v>
      </c>
      <c r="AC3439" s="130">
        <f t="shared" si="1035"/>
        <v>0</v>
      </c>
      <c r="AD3439" s="153"/>
      <c r="AE3439" s="154">
        <f t="shared" si="1036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28"/>
        <v>10844605.840707963</v>
      </c>
      <c r="AJ3439" s="19">
        <f t="shared" si="1029"/>
        <v>1523130.9860707966</v>
      </c>
      <c r="AK3439" s="20">
        <f t="shared" si="1037"/>
        <v>0.14045056209911663</v>
      </c>
      <c r="AL3439" s="55"/>
      <c r="AM3439" s="55"/>
      <c r="AN3439" s="55"/>
      <c r="AO3439" s="55"/>
      <c r="AP3439" s="28" t="str">
        <f t="shared" si="1038"/>
        <v>20219</v>
      </c>
      <c r="AQ3439" s="28" t="str">
        <f t="shared" si="1039"/>
        <v/>
      </c>
      <c r="AR3439" s="206" t="str">
        <f t="shared" si="1040"/>
        <v>C66 SERVICE</v>
      </c>
      <c r="AS3439" s="22" t="str">
        <f t="shared" si="1041"/>
        <v/>
      </c>
      <c r="AT3439" s="24" t="str">
        <f t="shared" si="1042"/>
        <v/>
      </c>
    </row>
    <row r="3440" spans="1:46" s="12" customFormat="1" ht="42">
      <c r="A3440" s="33" t="str">
        <f t="shared" si="1031"/>
        <v/>
      </c>
      <c r="B3440" s="52"/>
      <c r="C3440" s="52"/>
      <c r="D3440" s="33" t="str">
        <f t="shared" si="1032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33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34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30"/>
        <v/>
      </c>
      <c r="AA3440" s="128"/>
      <c r="AB3440" s="129">
        <v>18000</v>
      </c>
      <c r="AC3440" s="130">
        <f t="shared" si="1035"/>
        <v>0</v>
      </c>
      <c r="AD3440" s="153"/>
      <c r="AE3440" s="154">
        <f t="shared" si="1036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28"/>
        <v>10844605.840707963</v>
      </c>
      <c r="AJ3440" s="19">
        <f t="shared" si="1029"/>
        <v>1523130.9860707966</v>
      </c>
      <c r="AK3440" s="20">
        <f t="shared" si="1037"/>
        <v>0.14045056209911663</v>
      </c>
      <c r="AL3440" s="55"/>
      <c r="AM3440" s="55"/>
      <c r="AN3440" s="55"/>
      <c r="AO3440" s="55"/>
      <c r="AP3440" s="28" t="str">
        <f t="shared" si="1038"/>
        <v>20219</v>
      </c>
      <c r="AQ3440" s="28" t="str">
        <f t="shared" si="1039"/>
        <v/>
      </c>
      <c r="AR3440" s="206" t="str">
        <f t="shared" si="1040"/>
        <v>C66 SERVICE</v>
      </c>
      <c r="AS3440" s="22" t="str">
        <f t="shared" si="1041"/>
        <v/>
      </c>
      <c r="AT3440" s="24" t="str">
        <f t="shared" si="1042"/>
        <v/>
      </c>
    </row>
    <row r="3441" spans="1:46" s="12" customFormat="1" ht="42">
      <c r="A3441" s="33" t="str">
        <f t="shared" si="1031"/>
        <v/>
      </c>
      <c r="B3441" s="52"/>
      <c r="C3441" s="52"/>
      <c r="D3441" s="33" t="str">
        <f t="shared" si="1032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33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34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30"/>
        <v/>
      </c>
      <c r="AA3441" s="128"/>
      <c r="AB3441" s="129">
        <v>61000</v>
      </c>
      <c r="AC3441" s="130">
        <f t="shared" si="1035"/>
        <v>0</v>
      </c>
      <c r="AD3441" s="153"/>
      <c r="AE3441" s="154">
        <f t="shared" si="1036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28"/>
        <v>10844605.840707963</v>
      </c>
      <c r="AJ3441" s="19">
        <f t="shared" si="1029"/>
        <v>1523130.9860707966</v>
      </c>
      <c r="AK3441" s="20">
        <f t="shared" si="1037"/>
        <v>0.14045056209911663</v>
      </c>
      <c r="AL3441" s="55"/>
      <c r="AM3441" s="55"/>
      <c r="AN3441" s="55"/>
      <c r="AO3441" s="55"/>
      <c r="AP3441" s="28" t="str">
        <f t="shared" si="1038"/>
        <v>20219</v>
      </c>
      <c r="AQ3441" s="28" t="str">
        <f t="shared" si="1039"/>
        <v/>
      </c>
      <c r="AR3441" s="206" t="str">
        <f t="shared" si="1040"/>
        <v>C66 SERVICE</v>
      </c>
      <c r="AS3441" s="22" t="str">
        <f t="shared" si="1041"/>
        <v/>
      </c>
      <c r="AT3441" s="24" t="str">
        <f t="shared" si="1042"/>
        <v/>
      </c>
    </row>
    <row r="3442" spans="1:46" s="12" customFormat="1" ht="42">
      <c r="A3442" s="33" t="str">
        <f t="shared" si="1031"/>
        <v/>
      </c>
      <c r="B3442" s="52"/>
      <c r="C3442" s="52"/>
      <c r="D3442" s="33" t="str">
        <f t="shared" si="1032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33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34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30"/>
        <v/>
      </c>
      <c r="AA3442" s="128"/>
      <c r="AB3442" s="129">
        <v>443000</v>
      </c>
      <c r="AC3442" s="130">
        <f t="shared" si="1035"/>
        <v>0</v>
      </c>
      <c r="AD3442" s="153"/>
      <c r="AE3442" s="154">
        <f t="shared" si="1036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28"/>
        <v>15533177.71460177</v>
      </c>
      <c r="AJ3442" s="19">
        <f t="shared" si="1029"/>
        <v>1819298.5437526547</v>
      </c>
      <c r="AK3442" s="20">
        <f t="shared" si="1037"/>
        <v>0.11712339723265033</v>
      </c>
      <c r="AL3442" s="55"/>
      <c r="AM3442" s="55"/>
      <c r="AN3442" s="55"/>
      <c r="AO3442" s="55"/>
      <c r="AP3442" s="28" t="str">
        <f t="shared" si="1038"/>
        <v>202110</v>
      </c>
      <c r="AQ3442" s="28" t="str">
        <f t="shared" si="1039"/>
        <v/>
      </c>
      <c r="AR3442" s="206" t="str">
        <f t="shared" si="1040"/>
        <v>C66 SERVICE</v>
      </c>
      <c r="AS3442" s="22" t="str">
        <f t="shared" si="1041"/>
        <v/>
      </c>
      <c r="AT3442" s="24" t="str">
        <f t="shared" si="1042"/>
        <v/>
      </c>
    </row>
    <row r="3443" spans="1:46" s="12" customFormat="1" ht="42">
      <c r="A3443" s="33" t="str">
        <f t="shared" si="1031"/>
        <v/>
      </c>
      <c r="B3443" s="52"/>
      <c r="C3443" s="52"/>
      <c r="D3443" s="33" t="str">
        <f t="shared" si="1032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33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34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30"/>
        <v/>
      </c>
      <c r="AA3443" s="128"/>
      <c r="AB3443" s="129">
        <v>322000</v>
      </c>
      <c r="AC3443" s="130">
        <f t="shared" si="1035"/>
        <v>0</v>
      </c>
      <c r="AD3443" s="153"/>
      <c r="AE3443" s="154">
        <f t="shared" si="1036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28"/>
        <v>15533177.71460177</v>
      </c>
      <c r="AJ3443" s="19">
        <f t="shared" si="1029"/>
        <v>1819298.5437526547</v>
      </c>
      <c r="AK3443" s="20">
        <f t="shared" si="1037"/>
        <v>0.11712339723265033</v>
      </c>
      <c r="AL3443" s="55"/>
      <c r="AM3443" s="55"/>
      <c r="AN3443" s="55"/>
      <c r="AO3443" s="55"/>
      <c r="AP3443" s="28" t="str">
        <f t="shared" si="1038"/>
        <v>202110</v>
      </c>
      <c r="AQ3443" s="28" t="str">
        <f t="shared" si="1039"/>
        <v/>
      </c>
      <c r="AR3443" s="206" t="str">
        <f t="shared" si="1040"/>
        <v>C66 SERVICE</v>
      </c>
      <c r="AS3443" s="22" t="str">
        <f t="shared" si="1041"/>
        <v/>
      </c>
      <c r="AT3443" s="24" t="str">
        <f t="shared" si="1042"/>
        <v/>
      </c>
    </row>
    <row r="3444" spans="1:46" s="12" customFormat="1" ht="42">
      <c r="A3444" s="33" t="str">
        <f t="shared" si="1031"/>
        <v/>
      </c>
      <c r="B3444" s="52"/>
      <c r="C3444" s="52"/>
      <c r="D3444" s="33" t="str">
        <f t="shared" si="1032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33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34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30"/>
        <v/>
      </c>
      <c r="AA3444" s="128"/>
      <c r="AB3444" s="129">
        <v>234000</v>
      </c>
      <c r="AC3444" s="130">
        <f t="shared" si="1035"/>
        <v>0</v>
      </c>
      <c r="AD3444" s="153"/>
      <c r="AE3444" s="154">
        <f t="shared" si="1036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28"/>
        <v>15533177.71460177</v>
      </c>
      <c r="AJ3444" s="19">
        <f t="shared" si="1029"/>
        <v>1819298.5437526547</v>
      </c>
      <c r="AK3444" s="20">
        <f t="shared" si="1037"/>
        <v>0.11712339723265033</v>
      </c>
      <c r="AL3444" s="55"/>
      <c r="AM3444" s="55"/>
      <c r="AN3444" s="55"/>
      <c r="AO3444" s="55"/>
      <c r="AP3444" s="28" t="str">
        <f t="shared" si="1038"/>
        <v>202110</v>
      </c>
      <c r="AQ3444" s="28" t="str">
        <f t="shared" si="1039"/>
        <v/>
      </c>
      <c r="AR3444" s="206" t="str">
        <f t="shared" si="1040"/>
        <v>C66 SERVICE</v>
      </c>
      <c r="AS3444" s="22" t="str">
        <f t="shared" si="1041"/>
        <v/>
      </c>
      <c r="AT3444" s="24" t="str">
        <f t="shared" si="1042"/>
        <v/>
      </c>
    </row>
    <row r="3445" spans="1:46" s="12" customFormat="1" ht="42">
      <c r="A3445" s="33" t="str">
        <f t="shared" si="1031"/>
        <v/>
      </c>
      <c r="B3445" s="52"/>
      <c r="C3445" s="52"/>
      <c r="D3445" s="33" t="str">
        <f t="shared" si="1032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33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34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30"/>
        <v/>
      </c>
      <c r="AA3445" s="128"/>
      <c r="AB3445" s="129">
        <v>13000</v>
      </c>
      <c r="AC3445" s="130">
        <f t="shared" si="1035"/>
        <v>0</v>
      </c>
      <c r="AD3445" s="153"/>
      <c r="AE3445" s="154">
        <f t="shared" si="1036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28"/>
        <v>15533177.71460177</v>
      </c>
      <c r="AJ3445" s="19">
        <f t="shared" si="1029"/>
        <v>1819298.5437526547</v>
      </c>
      <c r="AK3445" s="20">
        <f t="shared" si="1037"/>
        <v>0.11712339723265033</v>
      </c>
      <c r="AL3445" s="55"/>
      <c r="AM3445" s="55"/>
      <c r="AN3445" s="55"/>
      <c r="AO3445" s="55"/>
      <c r="AP3445" s="28" t="str">
        <f t="shared" si="1038"/>
        <v>202110</v>
      </c>
      <c r="AQ3445" s="28" t="str">
        <f t="shared" si="1039"/>
        <v/>
      </c>
      <c r="AR3445" s="206" t="str">
        <f t="shared" si="1040"/>
        <v>C66 SERVICE</v>
      </c>
      <c r="AS3445" s="22" t="str">
        <f t="shared" si="1041"/>
        <v/>
      </c>
      <c r="AT3445" s="24" t="str">
        <f t="shared" si="1042"/>
        <v/>
      </c>
    </row>
    <row r="3446" spans="1:46" s="12" customFormat="1" ht="42">
      <c r="A3446" s="33" t="str">
        <f t="shared" si="1031"/>
        <v/>
      </c>
      <c r="B3446" s="52"/>
      <c r="C3446" s="52"/>
      <c r="D3446" s="33" t="str">
        <f t="shared" si="1032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33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34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30"/>
        <v/>
      </c>
      <c r="AA3446" s="128"/>
      <c r="AB3446" s="129">
        <v>528000</v>
      </c>
      <c r="AC3446" s="130">
        <f t="shared" si="1035"/>
        <v>0</v>
      </c>
      <c r="AD3446" s="153"/>
      <c r="AE3446" s="154">
        <f t="shared" si="1036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28"/>
        <v>29500529.005044252</v>
      </c>
      <c r="AJ3446" s="19">
        <f t="shared" si="1029"/>
        <v>3253064.846231177</v>
      </c>
      <c r="AK3446" s="20">
        <f t="shared" si="1037"/>
        <v>0.11027140718984871</v>
      </c>
      <c r="AL3446" s="55"/>
      <c r="AM3446" s="55"/>
      <c r="AN3446" s="55"/>
      <c r="AO3446" s="55"/>
      <c r="AP3446" s="28" t="str">
        <f t="shared" si="1038"/>
        <v>202111</v>
      </c>
      <c r="AQ3446" s="28" t="str">
        <f t="shared" si="1039"/>
        <v/>
      </c>
      <c r="AR3446" s="206" t="str">
        <f t="shared" si="1040"/>
        <v>C66 SERVICE</v>
      </c>
      <c r="AS3446" s="22" t="str">
        <f t="shared" si="1041"/>
        <v/>
      </c>
      <c r="AT3446" s="24" t="str">
        <f t="shared" si="1042"/>
        <v/>
      </c>
    </row>
    <row r="3447" spans="1:46" s="12" customFormat="1" ht="42">
      <c r="A3447" s="33" t="str">
        <f t="shared" si="1031"/>
        <v/>
      </c>
      <c r="B3447" s="52"/>
      <c r="C3447" s="52"/>
      <c r="D3447" s="33" t="str">
        <f t="shared" si="1032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33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34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30"/>
        <v/>
      </c>
      <c r="AA3447" s="128"/>
      <c r="AB3447" s="129">
        <v>284000</v>
      </c>
      <c r="AC3447" s="130">
        <f t="shared" si="1035"/>
        <v>0</v>
      </c>
      <c r="AD3447" s="153"/>
      <c r="AE3447" s="154">
        <f t="shared" si="1036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28"/>
        <v>29500529.005044252</v>
      </c>
      <c r="AJ3447" s="19">
        <f t="shared" si="1029"/>
        <v>3253064.846231177</v>
      </c>
      <c r="AK3447" s="20">
        <f t="shared" si="1037"/>
        <v>0.11027140718984871</v>
      </c>
      <c r="AL3447" s="55"/>
      <c r="AM3447" s="55"/>
      <c r="AN3447" s="55"/>
      <c r="AO3447" s="55"/>
      <c r="AP3447" s="28" t="str">
        <f t="shared" si="1038"/>
        <v>202111</v>
      </c>
      <c r="AQ3447" s="28" t="str">
        <f t="shared" si="1039"/>
        <v/>
      </c>
      <c r="AR3447" s="206" t="str">
        <f t="shared" si="1040"/>
        <v>C66 SERVICE</v>
      </c>
      <c r="AS3447" s="22" t="str">
        <f t="shared" si="1041"/>
        <v/>
      </c>
      <c r="AT3447" s="24" t="str">
        <f t="shared" si="1042"/>
        <v/>
      </c>
    </row>
    <row r="3448" spans="1:46" s="12" customFormat="1" ht="42">
      <c r="A3448" s="33" t="str">
        <f t="shared" si="1031"/>
        <v/>
      </c>
      <c r="B3448" s="52"/>
      <c r="C3448" s="52"/>
      <c r="D3448" s="33" t="str">
        <f t="shared" si="1032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33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34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30"/>
        <v/>
      </c>
      <c r="AA3448" s="128"/>
      <c r="AB3448" s="129">
        <v>0</v>
      </c>
      <c r="AC3448" s="130">
        <f t="shared" si="1035"/>
        <v>0</v>
      </c>
      <c r="AD3448" s="153"/>
      <c r="AE3448" s="154">
        <f t="shared" si="1036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28"/>
        <v>29500529.005044252</v>
      </c>
      <c r="AJ3448" s="19">
        <f t="shared" si="1029"/>
        <v>3253064.846231177</v>
      </c>
      <c r="AK3448" s="20">
        <f t="shared" si="1037"/>
        <v>0.11027140718984871</v>
      </c>
      <c r="AL3448" s="55"/>
      <c r="AM3448" s="55"/>
      <c r="AN3448" s="55"/>
      <c r="AO3448" s="55"/>
      <c r="AP3448" s="28" t="str">
        <f t="shared" si="1038"/>
        <v>202111</v>
      </c>
      <c r="AQ3448" s="28" t="str">
        <f t="shared" si="1039"/>
        <v/>
      </c>
      <c r="AR3448" s="206" t="str">
        <f t="shared" si="1040"/>
        <v>C66 SERVICE</v>
      </c>
      <c r="AS3448" s="22" t="str">
        <f t="shared" si="1041"/>
        <v/>
      </c>
      <c r="AT3448" s="24" t="str">
        <f t="shared" si="1042"/>
        <v/>
      </c>
    </row>
    <row r="3449" spans="1:46" s="12" customFormat="1" ht="42">
      <c r="A3449" s="33" t="str">
        <f t="shared" si="1031"/>
        <v/>
      </c>
      <c r="B3449" s="52"/>
      <c r="C3449" s="52"/>
      <c r="D3449" s="33" t="str">
        <f t="shared" si="1032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33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34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30"/>
        <v/>
      </c>
      <c r="AA3449" s="128"/>
      <c r="AB3449" s="129">
        <v>36000</v>
      </c>
      <c r="AC3449" s="130">
        <f t="shared" si="1035"/>
        <v>0</v>
      </c>
      <c r="AD3449" s="153"/>
      <c r="AE3449" s="154">
        <f t="shared" si="1036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28"/>
        <v>29500529.005044252</v>
      </c>
      <c r="AJ3449" s="19">
        <f t="shared" si="1029"/>
        <v>3253064.846231177</v>
      </c>
      <c r="AK3449" s="20">
        <f t="shared" si="1037"/>
        <v>0.11027140718984871</v>
      </c>
      <c r="AL3449" s="55"/>
      <c r="AM3449" s="55"/>
      <c r="AN3449" s="55"/>
      <c r="AO3449" s="55"/>
      <c r="AP3449" s="28" t="str">
        <f t="shared" si="1038"/>
        <v>202111</v>
      </c>
      <c r="AQ3449" s="28" t="str">
        <f t="shared" si="1039"/>
        <v/>
      </c>
      <c r="AR3449" s="206" t="str">
        <f t="shared" si="1040"/>
        <v>C66 SERVICE</v>
      </c>
      <c r="AS3449" s="22" t="str">
        <f t="shared" si="1041"/>
        <v/>
      </c>
      <c r="AT3449" s="24" t="str">
        <f t="shared" si="1042"/>
        <v/>
      </c>
    </row>
    <row r="3450" spans="1:46" s="12" customFormat="1" ht="42">
      <c r="A3450" s="33" t="str">
        <f t="shared" si="1031"/>
        <v/>
      </c>
      <c r="B3450" s="52"/>
      <c r="C3450" s="52"/>
      <c r="D3450" s="33" t="str">
        <f t="shared" si="1032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33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34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30"/>
        <v/>
      </c>
      <c r="AA3450" s="128"/>
      <c r="AB3450" s="129">
        <v>324000</v>
      </c>
      <c r="AC3450" s="130">
        <f t="shared" si="1035"/>
        <v>0</v>
      </c>
      <c r="AD3450" s="153"/>
      <c r="AE3450" s="154">
        <f t="shared" si="1036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28"/>
        <v>25380121.402654871</v>
      </c>
      <c r="AJ3450" s="19">
        <f t="shared" si="1029"/>
        <v>3850343.1237796471</v>
      </c>
      <c r="AK3450" s="20">
        <f t="shared" si="1037"/>
        <v>0.1517070412191521</v>
      </c>
      <c r="AL3450" s="55"/>
      <c r="AM3450" s="55"/>
      <c r="AN3450" s="55"/>
      <c r="AO3450" s="55"/>
      <c r="AP3450" s="28" t="str">
        <f t="shared" si="1038"/>
        <v>202112</v>
      </c>
      <c r="AQ3450" s="28" t="str">
        <f t="shared" si="1039"/>
        <v/>
      </c>
      <c r="AR3450" s="206" t="str">
        <f t="shared" si="1040"/>
        <v>C66 SERVICE</v>
      </c>
      <c r="AS3450" s="22" t="str">
        <f t="shared" si="1041"/>
        <v/>
      </c>
      <c r="AT3450" s="24" t="str">
        <f t="shared" si="1042"/>
        <v/>
      </c>
    </row>
    <row r="3451" spans="1:46" s="12" customFormat="1" ht="42">
      <c r="A3451" s="33" t="str">
        <f t="shared" si="1031"/>
        <v/>
      </c>
      <c r="B3451" s="52"/>
      <c r="C3451" s="52"/>
      <c r="D3451" s="33" t="str">
        <f t="shared" si="1032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33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34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30"/>
        <v/>
      </c>
      <c r="AA3451" s="128"/>
      <c r="AB3451" s="129">
        <v>130000</v>
      </c>
      <c r="AC3451" s="130">
        <f t="shared" si="1035"/>
        <v>0</v>
      </c>
      <c r="AD3451" s="153"/>
      <c r="AE3451" s="154">
        <f t="shared" si="1036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28"/>
        <v>25380121.402654871</v>
      </c>
      <c r="AJ3451" s="19">
        <f t="shared" si="1029"/>
        <v>3850343.1237796471</v>
      </c>
      <c r="AK3451" s="20">
        <f t="shared" si="1037"/>
        <v>0.1517070412191521</v>
      </c>
      <c r="AL3451" s="55"/>
      <c r="AM3451" s="55"/>
      <c r="AN3451" s="55"/>
      <c r="AO3451" s="55"/>
      <c r="AP3451" s="28" t="str">
        <f t="shared" si="1038"/>
        <v>202112</v>
      </c>
      <c r="AQ3451" s="28" t="str">
        <f t="shared" si="1039"/>
        <v/>
      </c>
      <c r="AR3451" s="206" t="str">
        <f t="shared" si="1040"/>
        <v>C66 SERVICE</v>
      </c>
      <c r="AS3451" s="22" t="str">
        <f t="shared" si="1041"/>
        <v/>
      </c>
      <c r="AT3451" s="24" t="str">
        <f t="shared" si="1042"/>
        <v/>
      </c>
    </row>
    <row r="3452" spans="1:46" s="12" customFormat="1" ht="42">
      <c r="A3452" s="33" t="str">
        <f t="shared" si="1031"/>
        <v/>
      </c>
      <c r="B3452" s="52"/>
      <c r="C3452" s="52"/>
      <c r="D3452" s="33" t="str">
        <f t="shared" si="1032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33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34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30"/>
        <v/>
      </c>
      <c r="AA3452" s="128"/>
      <c r="AB3452" s="129">
        <v>82000</v>
      </c>
      <c r="AC3452" s="130">
        <f t="shared" si="1035"/>
        <v>0</v>
      </c>
      <c r="AD3452" s="153"/>
      <c r="AE3452" s="154">
        <f t="shared" si="1036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28"/>
        <v>25380121.402654871</v>
      </c>
      <c r="AJ3452" s="19">
        <f t="shared" si="1029"/>
        <v>3850343.1237796471</v>
      </c>
      <c r="AK3452" s="20">
        <f t="shared" si="1037"/>
        <v>0.1517070412191521</v>
      </c>
      <c r="AL3452" s="55"/>
      <c r="AM3452" s="55"/>
      <c r="AN3452" s="55"/>
      <c r="AO3452" s="55"/>
      <c r="AP3452" s="28" t="str">
        <f t="shared" si="1038"/>
        <v>202112</v>
      </c>
      <c r="AQ3452" s="28" t="str">
        <f t="shared" si="1039"/>
        <v/>
      </c>
      <c r="AR3452" s="206" t="str">
        <f t="shared" si="1040"/>
        <v>C66 SERVICE</v>
      </c>
      <c r="AS3452" s="22" t="str">
        <f t="shared" si="1041"/>
        <v/>
      </c>
      <c r="AT3452" s="24" t="str">
        <f t="shared" si="1042"/>
        <v/>
      </c>
    </row>
    <row r="3453" spans="1:46" s="12" customFormat="1" ht="42">
      <c r="A3453" s="33" t="str">
        <f t="shared" si="1031"/>
        <v/>
      </c>
      <c r="B3453" s="52"/>
      <c r="C3453" s="52"/>
      <c r="D3453" s="33" t="str">
        <f t="shared" si="1032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33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34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30"/>
        <v/>
      </c>
      <c r="AA3453" s="128"/>
      <c r="AB3453" s="129">
        <v>126000</v>
      </c>
      <c r="AC3453" s="130">
        <f t="shared" si="1035"/>
        <v>0</v>
      </c>
      <c r="AD3453" s="153"/>
      <c r="AE3453" s="154">
        <f t="shared" si="1036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28"/>
        <v>25380121.402654871</v>
      </c>
      <c r="AJ3453" s="19">
        <f t="shared" si="1029"/>
        <v>3850343.1237796471</v>
      </c>
      <c r="AK3453" s="20">
        <f t="shared" si="1037"/>
        <v>0.1517070412191521</v>
      </c>
      <c r="AL3453" s="55"/>
      <c r="AM3453" s="55"/>
      <c r="AN3453" s="55"/>
      <c r="AO3453" s="55"/>
      <c r="AP3453" s="28" t="str">
        <f t="shared" si="1038"/>
        <v>202112</v>
      </c>
      <c r="AQ3453" s="28" t="str">
        <f t="shared" si="1039"/>
        <v/>
      </c>
      <c r="AR3453" s="206" t="str">
        <f t="shared" si="1040"/>
        <v>C66 SERVICE</v>
      </c>
      <c r="AS3453" s="22" t="str">
        <f t="shared" si="1041"/>
        <v/>
      </c>
      <c r="AT3453" s="24" t="str">
        <f t="shared" si="1042"/>
        <v/>
      </c>
    </row>
    <row r="3454" spans="1:46" s="12" customFormat="1" ht="42">
      <c r="A3454" s="33" t="str">
        <f t="shared" si="1031"/>
        <v/>
      </c>
      <c r="B3454" s="52"/>
      <c r="C3454" s="52"/>
      <c r="D3454" s="33" t="str">
        <f t="shared" si="1032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33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34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30"/>
        <v/>
      </c>
      <c r="AA3454" s="128"/>
      <c r="AB3454" s="129">
        <v>314000</v>
      </c>
      <c r="AC3454" s="130">
        <f t="shared" si="1035"/>
        <v>0</v>
      </c>
      <c r="AD3454" s="153"/>
      <c r="AE3454" s="154">
        <f t="shared" si="1036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28"/>
        <v>26407088.359292038</v>
      </c>
      <c r="AJ3454" s="19">
        <f t="shared" si="1029"/>
        <v>3424510.6998470789</v>
      </c>
      <c r="AK3454" s="20">
        <f t="shared" si="1037"/>
        <v>0.12968149510667554</v>
      </c>
      <c r="AL3454" s="55"/>
      <c r="AM3454" s="55"/>
      <c r="AN3454" s="55"/>
      <c r="AO3454" s="55"/>
      <c r="AP3454" s="28" t="str">
        <f t="shared" si="1038"/>
        <v>20221</v>
      </c>
      <c r="AQ3454" s="28" t="str">
        <f t="shared" si="1039"/>
        <v/>
      </c>
      <c r="AR3454" s="206" t="str">
        <f t="shared" si="1040"/>
        <v>C66 SERVICE</v>
      </c>
      <c r="AS3454" s="22" t="str">
        <f t="shared" si="1041"/>
        <v/>
      </c>
      <c r="AT3454" s="24" t="str">
        <f t="shared" si="1042"/>
        <v/>
      </c>
    </row>
    <row r="3455" spans="1:46" s="12" customFormat="1" ht="42">
      <c r="A3455" s="33" t="str">
        <f t="shared" si="1031"/>
        <v/>
      </c>
      <c r="B3455" s="52"/>
      <c r="C3455" s="52"/>
      <c r="D3455" s="33" t="str">
        <f t="shared" si="1032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33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34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30"/>
        <v/>
      </c>
      <c r="AA3455" s="128"/>
      <c r="AB3455" s="129">
        <v>137000</v>
      </c>
      <c r="AC3455" s="130">
        <f t="shared" si="1035"/>
        <v>0</v>
      </c>
      <c r="AD3455" s="153"/>
      <c r="AE3455" s="154">
        <f t="shared" si="1036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28"/>
        <v>26407088.359292038</v>
      </c>
      <c r="AJ3455" s="19">
        <f t="shared" si="1029"/>
        <v>3424510.6998470789</v>
      </c>
      <c r="AK3455" s="20">
        <f t="shared" si="1037"/>
        <v>0.12968149510667554</v>
      </c>
      <c r="AL3455" s="55"/>
      <c r="AM3455" s="55"/>
      <c r="AN3455" s="55"/>
      <c r="AO3455" s="55"/>
      <c r="AP3455" s="28" t="str">
        <f t="shared" si="1038"/>
        <v>20221</v>
      </c>
      <c r="AQ3455" s="28" t="str">
        <f t="shared" si="1039"/>
        <v/>
      </c>
      <c r="AR3455" s="206" t="str">
        <f t="shared" si="1040"/>
        <v>C66 SERVICE</v>
      </c>
      <c r="AS3455" s="22" t="str">
        <f t="shared" si="1041"/>
        <v/>
      </c>
      <c r="AT3455" s="24" t="str">
        <f t="shared" si="1042"/>
        <v/>
      </c>
    </row>
    <row r="3456" spans="1:46" s="12" customFormat="1" ht="42">
      <c r="A3456" s="33" t="str">
        <f t="shared" si="1031"/>
        <v/>
      </c>
      <c r="B3456" s="52"/>
      <c r="C3456" s="52"/>
      <c r="D3456" s="33" t="str">
        <f t="shared" si="1032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33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34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30"/>
        <v/>
      </c>
      <c r="AA3456" s="128"/>
      <c r="AB3456" s="129">
        <v>73000</v>
      </c>
      <c r="AC3456" s="130">
        <f t="shared" si="1035"/>
        <v>0</v>
      </c>
      <c r="AD3456" s="153"/>
      <c r="AE3456" s="154">
        <f t="shared" si="1036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28"/>
        <v>26407088.359292038</v>
      </c>
      <c r="AJ3456" s="19">
        <f t="shared" si="1029"/>
        <v>3424510.6998470789</v>
      </c>
      <c r="AK3456" s="20">
        <f t="shared" si="1037"/>
        <v>0.12968149510667554</v>
      </c>
      <c r="AL3456" s="55"/>
      <c r="AM3456" s="55"/>
      <c r="AN3456" s="55"/>
      <c r="AO3456" s="55"/>
      <c r="AP3456" s="28" t="str">
        <f t="shared" si="1038"/>
        <v>20221</v>
      </c>
      <c r="AQ3456" s="28" t="str">
        <f t="shared" si="1039"/>
        <v/>
      </c>
      <c r="AR3456" s="206" t="str">
        <f t="shared" si="1040"/>
        <v>C66 SERVICE</v>
      </c>
      <c r="AS3456" s="22" t="str">
        <f t="shared" si="1041"/>
        <v/>
      </c>
      <c r="AT3456" s="24" t="str">
        <f t="shared" si="1042"/>
        <v/>
      </c>
    </row>
    <row r="3457" spans="1:46" s="12" customFormat="1" ht="42">
      <c r="A3457" s="33" t="str">
        <f t="shared" si="1031"/>
        <v/>
      </c>
      <c r="B3457" s="52"/>
      <c r="C3457" s="52"/>
      <c r="D3457" s="33" t="str">
        <f t="shared" si="1032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33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34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30"/>
        <v/>
      </c>
      <c r="AA3457" s="128"/>
      <c r="AB3457" s="129">
        <v>5000</v>
      </c>
      <c r="AC3457" s="130">
        <f t="shared" si="1035"/>
        <v>0</v>
      </c>
      <c r="AD3457" s="153"/>
      <c r="AE3457" s="154">
        <f t="shared" si="1036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28"/>
        <v>26407088.359292038</v>
      </c>
      <c r="AJ3457" s="19">
        <f t="shared" si="1029"/>
        <v>3424510.6998470789</v>
      </c>
      <c r="AK3457" s="20">
        <f t="shared" si="1037"/>
        <v>0.12968149510667554</v>
      </c>
      <c r="AL3457" s="55"/>
      <c r="AM3457" s="55"/>
      <c r="AN3457" s="55"/>
      <c r="AO3457" s="55"/>
      <c r="AP3457" s="28" t="str">
        <f t="shared" si="1038"/>
        <v>20221</v>
      </c>
      <c r="AQ3457" s="28" t="str">
        <f t="shared" si="1039"/>
        <v/>
      </c>
      <c r="AR3457" s="206" t="str">
        <f t="shared" si="1040"/>
        <v>C66 SERVICE</v>
      </c>
      <c r="AS3457" s="22" t="str">
        <f t="shared" si="1041"/>
        <v/>
      </c>
      <c r="AT3457" s="24" t="str">
        <f t="shared" si="1042"/>
        <v/>
      </c>
    </row>
    <row r="3458" spans="1:46" s="12" customFormat="1" ht="42">
      <c r="A3458" s="33" t="str">
        <f t="shared" si="1031"/>
        <v/>
      </c>
      <c r="B3458" s="52"/>
      <c r="C3458" s="52"/>
      <c r="D3458" s="33" t="str">
        <f t="shared" si="1032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33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34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30"/>
        <v/>
      </c>
      <c r="AA3458" s="128"/>
      <c r="AB3458" s="129">
        <v>215000</v>
      </c>
      <c r="AC3458" s="130">
        <f t="shared" si="1035"/>
        <v>0</v>
      </c>
      <c r="AD3458" s="153"/>
      <c r="AE3458" s="154">
        <f t="shared" si="1036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43">IF(P3458="C66 SERVICE","",SUMIFS(AB:AB,F:F,F3458,G:G,G3458,E:E,E3458))</f>
        <v>31750699.113741599</v>
      </c>
      <c r="AJ3458" s="19">
        <f t="shared" ref="AJ3458:AJ3521" si="1044">IF(P3458="C66 SERVICE","",SUMIFS(AC:AC,F:F,F3458,G:G,G3458,E:E,E3458))</f>
        <v>4396077.3195289988</v>
      </c>
      <c r="AK3458" s="20">
        <f t="shared" si="1037"/>
        <v>0.13845607946397598</v>
      </c>
      <c r="AL3458" s="55"/>
      <c r="AM3458" s="55"/>
      <c r="AN3458" s="55"/>
      <c r="AO3458" s="55"/>
      <c r="AP3458" s="28" t="str">
        <f t="shared" si="1038"/>
        <v>20222</v>
      </c>
      <c r="AQ3458" s="28" t="str">
        <f t="shared" si="1039"/>
        <v/>
      </c>
      <c r="AR3458" s="206" t="str">
        <f t="shared" si="1040"/>
        <v>C66 SERVICE</v>
      </c>
      <c r="AS3458" s="22" t="str">
        <f t="shared" si="1041"/>
        <v/>
      </c>
      <c r="AT3458" s="24" t="str">
        <f t="shared" si="1042"/>
        <v/>
      </c>
    </row>
    <row r="3459" spans="1:46" s="12" customFormat="1" ht="42">
      <c r="A3459" s="33" t="str">
        <f t="shared" si="1031"/>
        <v/>
      </c>
      <c r="B3459" s="52"/>
      <c r="C3459" s="52"/>
      <c r="D3459" s="33" t="str">
        <f t="shared" si="1032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33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34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30"/>
        <v/>
      </c>
      <c r="AA3459" s="128"/>
      <c r="AB3459" s="129">
        <v>296000</v>
      </c>
      <c r="AC3459" s="130">
        <f t="shared" si="1035"/>
        <v>0</v>
      </c>
      <c r="AD3459" s="153"/>
      <c r="AE3459" s="154">
        <f t="shared" si="1036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43"/>
        <v>31750699.113741599</v>
      </c>
      <c r="AJ3459" s="19">
        <f t="shared" si="1044"/>
        <v>4396077.3195289988</v>
      </c>
      <c r="AK3459" s="20">
        <f t="shared" si="1037"/>
        <v>0.13845607946397598</v>
      </c>
      <c r="AL3459" s="55"/>
      <c r="AM3459" s="55"/>
      <c r="AN3459" s="55"/>
      <c r="AO3459" s="55"/>
      <c r="AP3459" s="28" t="str">
        <f t="shared" si="1038"/>
        <v>20222</v>
      </c>
      <c r="AQ3459" s="28" t="str">
        <f t="shared" si="1039"/>
        <v/>
      </c>
      <c r="AR3459" s="206" t="str">
        <f t="shared" si="1040"/>
        <v>C66 SERVICE</v>
      </c>
      <c r="AS3459" s="22" t="str">
        <f t="shared" si="1041"/>
        <v/>
      </c>
      <c r="AT3459" s="24" t="str">
        <f t="shared" si="1042"/>
        <v/>
      </c>
    </row>
    <row r="3460" spans="1:46" s="12" customFormat="1" ht="42">
      <c r="A3460" s="33" t="str">
        <f t="shared" si="1031"/>
        <v/>
      </c>
      <c r="B3460" s="52"/>
      <c r="C3460" s="52"/>
      <c r="D3460" s="33" t="str">
        <f t="shared" si="1032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33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34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30"/>
        <v/>
      </c>
      <c r="AA3460" s="128"/>
      <c r="AB3460" s="129">
        <v>35000</v>
      </c>
      <c r="AC3460" s="130">
        <f t="shared" si="1035"/>
        <v>0</v>
      </c>
      <c r="AD3460" s="153"/>
      <c r="AE3460" s="154">
        <f t="shared" si="1036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43"/>
        <v>31750699.113741599</v>
      </c>
      <c r="AJ3460" s="19">
        <f t="shared" si="1044"/>
        <v>4396077.3195289988</v>
      </c>
      <c r="AK3460" s="20">
        <f t="shared" si="1037"/>
        <v>0.13845607946397598</v>
      </c>
      <c r="AL3460" s="55"/>
      <c r="AM3460" s="55"/>
      <c r="AN3460" s="55"/>
      <c r="AO3460" s="55"/>
      <c r="AP3460" s="28" t="str">
        <f t="shared" si="1038"/>
        <v>20222</v>
      </c>
      <c r="AQ3460" s="28" t="str">
        <f t="shared" si="1039"/>
        <v/>
      </c>
      <c r="AR3460" s="206" t="str">
        <f t="shared" si="1040"/>
        <v>C66 SERVICE</v>
      </c>
      <c r="AS3460" s="22" t="str">
        <f t="shared" si="1041"/>
        <v/>
      </c>
      <c r="AT3460" s="24" t="str">
        <f t="shared" si="1042"/>
        <v/>
      </c>
    </row>
    <row r="3461" spans="1:46" s="12" customFormat="1" ht="42">
      <c r="A3461" s="33" t="str">
        <f t="shared" si="1031"/>
        <v/>
      </c>
      <c r="B3461" s="52"/>
      <c r="C3461" s="52"/>
      <c r="D3461" s="33" t="str">
        <f t="shared" si="1032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33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34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30"/>
        <v/>
      </c>
      <c r="AA3461" s="128"/>
      <c r="AB3461" s="129">
        <v>0</v>
      </c>
      <c r="AC3461" s="130">
        <f t="shared" si="1035"/>
        <v>0</v>
      </c>
      <c r="AD3461" s="153"/>
      <c r="AE3461" s="154">
        <f t="shared" si="1036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43"/>
        <v>31750699.113741599</v>
      </c>
      <c r="AJ3461" s="19">
        <f t="shared" si="1044"/>
        <v>4396077.3195289988</v>
      </c>
      <c r="AK3461" s="20">
        <f t="shared" si="1037"/>
        <v>0.13845607946397598</v>
      </c>
      <c r="AL3461" s="55"/>
      <c r="AM3461" s="55"/>
      <c r="AN3461" s="55"/>
      <c r="AO3461" s="55"/>
      <c r="AP3461" s="28" t="str">
        <f t="shared" si="1038"/>
        <v>20222</v>
      </c>
      <c r="AQ3461" s="28" t="str">
        <f t="shared" si="1039"/>
        <v/>
      </c>
      <c r="AR3461" s="206" t="str">
        <f t="shared" si="1040"/>
        <v>C66 SERVICE</v>
      </c>
      <c r="AS3461" s="22" t="str">
        <f t="shared" si="1041"/>
        <v/>
      </c>
      <c r="AT3461" s="24" t="str">
        <f t="shared" si="1042"/>
        <v/>
      </c>
    </row>
    <row r="3462" spans="1:46" s="12" customFormat="1" ht="42">
      <c r="A3462" s="33" t="str">
        <f t="shared" si="1031"/>
        <v/>
      </c>
      <c r="B3462" s="52"/>
      <c r="C3462" s="52"/>
      <c r="D3462" s="33" t="str">
        <f t="shared" si="1032"/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si="1033"/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34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30"/>
        <v/>
      </c>
      <c r="AA3462" s="128"/>
      <c r="AB3462" s="129">
        <v>372000</v>
      </c>
      <c r="AC3462" s="130">
        <f t="shared" si="1035"/>
        <v>0</v>
      </c>
      <c r="AD3462" s="153"/>
      <c r="AE3462" s="154">
        <f t="shared" si="1036"/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43"/>
        <v>28726768.133805312</v>
      </c>
      <c r="AJ3462" s="19">
        <f t="shared" si="1044"/>
        <v>3853638.1988864429</v>
      </c>
      <c r="AK3462" s="20">
        <f t="shared" si="1037"/>
        <v>0.1341479898099476</v>
      </c>
      <c r="AL3462" s="55"/>
      <c r="AM3462" s="55"/>
      <c r="AN3462" s="55"/>
      <c r="AO3462" s="55"/>
      <c r="AP3462" s="28" t="str">
        <f t="shared" si="1038"/>
        <v>20223</v>
      </c>
      <c r="AQ3462" s="28" t="str">
        <f t="shared" si="1039"/>
        <v/>
      </c>
      <c r="AR3462" s="206" t="str">
        <f t="shared" si="1040"/>
        <v>C66 SERVICE</v>
      </c>
      <c r="AS3462" s="22" t="str">
        <f t="shared" si="1041"/>
        <v/>
      </c>
      <c r="AT3462" s="24" t="str">
        <f t="shared" si="1042"/>
        <v/>
      </c>
    </row>
    <row r="3463" spans="1:46" s="12" customFormat="1" ht="42">
      <c r="A3463" s="33" t="str">
        <f t="shared" si="1031"/>
        <v/>
      </c>
      <c r="B3463" s="52"/>
      <c r="C3463" s="52"/>
      <c r="D3463" s="33" t="str">
        <f t="shared" si="1032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33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34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30"/>
        <v/>
      </c>
      <c r="AA3463" s="128"/>
      <c r="AB3463" s="129">
        <v>40000</v>
      </c>
      <c r="AC3463" s="130">
        <f t="shared" si="1035"/>
        <v>0</v>
      </c>
      <c r="AD3463" s="153"/>
      <c r="AE3463" s="154">
        <f t="shared" si="1036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43"/>
        <v>28726768.133805312</v>
      </c>
      <c r="AJ3463" s="19">
        <f t="shared" si="1044"/>
        <v>3853638.1988864429</v>
      </c>
      <c r="AK3463" s="20">
        <f t="shared" si="1037"/>
        <v>0.1341479898099476</v>
      </c>
      <c r="AL3463" s="55"/>
      <c r="AM3463" s="55"/>
      <c r="AN3463" s="55"/>
      <c r="AO3463" s="55"/>
      <c r="AP3463" s="28" t="str">
        <f t="shared" si="1038"/>
        <v>20223</v>
      </c>
      <c r="AQ3463" s="28" t="str">
        <f t="shared" si="1039"/>
        <v/>
      </c>
      <c r="AR3463" s="206" t="str">
        <f t="shared" si="1040"/>
        <v>C66 SERVICE</v>
      </c>
      <c r="AS3463" s="22" t="str">
        <f t="shared" si="1041"/>
        <v/>
      </c>
      <c r="AT3463" s="24" t="str">
        <f t="shared" si="1042"/>
        <v/>
      </c>
    </row>
    <row r="3464" spans="1:46" s="12" customFormat="1" ht="42">
      <c r="A3464" s="33" t="str">
        <f t="shared" si="1031"/>
        <v/>
      </c>
      <c r="B3464" s="52"/>
      <c r="C3464" s="52"/>
      <c r="D3464" s="33" t="str">
        <f t="shared" si="1032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33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34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30"/>
        <v/>
      </c>
      <c r="AA3464" s="128"/>
      <c r="AB3464" s="129">
        <v>483000</v>
      </c>
      <c r="AC3464" s="130">
        <f t="shared" si="1035"/>
        <v>0</v>
      </c>
      <c r="AD3464" s="153"/>
      <c r="AE3464" s="154">
        <f t="shared" si="1036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43"/>
        <v>28726768.133805312</v>
      </c>
      <c r="AJ3464" s="19">
        <f t="shared" si="1044"/>
        <v>3853638.1988864429</v>
      </c>
      <c r="AK3464" s="20">
        <f t="shared" si="1037"/>
        <v>0.1341479898099476</v>
      </c>
      <c r="AL3464" s="55"/>
      <c r="AM3464" s="55"/>
      <c r="AN3464" s="55"/>
      <c r="AO3464" s="55"/>
      <c r="AP3464" s="28" t="str">
        <f t="shared" si="1038"/>
        <v>20223</v>
      </c>
      <c r="AQ3464" s="28" t="str">
        <f t="shared" si="1039"/>
        <v/>
      </c>
      <c r="AR3464" s="206" t="str">
        <f t="shared" si="1040"/>
        <v>C66 SERVICE</v>
      </c>
      <c r="AS3464" s="22" t="str">
        <f t="shared" si="1041"/>
        <v/>
      </c>
      <c r="AT3464" s="24" t="str">
        <f t="shared" si="1042"/>
        <v/>
      </c>
    </row>
    <row r="3465" spans="1:46" s="12" customFormat="1" ht="42">
      <c r="A3465" s="33" t="str">
        <f t="shared" si="1031"/>
        <v/>
      </c>
      <c r="B3465" s="52"/>
      <c r="C3465" s="52"/>
      <c r="D3465" s="33" t="str">
        <f t="shared" si="1032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33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34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30"/>
        <v/>
      </c>
      <c r="AA3465" s="128"/>
      <c r="AB3465" s="129">
        <v>16000</v>
      </c>
      <c r="AC3465" s="130">
        <f t="shared" si="1035"/>
        <v>0</v>
      </c>
      <c r="AD3465" s="153"/>
      <c r="AE3465" s="154">
        <f t="shared" si="1036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43"/>
        <v>28726768.133805312</v>
      </c>
      <c r="AJ3465" s="19">
        <f t="shared" si="1044"/>
        <v>3853638.1988864429</v>
      </c>
      <c r="AK3465" s="20">
        <f t="shared" si="1037"/>
        <v>0.1341479898099476</v>
      </c>
      <c r="AL3465" s="55"/>
      <c r="AM3465" s="55"/>
      <c r="AN3465" s="55"/>
      <c r="AO3465" s="55"/>
      <c r="AP3465" s="28" t="str">
        <f t="shared" si="1038"/>
        <v>20223</v>
      </c>
      <c r="AQ3465" s="28" t="str">
        <f t="shared" si="1039"/>
        <v/>
      </c>
      <c r="AR3465" s="206" t="str">
        <f t="shared" si="1040"/>
        <v>C66 SERVICE</v>
      </c>
      <c r="AS3465" s="22" t="str">
        <f t="shared" si="1041"/>
        <v/>
      </c>
      <c r="AT3465" s="24" t="str">
        <f t="shared" si="1042"/>
        <v/>
      </c>
    </row>
    <row r="3466" spans="1:46" s="12" customFormat="1" ht="42">
      <c r="A3466" s="33" t="str">
        <f t="shared" si="1031"/>
        <v/>
      </c>
      <c r="B3466" s="52"/>
      <c r="C3466" s="52"/>
      <c r="D3466" s="33" t="str">
        <f t="shared" si="1032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33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34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30"/>
        <v/>
      </c>
      <c r="AA3466" s="128"/>
      <c r="AB3466" s="129">
        <v>277000</v>
      </c>
      <c r="AC3466" s="130">
        <f t="shared" si="1035"/>
        <v>0</v>
      </c>
      <c r="AD3466" s="153"/>
      <c r="AE3466" s="154">
        <f t="shared" si="1036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43"/>
        <v>7502645.9971681423</v>
      </c>
      <c r="AJ3466" s="19">
        <f t="shared" si="1044"/>
        <v>664841.72044240718</v>
      </c>
      <c r="AK3466" s="20">
        <f t="shared" si="1037"/>
        <v>8.861429963420242E-2</v>
      </c>
      <c r="AL3466" s="55"/>
      <c r="AM3466" s="55"/>
      <c r="AN3466" s="55"/>
      <c r="AO3466" s="55"/>
      <c r="AP3466" s="28" t="str">
        <f t="shared" si="1038"/>
        <v>20231</v>
      </c>
      <c r="AQ3466" s="28" t="str">
        <f t="shared" si="1039"/>
        <v/>
      </c>
      <c r="AR3466" s="206" t="str">
        <f t="shared" si="1040"/>
        <v>C66 SERVICE</v>
      </c>
      <c r="AS3466" s="22" t="str">
        <f t="shared" si="1041"/>
        <v/>
      </c>
      <c r="AT3466" s="24" t="str">
        <f t="shared" si="1042"/>
        <v/>
      </c>
    </row>
    <row r="3467" spans="1:46" s="12" customFormat="1" ht="42">
      <c r="A3467" s="33" t="str">
        <f t="shared" si="1031"/>
        <v/>
      </c>
      <c r="B3467" s="52"/>
      <c r="C3467" s="52"/>
      <c r="D3467" s="33" t="str">
        <f t="shared" si="1032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33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34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30"/>
        <v/>
      </c>
      <c r="AA3467" s="128"/>
      <c r="AB3467" s="129">
        <v>4000</v>
      </c>
      <c r="AC3467" s="130">
        <f t="shared" si="1035"/>
        <v>0</v>
      </c>
      <c r="AD3467" s="153"/>
      <c r="AE3467" s="154">
        <f t="shared" si="1036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43"/>
        <v>7502645.9971681423</v>
      </c>
      <c r="AJ3467" s="19">
        <f t="shared" si="1044"/>
        <v>664841.72044240718</v>
      </c>
      <c r="AK3467" s="20">
        <f t="shared" si="1037"/>
        <v>8.861429963420242E-2</v>
      </c>
      <c r="AL3467" s="55"/>
      <c r="AM3467" s="55"/>
      <c r="AN3467" s="55"/>
      <c r="AO3467" s="55"/>
      <c r="AP3467" s="28" t="str">
        <f t="shared" si="1038"/>
        <v>20231</v>
      </c>
      <c r="AQ3467" s="28" t="str">
        <f t="shared" si="1039"/>
        <v/>
      </c>
      <c r="AR3467" s="206" t="str">
        <f t="shared" si="1040"/>
        <v>C66 SERVICE</v>
      </c>
      <c r="AS3467" s="22" t="str">
        <f t="shared" si="1041"/>
        <v/>
      </c>
      <c r="AT3467" s="24" t="str">
        <f t="shared" si="1042"/>
        <v/>
      </c>
    </row>
    <row r="3468" spans="1:46" s="12" customFormat="1" ht="42">
      <c r="A3468" s="33" t="str">
        <f t="shared" si="1031"/>
        <v/>
      </c>
      <c r="B3468" s="52"/>
      <c r="C3468" s="52"/>
      <c r="D3468" s="33" t="str">
        <f t="shared" si="1032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33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34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30"/>
        <v/>
      </c>
      <c r="AA3468" s="128"/>
      <c r="AB3468" s="129">
        <v>212000</v>
      </c>
      <c r="AC3468" s="130">
        <f t="shared" si="1035"/>
        <v>0</v>
      </c>
      <c r="AD3468" s="153"/>
      <c r="AE3468" s="154">
        <f t="shared" si="1036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43"/>
        <v>7502645.9971681423</v>
      </c>
      <c r="AJ3468" s="19">
        <f t="shared" si="1044"/>
        <v>664841.72044240718</v>
      </c>
      <c r="AK3468" s="20">
        <f t="shared" si="1037"/>
        <v>8.861429963420242E-2</v>
      </c>
      <c r="AL3468" s="55"/>
      <c r="AM3468" s="55"/>
      <c r="AN3468" s="55"/>
      <c r="AO3468" s="55"/>
      <c r="AP3468" s="28" t="str">
        <f t="shared" si="1038"/>
        <v>20231</v>
      </c>
      <c r="AQ3468" s="28" t="str">
        <f t="shared" si="1039"/>
        <v/>
      </c>
      <c r="AR3468" s="206" t="str">
        <f t="shared" si="1040"/>
        <v>C66 SERVICE</v>
      </c>
      <c r="AS3468" s="22" t="str">
        <f t="shared" si="1041"/>
        <v/>
      </c>
      <c r="AT3468" s="24" t="str">
        <f t="shared" si="1042"/>
        <v/>
      </c>
    </row>
    <row r="3469" spans="1:46" s="12" customFormat="1" ht="42">
      <c r="A3469" s="33" t="str">
        <f t="shared" si="1031"/>
        <v/>
      </c>
      <c r="B3469" s="52"/>
      <c r="C3469" s="52"/>
      <c r="D3469" s="33" t="str">
        <f t="shared" si="1032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33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34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30"/>
        <v/>
      </c>
      <c r="AA3469" s="128"/>
      <c r="AB3469" s="129">
        <v>148000</v>
      </c>
      <c r="AC3469" s="130">
        <f t="shared" si="1035"/>
        <v>0</v>
      </c>
      <c r="AD3469" s="153"/>
      <c r="AE3469" s="154">
        <f t="shared" si="1036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43"/>
        <v>7502645.9971681423</v>
      </c>
      <c r="AJ3469" s="19">
        <f t="shared" si="1044"/>
        <v>664841.72044240718</v>
      </c>
      <c r="AK3469" s="20">
        <f t="shared" si="1037"/>
        <v>8.861429963420242E-2</v>
      </c>
      <c r="AL3469" s="55"/>
      <c r="AM3469" s="55"/>
      <c r="AN3469" s="55"/>
      <c r="AO3469" s="55"/>
      <c r="AP3469" s="28" t="str">
        <f t="shared" si="1038"/>
        <v>20231</v>
      </c>
      <c r="AQ3469" s="28" t="str">
        <f t="shared" si="1039"/>
        <v/>
      </c>
      <c r="AR3469" s="206" t="str">
        <f t="shared" si="1040"/>
        <v>C66 SERVICE</v>
      </c>
      <c r="AS3469" s="22" t="str">
        <f t="shared" si="1041"/>
        <v/>
      </c>
      <c r="AT3469" s="24" t="str">
        <f t="shared" si="1042"/>
        <v/>
      </c>
    </row>
    <row r="3470" spans="1:46" s="12" customFormat="1" ht="42">
      <c r="A3470" s="33" t="str">
        <f t="shared" si="1031"/>
        <v/>
      </c>
      <c r="B3470" s="52"/>
      <c r="C3470" s="52"/>
      <c r="D3470" s="33" t="str">
        <f t="shared" si="1032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33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34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30"/>
        <v/>
      </c>
      <c r="AA3470" s="128"/>
      <c r="AB3470" s="129">
        <v>363000</v>
      </c>
      <c r="AC3470" s="130">
        <f t="shared" si="1035"/>
        <v>0</v>
      </c>
      <c r="AD3470" s="153"/>
      <c r="AE3470" s="154">
        <f t="shared" si="1036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43"/>
        <v>21045012.884955753</v>
      </c>
      <c r="AJ3470" s="19">
        <f t="shared" si="1044"/>
        <v>2650260.9603327443</v>
      </c>
      <c r="AK3470" s="20">
        <f t="shared" si="1037"/>
        <v>0.12593296924172048</v>
      </c>
      <c r="AL3470" s="55"/>
      <c r="AM3470" s="55"/>
      <c r="AN3470" s="55"/>
      <c r="AO3470" s="55"/>
      <c r="AP3470" s="28" t="str">
        <f t="shared" si="1038"/>
        <v>20232</v>
      </c>
      <c r="AQ3470" s="28" t="str">
        <f t="shared" si="1039"/>
        <v/>
      </c>
      <c r="AR3470" s="206" t="str">
        <f t="shared" si="1040"/>
        <v>C66 SERVICE</v>
      </c>
      <c r="AS3470" s="22" t="str">
        <f t="shared" si="1041"/>
        <v/>
      </c>
      <c r="AT3470" s="24" t="str">
        <f t="shared" si="1042"/>
        <v/>
      </c>
    </row>
    <row r="3471" spans="1:46" s="12" customFormat="1" ht="42">
      <c r="A3471" s="33" t="str">
        <f t="shared" si="1031"/>
        <v/>
      </c>
      <c r="B3471" s="52"/>
      <c r="C3471" s="52"/>
      <c r="D3471" s="33" t="str">
        <f t="shared" si="1032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33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34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30"/>
        <v/>
      </c>
      <c r="AA3471" s="128"/>
      <c r="AB3471" s="129">
        <v>115000</v>
      </c>
      <c r="AC3471" s="130">
        <f t="shared" si="1035"/>
        <v>0</v>
      </c>
      <c r="AD3471" s="153"/>
      <c r="AE3471" s="154">
        <f t="shared" si="1036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43"/>
        <v>21045012.884955753</v>
      </c>
      <c r="AJ3471" s="19">
        <f t="shared" si="1044"/>
        <v>2650260.9603327443</v>
      </c>
      <c r="AK3471" s="20">
        <f t="shared" si="1037"/>
        <v>0.12593296924172048</v>
      </c>
      <c r="AL3471" s="55"/>
      <c r="AM3471" s="55"/>
      <c r="AN3471" s="55"/>
      <c r="AO3471" s="55"/>
      <c r="AP3471" s="28" t="str">
        <f t="shared" si="1038"/>
        <v>20232</v>
      </c>
      <c r="AQ3471" s="28" t="str">
        <f t="shared" si="1039"/>
        <v/>
      </c>
      <c r="AR3471" s="206" t="str">
        <f t="shared" si="1040"/>
        <v>C66 SERVICE</v>
      </c>
      <c r="AS3471" s="22" t="str">
        <f t="shared" si="1041"/>
        <v/>
      </c>
      <c r="AT3471" s="24" t="str">
        <f t="shared" si="1042"/>
        <v/>
      </c>
    </row>
    <row r="3472" spans="1:46" s="12" customFormat="1" ht="42">
      <c r="A3472" s="33" t="str">
        <f t="shared" si="1031"/>
        <v/>
      </c>
      <c r="B3472" s="52"/>
      <c r="C3472" s="52"/>
      <c r="D3472" s="33" t="str">
        <f t="shared" si="1032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33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34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30"/>
        <v/>
      </c>
      <c r="AA3472" s="128"/>
      <c r="AB3472" s="129">
        <v>6000</v>
      </c>
      <c r="AC3472" s="130">
        <f t="shared" si="1035"/>
        <v>0</v>
      </c>
      <c r="AD3472" s="153"/>
      <c r="AE3472" s="154">
        <f t="shared" si="1036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43"/>
        <v>21045012.884955753</v>
      </c>
      <c r="AJ3472" s="19">
        <f t="shared" si="1044"/>
        <v>2650260.9603327443</v>
      </c>
      <c r="AK3472" s="20">
        <f t="shared" si="1037"/>
        <v>0.12593296924172048</v>
      </c>
      <c r="AL3472" s="55"/>
      <c r="AM3472" s="55"/>
      <c r="AN3472" s="55"/>
      <c r="AO3472" s="55"/>
      <c r="AP3472" s="28" t="str">
        <f t="shared" si="1038"/>
        <v>20232</v>
      </c>
      <c r="AQ3472" s="28" t="str">
        <f t="shared" si="1039"/>
        <v/>
      </c>
      <c r="AR3472" s="206" t="str">
        <f t="shared" si="1040"/>
        <v>C66 SERVICE</v>
      </c>
      <c r="AS3472" s="22" t="str">
        <f t="shared" si="1041"/>
        <v/>
      </c>
      <c r="AT3472" s="24" t="str">
        <f t="shared" si="1042"/>
        <v/>
      </c>
    </row>
    <row r="3473" spans="1:46" s="12" customFormat="1" ht="42">
      <c r="A3473" s="33" t="str">
        <f t="shared" si="1031"/>
        <v/>
      </c>
      <c r="B3473" s="52"/>
      <c r="C3473" s="52"/>
      <c r="D3473" s="33" t="str">
        <f t="shared" si="1032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33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34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30"/>
        <v/>
      </c>
      <c r="AA3473" s="128"/>
      <c r="AB3473" s="129">
        <v>4000</v>
      </c>
      <c r="AC3473" s="130">
        <f t="shared" si="1035"/>
        <v>0</v>
      </c>
      <c r="AD3473" s="153"/>
      <c r="AE3473" s="154">
        <f t="shared" si="1036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43"/>
        <v>21045012.884955753</v>
      </c>
      <c r="AJ3473" s="19">
        <f t="shared" si="1044"/>
        <v>2650260.9603327443</v>
      </c>
      <c r="AK3473" s="20">
        <f t="shared" si="1037"/>
        <v>0.12593296924172048</v>
      </c>
      <c r="AL3473" s="55"/>
      <c r="AM3473" s="55"/>
      <c r="AN3473" s="55"/>
      <c r="AO3473" s="55"/>
      <c r="AP3473" s="28" t="str">
        <f t="shared" si="1038"/>
        <v>20232</v>
      </c>
      <c r="AQ3473" s="28" t="str">
        <f t="shared" si="1039"/>
        <v/>
      </c>
      <c r="AR3473" s="206" t="str">
        <f t="shared" si="1040"/>
        <v>C66 SERVICE</v>
      </c>
      <c r="AS3473" s="22" t="str">
        <f t="shared" si="1041"/>
        <v/>
      </c>
      <c r="AT3473" s="24" t="str">
        <f t="shared" si="1042"/>
        <v/>
      </c>
    </row>
    <row r="3474" spans="1:46" s="12" customFormat="1" ht="42">
      <c r="A3474" s="33" t="str">
        <f t="shared" si="1031"/>
        <v/>
      </c>
      <c r="B3474" s="52"/>
      <c r="C3474" s="52"/>
      <c r="D3474" s="33" t="str">
        <f t="shared" si="1032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33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34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30"/>
        <v/>
      </c>
      <c r="AA3474" s="128"/>
      <c r="AB3474" s="129">
        <v>411000</v>
      </c>
      <c r="AC3474" s="130">
        <f t="shared" si="1035"/>
        <v>0</v>
      </c>
      <c r="AD3474" s="153"/>
      <c r="AE3474" s="154">
        <f t="shared" si="1036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43"/>
        <v>30573205.452778768</v>
      </c>
      <c r="AJ3474" s="19">
        <f t="shared" si="1044"/>
        <v>3790930.1683151261</v>
      </c>
      <c r="AK3474" s="20">
        <f t="shared" si="1037"/>
        <v>0.12399518179964254</v>
      </c>
      <c r="AL3474" s="55"/>
      <c r="AM3474" s="55"/>
      <c r="AN3474" s="55"/>
      <c r="AO3474" s="55"/>
      <c r="AP3474" s="28" t="str">
        <f t="shared" si="1038"/>
        <v>20234</v>
      </c>
      <c r="AQ3474" s="28" t="str">
        <f t="shared" si="1039"/>
        <v/>
      </c>
      <c r="AR3474" s="206" t="str">
        <f t="shared" si="1040"/>
        <v>C66 SERVICE</v>
      </c>
      <c r="AS3474" s="22" t="str">
        <f t="shared" si="1041"/>
        <v/>
      </c>
      <c r="AT3474" s="24" t="str">
        <f t="shared" si="1042"/>
        <v/>
      </c>
    </row>
    <row r="3475" spans="1:46" s="12" customFormat="1" ht="42">
      <c r="A3475" s="33" t="str">
        <f t="shared" si="1031"/>
        <v/>
      </c>
      <c r="B3475" s="52"/>
      <c r="C3475" s="52"/>
      <c r="D3475" s="33" t="str">
        <f t="shared" si="1032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33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34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30"/>
        <v/>
      </c>
      <c r="AA3475" s="128"/>
      <c r="AB3475" s="129">
        <v>59000</v>
      </c>
      <c r="AC3475" s="130">
        <f t="shared" si="1035"/>
        <v>0</v>
      </c>
      <c r="AD3475" s="153"/>
      <c r="AE3475" s="154">
        <f t="shared" si="1036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43"/>
        <v>30573205.452778768</v>
      </c>
      <c r="AJ3475" s="19">
        <f t="shared" si="1044"/>
        <v>3790930.1683151261</v>
      </c>
      <c r="AK3475" s="20">
        <f t="shared" si="1037"/>
        <v>0.12399518179964254</v>
      </c>
      <c r="AL3475" s="55"/>
      <c r="AM3475" s="55"/>
      <c r="AN3475" s="55"/>
      <c r="AO3475" s="55"/>
      <c r="AP3475" s="28" t="str">
        <f t="shared" si="1038"/>
        <v>20234</v>
      </c>
      <c r="AQ3475" s="28" t="str">
        <f t="shared" si="1039"/>
        <v/>
      </c>
      <c r="AR3475" s="206" t="str">
        <f t="shared" si="1040"/>
        <v>C66 SERVICE</v>
      </c>
      <c r="AS3475" s="22" t="str">
        <f t="shared" si="1041"/>
        <v/>
      </c>
      <c r="AT3475" s="24" t="str">
        <f t="shared" si="1042"/>
        <v/>
      </c>
    </row>
    <row r="3476" spans="1:46" s="12" customFormat="1" ht="42">
      <c r="A3476" s="33" t="str">
        <f t="shared" si="1031"/>
        <v/>
      </c>
      <c r="B3476" s="52"/>
      <c r="C3476" s="52"/>
      <c r="D3476" s="33" t="str">
        <f t="shared" si="1032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33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34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30"/>
        <v/>
      </c>
      <c r="AA3476" s="128"/>
      <c r="AB3476" s="129">
        <v>21000</v>
      </c>
      <c r="AC3476" s="130">
        <f t="shared" si="1035"/>
        <v>0</v>
      </c>
      <c r="AD3476" s="153"/>
      <c r="AE3476" s="154">
        <f t="shared" si="1036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43"/>
        <v>30573205.452778768</v>
      </c>
      <c r="AJ3476" s="19">
        <f t="shared" si="1044"/>
        <v>3790930.1683151261</v>
      </c>
      <c r="AK3476" s="20">
        <f t="shared" si="1037"/>
        <v>0.12399518179964254</v>
      </c>
      <c r="AL3476" s="55"/>
      <c r="AM3476" s="55"/>
      <c r="AN3476" s="55"/>
      <c r="AO3476" s="55"/>
      <c r="AP3476" s="28" t="str">
        <f t="shared" si="1038"/>
        <v>20234</v>
      </c>
      <c r="AQ3476" s="28" t="str">
        <f t="shared" si="1039"/>
        <v/>
      </c>
      <c r="AR3476" s="206" t="str">
        <f t="shared" si="1040"/>
        <v>C66 SERVICE</v>
      </c>
      <c r="AS3476" s="22" t="str">
        <f t="shared" si="1041"/>
        <v/>
      </c>
      <c r="AT3476" s="24" t="str">
        <f t="shared" si="1042"/>
        <v/>
      </c>
    </row>
    <row r="3477" spans="1:46" s="12" customFormat="1" ht="42">
      <c r="A3477" s="33" t="str">
        <f t="shared" si="1031"/>
        <v/>
      </c>
      <c r="B3477" s="56"/>
      <c r="C3477" s="52"/>
      <c r="D3477" s="33" t="str">
        <f t="shared" si="1032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33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34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30"/>
        <v/>
      </c>
      <c r="AA3477" s="128"/>
      <c r="AB3477" s="129">
        <v>0</v>
      </c>
      <c r="AC3477" s="130">
        <f t="shared" si="1035"/>
        <v>0</v>
      </c>
      <c r="AD3477" s="153"/>
      <c r="AE3477" s="154">
        <f t="shared" si="1036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43"/>
        <v>30573205.452778768</v>
      </c>
      <c r="AJ3477" s="19">
        <f t="shared" si="1044"/>
        <v>3790930.1683151261</v>
      </c>
      <c r="AK3477" s="20">
        <f t="shared" si="1037"/>
        <v>0.12399518179964254</v>
      </c>
      <c r="AL3477" s="55"/>
      <c r="AM3477" s="55"/>
      <c r="AN3477" s="55"/>
      <c r="AO3477" s="55"/>
      <c r="AP3477" s="28" t="str">
        <f t="shared" si="1038"/>
        <v>20234</v>
      </c>
      <c r="AQ3477" s="28" t="str">
        <f t="shared" si="1039"/>
        <v/>
      </c>
      <c r="AR3477" s="206" t="str">
        <f t="shared" si="1040"/>
        <v>C66 SERVICE</v>
      </c>
      <c r="AS3477" s="22" t="str">
        <f t="shared" si="1041"/>
        <v/>
      </c>
      <c r="AT3477" s="24" t="str">
        <f t="shared" si="1042"/>
        <v/>
      </c>
    </row>
    <row r="3478" spans="1:46" s="12" customFormat="1" ht="42">
      <c r="A3478" s="33" t="str">
        <f t="shared" si="1031"/>
        <v/>
      </c>
      <c r="B3478" s="56"/>
      <c r="C3478" s="52"/>
      <c r="D3478" s="33" t="str">
        <f t="shared" si="1032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33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si="1034"/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30"/>
        <v/>
      </c>
      <c r="AA3478" s="128"/>
      <c r="AB3478" s="129">
        <v>226000</v>
      </c>
      <c r="AC3478" s="130">
        <f t="shared" si="1035"/>
        <v>0</v>
      </c>
      <c r="AD3478" s="153"/>
      <c r="AE3478" s="154">
        <f t="shared" si="1036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43"/>
        <v>28177779.013274338</v>
      </c>
      <c r="AJ3478" s="19">
        <f t="shared" si="1044"/>
        <v>4727216.6376190251</v>
      </c>
      <c r="AK3478" s="20">
        <f t="shared" si="1037"/>
        <v>0.1677639900359808</v>
      </c>
      <c r="AL3478" s="55"/>
      <c r="AM3478" s="55"/>
      <c r="AN3478" s="55"/>
      <c r="AO3478" s="55"/>
      <c r="AP3478" s="28" t="str">
        <f t="shared" si="1038"/>
        <v>20235</v>
      </c>
      <c r="AQ3478" s="28" t="str">
        <f t="shared" si="1039"/>
        <v/>
      </c>
      <c r="AR3478" s="206" t="str">
        <f t="shared" si="1040"/>
        <v>C66 SERVICE</v>
      </c>
      <c r="AS3478" s="22" t="str">
        <f t="shared" si="1041"/>
        <v/>
      </c>
      <c r="AT3478" s="24" t="str">
        <f t="shared" si="1042"/>
        <v/>
      </c>
    </row>
    <row r="3479" spans="1:46" s="12" customFormat="1" ht="42">
      <c r="A3479" s="33" t="str">
        <f t="shared" si="1031"/>
        <v/>
      </c>
      <c r="B3479" s="52"/>
      <c r="C3479" s="52"/>
      <c r="D3479" s="33" t="str">
        <f t="shared" si="1032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33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4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30"/>
        <v/>
      </c>
      <c r="AA3479" s="128"/>
      <c r="AB3479" s="129">
        <v>146000</v>
      </c>
      <c r="AC3479" s="130">
        <f t="shared" si="1035"/>
        <v>0</v>
      </c>
      <c r="AD3479" s="153"/>
      <c r="AE3479" s="154">
        <f t="shared" si="1036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43"/>
        <v>28177779.013274338</v>
      </c>
      <c r="AJ3479" s="19">
        <f t="shared" si="1044"/>
        <v>4727216.6376190251</v>
      </c>
      <c r="AK3479" s="20">
        <f t="shared" si="1037"/>
        <v>0.1677639900359808</v>
      </c>
      <c r="AL3479" s="55"/>
      <c r="AM3479" s="55"/>
      <c r="AN3479" s="55"/>
      <c r="AO3479" s="55"/>
      <c r="AP3479" s="28" t="str">
        <f t="shared" si="1038"/>
        <v>20235</v>
      </c>
      <c r="AQ3479" s="28" t="str">
        <f t="shared" si="1039"/>
        <v/>
      </c>
      <c r="AR3479" s="206" t="str">
        <f t="shared" si="1040"/>
        <v>C66 SERVICE</v>
      </c>
      <c r="AS3479" s="22" t="str">
        <f t="shared" si="1041"/>
        <v/>
      </c>
      <c r="AT3479" s="24" t="str">
        <f t="shared" si="1042"/>
        <v/>
      </c>
    </row>
    <row r="3480" spans="1:46" s="12" customFormat="1" ht="42">
      <c r="A3480" s="33" t="str">
        <f t="shared" si="1031"/>
        <v/>
      </c>
      <c r="B3480" s="52"/>
      <c r="C3480" s="52"/>
      <c r="D3480" s="33" t="str">
        <f t="shared" si="1032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33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4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30"/>
        <v/>
      </c>
      <c r="AA3480" s="128"/>
      <c r="AB3480" s="129">
        <v>12000</v>
      </c>
      <c r="AC3480" s="130">
        <f t="shared" si="1035"/>
        <v>0</v>
      </c>
      <c r="AD3480" s="153"/>
      <c r="AE3480" s="154">
        <f t="shared" si="1036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43"/>
        <v>28177779.013274338</v>
      </c>
      <c r="AJ3480" s="19">
        <f t="shared" si="1044"/>
        <v>4727216.6376190251</v>
      </c>
      <c r="AK3480" s="20">
        <f t="shared" si="1037"/>
        <v>0.1677639900359808</v>
      </c>
      <c r="AL3480" s="55"/>
      <c r="AM3480" s="55"/>
      <c r="AN3480" s="55"/>
      <c r="AO3480" s="55"/>
      <c r="AP3480" s="28" t="str">
        <f t="shared" si="1038"/>
        <v>20235</v>
      </c>
      <c r="AQ3480" s="28" t="str">
        <f t="shared" si="1039"/>
        <v/>
      </c>
      <c r="AR3480" s="206" t="str">
        <f t="shared" si="1040"/>
        <v>C66 SERVICE</v>
      </c>
      <c r="AS3480" s="22" t="str">
        <f t="shared" si="1041"/>
        <v/>
      </c>
      <c r="AT3480" s="24" t="str">
        <f t="shared" si="1042"/>
        <v/>
      </c>
    </row>
    <row r="3481" spans="1:46" s="12" customFormat="1" ht="42">
      <c r="A3481" s="33" t="str">
        <f t="shared" si="1031"/>
        <v/>
      </c>
      <c r="B3481" s="52"/>
      <c r="C3481" s="52"/>
      <c r="D3481" s="33" t="str">
        <f t="shared" si="1032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33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4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30"/>
        <v/>
      </c>
      <c r="AA3481" s="128"/>
      <c r="AB3481" s="129">
        <v>116000</v>
      </c>
      <c r="AC3481" s="130">
        <f t="shared" si="1035"/>
        <v>0</v>
      </c>
      <c r="AD3481" s="153"/>
      <c r="AE3481" s="154">
        <f t="shared" si="1036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43"/>
        <v>28177779.013274338</v>
      </c>
      <c r="AJ3481" s="19">
        <f t="shared" si="1044"/>
        <v>4727216.6376190251</v>
      </c>
      <c r="AK3481" s="20">
        <f t="shared" si="1037"/>
        <v>0.1677639900359808</v>
      </c>
      <c r="AL3481" s="55"/>
      <c r="AM3481" s="55"/>
      <c r="AN3481" s="55"/>
      <c r="AO3481" s="55"/>
      <c r="AP3481" s="28" t="str">
        <f t="shared" si="1038"/>
        <v>20235</v>
      </c>
      <c r="AQ3481" s="28" t="str">
        <f t="shared" si="1039"/>
        <v/>
      </c>
      <c r="AR3481" s="206" t="str">
        <f t="shared" si="1040"/>
        <v>C66 SERVICE</v>
      </c>
      <c r="AS3481" s="22" t="str">
        <f t="shared" si="1041"/>
        <v/>
      </c>
      <c r="AT3481" s="24" t="str">
        <f t="shared" si="1042"/>
        <v/>
      </c>
    </row>
    <row r="3482" spans="1:46" s="12" customFormat="1" ht="42">
      <c r="A3482" s="33" t="str">
        <f t="shared" si="1031"/>
        <v/>
      </c>
      <c r="B3482" s="52"/>
      <c r="C3482" s="52"/>
      <c r="D3482" s="33" t="str">
        <f t="shared" si="1032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33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4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30"/>
        <v/>
      </c>
      <c r="AA3482" s="128"/>
      <c r="AB3482" s="129">
        <v>275000</v>
      </c>
      <c r="AC3482" s="130">
        <f t="shared" si="1035"/>
        <v>0</v>
      </c>
      <c r="AD3482" s="153"/>
      <c r="AE3482" s="154">
        <f t="shared" si="1036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43"/>
        <v>13640480.497522123</v>
      </c>
      <c r="AJ3482" s="19">
        <f t="shared" si="1044"/>
        <v>1928605.8020906283</v>
      </c>
      <c r="AK3482" s="20">
        <f t="shared" si="1037"/>
        <v>0.1413884065477731</v>
      </c>
      <c r="AL3482" s="55"/>
      <c r="AM3482" s="55"/>
      <c r="AN3482" s="55"/>
      <c r="AO3482" s="55"/>
      <c r="AP3482" s="28" t="str">
        <f t="shared" si="1038"/>
        <v>20236</v>
      </c>
      <c r="AQ3482" s="28" t="str">
        <f t="shared" si="1039"/>
        <v/>
      </c>
      <c r="AR3482" s="206" t="str">
        <f t="shared" si="1040"/>
        <v>C66 SERVICE</v>
      </c>
      <c r="AS3482" s="22" t="str">
        <f t="shared" si="1041"/>
        <v/>
      </c>
      <c r="AT3482" s="24" t="str">
        <f t="shared" si="1042"/>
        <v/>
      </c>
    </row>
    <row r="3483" spans="1:46" s="12" customFormat="1" ht="42">
      <c r="A3483" s="33" t="str">
        <f t="shared" si="1031"/>
        <v/>
      </c>
      <c r="B3483" s="52"/>
      <c r="C3483" s="52"/>
      <c r="D3483" s="33" t="str">
        <f t="shared" si="1032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33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4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30"/>
        <v/>
      </c>
      <c r="AA3483" s="128"/>
      <c r="AB3483" s="129">
        <v>316000</v>
      </c>
      <c r="AC3483" s="130">
        <f t="shared" si="1035"/>
        <v>0</v>
      </c>
      <c r="AD3483" s="153"/>
      <c r="AE3483" s="154">
        <f t="shared" si="1036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43"/>
        <v>13640480.497522123</v>
      </c>
      <c r="AJ3483" s="19">
        <f t="shared" si="1044"/>
        <v>1928605.8020906283</v>
      </c>
      <c r="AK3483" s="20">
        <f t="shared" si="1037"/>
        <v>0.1413884065477731</v>
      </c>
      <c r="AL3483" s="55"/>
      <c r="AM3483" s="55"/>
      <c r="AN3483" s="55"/>
      <c r="AO3483" s="55"/>
      <c r="AP3483" s="28" t="str">
        <f t="shared" si="1038"/>
        <v>20236</v>
      </c>
      <c r="AQ3483" s="28" t="str">
        <f t="shared" si="1039"/>
        <v/>
      </c>
      <c r="AR3483" s="206" t="str">
        <f t="shared" si="1040"/>
        <v>C66 SERVICE</v>
      </c>
      <c r="AS3483" s="22" t="str">
        <f t="shared" si="1041"/>
        <v/>
      </c>
      <c r="AT3483" s="24" t="str">
        <f t="shared" si="1042"/>
        <v/>
      </c>
    </row>
    <row r="3484" spans="1:46" s="12" customFormat="1" ht="42">
      <c r="A3484" s="33" t="str">
        <f t="shared" si="1031"/>
        <v/>
      </c>
      <c r="B3484" s="52"/>
      <c r="C3484" s="52"/>
      <c r="D3484" s="33" t="str">
        <f t="shared" si="1032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33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4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30"/>
        <v/>
      </c>
      <c r="AA3484" s="128"/>
      <c r="AB3484" s="129">
        <v>8000</v>
      </c>
      <c r="AC3484" s="130">
        <f t="shared" si="1035"/>
        <v>0</v>
      </c>
      <c r="AD3484" s="153"/>
      <c r="AE3484" s="154">
        <f t="shared" si="1036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43"/>
        <v>13640480.497522123</v>
      </c>
      <c r="AJ3484" s="19">
        <f t="shared" si="1044"/>
        <v>1928605.8020906283</v>
      </c>
      <c r="AK3484" s="20">
        <f t="shared" si="1037"/>
        <v>0.1413884065477731</v>
      </c>
      <c r="AL3484" s="55"/>
      <c r="AM3484" s="55"/>
      <c r="AN3484" s="55"/>
      <c r="AO3484" s="55"/>
      <c r="AP3484" s="28" t="str">
        <f t="shared" si="1038"/>
        <v>20236</v>
      </c>
      <c r="AQ3484" s="28" t="str">
        <f t="shared" si="1039"/>
        <v/>
      </c>
      <c r="AR3484" s="206" t="str">
        <f t="shared" si="1040"/>
        <v>C66 SERVICE</v>
      </c>
      <c r="AS3484" s="22" t="str">
        <f t="shared" si="1041"/>
        <v/>
      </c>
      <c r="AT3484" s="24" t="str">
        <f t="shared" si="1042"/>
        <v/>
      </c>
    </row>
    <row r="3485" spans="1:46" s="12" customFormat="1" ht="42">
      <c r="A3485" s="33" t="str">
        <f t="shared" si="1031"/>
        <v/>
      </c>
      <c r="B3485" s="52"/>
      <c r="C3485" s="52"/>
      <c r="D3485" s="33" t="str">
        <f t="shared" si="1032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33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4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30"/>
        <v/>
      </c>
      <c r="AA3485" s="128"/>
      <c r="AB3485" s="129">
        <v>24000</v>
      </c>
      <c r="AC3485" s="130">
        <f t="shared" si="1035"/>
        <v>0</v>
      </c>
      <c r="AD3485" s="153"/>
      <c r="AE3485" s="154">
        <f t="shared" si="1036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43"/>
        <v>13640480.497522123</v>
      </c>
      <c r="AJ3485" s="19">
        <f t="shared" si="1044"/>
        <v>1928605.8020906283</v>
      </c>
      <c r="AK3485" s="20">
        <f t="shared" si="1037"/>
        <v>0.1413884065477731</v>
      </c>
      <c r="AL3485" s="55"/>
      <c r="AM3485" s="55"/>
      <c r="AN3485" s="55"/>
      <c r="AO3485" s="55"/>
      <c r="AP3485" s="28" t="str">
        <f t="shared" si="1038"/>
        <v>20236</v>
      </c>
      <c r="AQ3485" s="28" t="str">
        <f t="shared" si="1039"/>
        <v/>
      </c>
      <c r="AR3485" s="206" t="str">
        <f t="shared" si="1040"/>
        <v>C66 SERVICE</v>
      </c>
      <c r="AS3485" s="22" t="str">
        <f t="shared" si="1041"/>
        <v/>
      </c>
      <c r="AT3485" s="24" t="str">
        <f t="shared" si="1042"/>
        <v/>
      </c>
    </row>
    <row r="3486" spans="1:46" s="12" customFormat="1" ht="42">
      <c r="A3486" s="33" t="str">
        <f t="shared" si="1031"/>
        <v/>
      </c>
      <c r="B3486" s="52"/>
      <c r="C3486" s="52"/>
      <c r="D3486" s="33" t="str">
        <f t="shared" si="1032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33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4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45">IF(X3486="","",X3486*MAX(O3486,N3486))</f>
        <v/>
      </c>
      <c r="AA3486" s="128"/>
      <c r="AB3486" s="129">
        <v>514000</v>
      </c>
      <c r="AC3486" s="130">
        <f t="shared" si="1035"/>
        <v>0</v>
      </c>
      <c r="AD3486" s="153"/>
      <c r="AE3486" s="154">
        <f t="shared" si="1036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43"/>
        <v>15951056.41591504</v>
      </c>
      <c r="AJ3486" s="19">
        <f t="shared" si="1044"/>
        <v>1966354.6022462982</v>
      </c>
      <c r="AK3486" s="20">
        <f t="shared" si="1037"/>
        <v>0.12327425538313459</v>
      </c>
      <c r="AL3486" s="55"/>
      <c r="AM3486" s="55"/>
      <c r="AN3486" s="55"/>
      <c r="AO3486" s="55"/>
      <c r="AP3486" s="28" t="str">
        <f t="shared" si="1038"/>
        <v>20237</v>
      </c>
      <c r="AQ3486" s="28" t="str">
        <f t="shared" si="1039"/>
        <v/>
      </c>
      <c r="AR3486" s="206" t="str">
        <f t="shared" si="1040"/>
        <v>C66 SERVICE</v>
      </c>
      <c r="AS3486" s="22" t="str">
        <f t="shared" si="1041"/>
        <v/>
      </c>
      <c r="AT3486" s="24" t="str">
        <f t="shared" si="1042"/>
        <v/>
      </c>
    </row>
    <row r="3487" spans="1:46" s="12" customFormat="1" ht="42">
      <c r="A3487" s="33" t="str">
        <f t="shared" si="1031"/>
        <v/>
      </c>
      <c r="B3487" s="52"/>
      <c r="C3487" s="52"/>
      <c r="D3487" s="33" t="str">
        <f t="shared" si="1032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33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4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45"/>
        <v/>
      </c>
      <c r="AA3487" s="128"/>
      <c r="AB3487" s="129">
        <v>187000</v>
      </c>
      <c r="AC3487" s="130">
        <f t="shared" si="1035"/>
        <v>0</v>
      </c>
      <c r="AD3487" s="153"/>
      <c r="AE3487" s="154">
        <f t="shared" si="1036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43"/>
        <v>15951056.41591504</v>
      </c>
      <c r="AJ3487" s="19">
        <f t="shared" si="1044"/>
        <v>1966354.6022462982</v>
      </c>
      <c r="AK3487" s="20">
        <f t="shared" si="1037"/>
        <v>0.12327425538313459</v>
      </c>
      <c r="AL3487" s="55"/>
      <c r="AM3487" s="55"/>
      <c r="AN3487" s="55"/>
      <c r="AO3487" s="55"/>
      <c r="AP3487" s="28" t="str">
        <f t="shared" si="1038"/>
        <v>20237</v>
      </c>
      <c r="AQ3487" s="28" t="str">
        <f t="shared" si="1039"/>
        <v/>
      </c>
      <c r="AR3487" s="206" t="str">
        <f t="shared" si="1040"/>
        <v>C66 SERVICE</v>
      </c>
      <c r="AS3487" s="22" t="str">
        <f t="shared" si="1041"/>
        <v/>
      </c>
      <c r="AT3487" s="24" t="str">
        <f t="shared" si="1042"/>
        <v/>
      </c>
    </row>
    <row r="3488" spans="1:46" s="12" customFormat="1" ht="42">
      <c r="A3488" s="33" t="str">
        <f t="shared" si="1031"/>
        <v/>
      </c>
      <c r="B3488" s="52"/>
      <c r="C3488" s="52"/>
      <c r="D3488" s="33" t="str">
        <f t="shared" si="1032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33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4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45"/>
        <v/>
      </c>
      <c r="AA3488" s="128"/>
      <c r="AB3488" s="129">
        <v>1000</v>
      </c>
      <c r="AC3488" s="130">
        <f t="shared" si="1035"/>
        <v>0</v>
      </c>
      <c r="AD3488" s="153"/>
      <c r="AE3488" s="154">
        <f t="shared" si="1036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43"/>
        <v>15951056.41591504</v>
      </c>
      <c r="AJ3488" s="19">
        <f t="shared" si="1044"/>
        <v>1966354.6022462982</v>
      </c>
      <c r="AK3488" s="20">
        <f t="shared" si="1037"/>
        <v>0.12327425538313459</v>
      </c>
      <c r="AL3488" s="55"/>
      <c r="AM3488" s="55"/>
      <c r="AN3488" s="55"/>
      <c r="AO3488" s="55"/>
      <c r="AP3488" s="28" t="str">
        <f t="shared" si="1038"/>
        <v>20237</v>
      </c>
      <c r="AQ3488" s="28" t="str">
        <f t="shared" si="1039"/>
        <v/>
      </c>
      <c r="AR3488" s="206" t="str">
        <f t="shared" si="1040"/>
        <v>C66 SERVICE</v>
      </c>
      <c r="AS3488" s="22" t="str">
        <f t="shared" si="1041"/>
        <v/>
      </c>
      <c r="AT3488" s="24" t="str">
        <f t="shared" si="1042"/>
        <v/>
      </c>
    </row>
    <row r="3489" spans="1:46" s="12" customFormat="1" ht="42">
      <c r="A3489" s="33" t="str">
        <f t="shared" si="1031"/>
        <v/>
      </c>
      <c r="B3489" s="52"/>
      <c r="C3489" s="52"/>
      <c r="D3489" s="33" t="str">
        <f t="shared" si="1032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33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4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45"/>
        <v/>
      </c>
      <c r="AA3489" s="128"/>
      <c r="AB3489" s="129">
        <v>0</v>
      </c>
      <c r="AC3489" s="130">
        <f t="shared" si="1035"/>
        <v>0</v>
      </c>
      <c r="AD3489" s="153"/>
      <c r="AE3489" s="154">
        <f t="shared" si="1036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43"/>
        <v>15951056.41591504</v>
      </c>
      <c r="AJ3489" s="19">
        <f t="shared" si="1044"/>
        <v>1966354.6022462982</v>
      </c>
      <c r="AK3489" s="20">
        <f t="shared" si="1037"/>
        <v>0.12327425538313459</v>
      </c>
      <c r="AL3489" s="55"/>
      <c r="AM3489" s="55"/>
      <c r="AN3489" s="55"/>
      <c r="AO3489" s="55"/>
      <c r="AP3489" s="28" t="str">
        <f t="shared" si="1038"/>
        <v>20237</v>
      </c>
      <c r="AQ3489" s="28" t="str">
        <f t="shared" si="1039"/>
        <v/>
      </c>
      <c r="AR3489" s="206" t="str">
        <f t="shared" si="1040"/>
        <v>C66 SERVICE</v>
      </c>
      <c r="AS3489" s="22" t="str">
        <f t="shared" si="1041"/>
        <v/>
      </c>
      <c r="AT3489" s="24" t="str">
        <f t="shared" si="1042"/>
        <v/>
      </c>
    </row>
    <row r="3490" spans="1:46" s="12" customFormat="1" ht="42">
      <c r="A3490" s="33" t="str">
        <f t="shared" si="1031"/>
        <v/>
      </c>
      <c r="B3490" s="52"/>
      <c r="C3490" s="52"/>
      <c r="D3490" s="33" t="str">
        <f t="shared" si="1032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33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4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45"/>
        <v/>
      </c>
      <c r="AA3490" s="128"/>
      <c r="AB3490" s="129">
        <v>275000</v>
      </c>
      <c r="AC3490" s="130">
        <f t="shared" si="1035"/>
        <v>0</v>
      </c>
      <c r="AD3490" s="153"/>
      <c r="AE3490" s="154">
        <f t="shared" si="1036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43"/>
        <v>22953677.784070797</v>
      </c>
      <c r="AJ3490" s="19">
        <f t="shared" si="1044"/>
        <v>4168706.6744155753</v>
      </c>
      <c r="AK3490" s="20">
        <f t="shared" si="1037"/>
        <v>0.18161388835511752</v>
      </c>
      <c r="AL3490" s="55"/>
      <c r="AM3490" s="55"/>
      <c r="AN3490" s="55"/>
      <c r="AO3490" s="55"/>
      <c r="AP3490" s="28" t="str">
        <f t="shared" si="1038"/>
        <v>20238</v>
      </c>
      <c r="AQ3490" s="28" t="str">
        <f t="shared" si="1039"/>
        <v/>
      </c>
      <c r="AR3490" s="206" t="str">
        <f t="shared" si="1040"/>
        <v>C66 SERVICE</v>
      </c>
      <c r="AS3490" s="22" t="str">
        <f t="shared" si="1041"/>
        <v/>
      </c>
      <c r="AT3490" s="24" t="str">
        <f t="shared" si="1042"/>
        <v/>
      </c>
    </row>
    <row r="3491" spans="1:46" s="12" customFormat="1" ht="42">
      <c r="A3491" s="33" t="str">
        <f t="shared" si="1031"/>
        <v/>
      </c>
      <c r="B3491" s="52"/>
      <c r="C3491" s="52"/>
      <c r="D3491" s="33" t="str">
        <f t="shared" si="1032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33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4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45"/>
        <v/>
      </c>
      <c r="AA3491" s="128"/>
      <c r="AB3491" s="129">
        <v>160000</v>
      </c>
      <c r="AC3491" s="130">
        <f t="shared" si="1035"/>
        <v>0</v>
      </c>
      <c r="AD3491" s="153"/>
      <c r="AE3491" s="154">
        <f t="shared" si="1036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43"/>
        <v>22953677.784070797</v>
      </c>
      <c r="AJ3491" s="19">
        <f t="shared" si="1044"/>
        <v>4168706.6744155753</v>
      </c>
      <c r="AK3491" s="20">
        <f t="shared" si="1037"/>
        <v>0.18161388835511752</v>
      </c>
      <c r="AL3491" s="55"/>
      <c r="AM3491" s="55"/>
      <c r="AN3491" s="55"/>
      <c r="AO3491" s="55"/>
      <c r="AP3491" s="28" t="str">
        <f t="shared" si="1038"/>
        <v>20238</v>
      </c>
      <c r="AQ3491" s="28" t="str">
        <f t="shared" si="1039"/>
        <v/>
      </c>
      <c r="AR3491" s="206" t="str">
        <f t="shared" si="1040"/>
        <v>C66 SERVICE</v>
      </c>
      <c r="AS3491" s="22" t="str">
        <f t="shared" si="1041"/>
        <v/>
      </c>
      <c r="AT3491" s="24" t="str">
        <f t="shared" si="1042"/>
        <v/>
      </c>
    </row>
    <row r="3492" spans="1:46" s="12" customFormat="1" ht="42">
      <c r="A3492" s="33" t="str">
        <f t="shared" si="1031"/>
        <v/>
      </c>
      <c r="B3492" s="52"/>
      <c r="C3492" s="52"/>
      <c r="D3492" s="33" t="str">
        <f t="shared" si="1032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33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4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45"/>
        <v/>
      </c>
      <c r="AA3492" s="128"/>
      <c r="AB3492" s="129">
        <v>10000</v>
      </c>
      <c r="AC3492" s="130">
        <f t="shared" si="1035"/>
        <v>0</v>
      </c>
      <c r="AD3492" s="153"/>
      <c r="AE3492" s="154">
        <f t="shared" si="1036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43"/>
        <v>22953677.784070797</v>
      </c>
      <c r="AJ3492" s="19">
        <f t="shared" si="1044"/>
        <v>4168706.6744155753</v>
      </c>
      <c r="AK3492" s="20">
        <f t="shared" si="1037"/>
        <v>0.18161388835511752</v>
      </c>
      <c r="AL3492" s="55"/>
      <c r="AM3492" s="55"/>
      <c r="AN3492" s="55"/>
      <c r="AO3492" s="55"/>
      <c r="AP3492" s="28" t="str">
        <f t="shared" si="1038"/>
        <v>20238</v>
      </c>
      <c r="AQ3492" s="28" t="str">
        <f t="shared" si="1039"/>
        <v/>
      </c>
      <c r="AR3492" s="206" t="str">
        <f t="shared" si="1040"/>
        <v>C66 SERVICE</v>
      </c>
      <c r="AS3492" s="22" t="str">
        <f t="shared" si="1041"/>
        <v/>
      </c>
      <c r="AT3492" s="24" t="str">
        <f t="shared" si="1042"/>
        <v/>
      </c>
    </row>
    <row r="3493" spans="1:46" s="12" customFormat="1" ht="42">
      <c r="A3493" s="33" t="str">
        <f t="shared" si="1031"/>
        <v/>
      </c>
      <c r="B3493" s="52"/>
      <c r="C3493" s="52"/>
      <c r="D3493" s="33" t="str">
        <f t="shared" si="1032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33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4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45"/>
        <v/>
      </c>
      <c r="AA3493" s="128"/>
      <c r="AB3493" s="129">
        <v>12000</v>
      </c>
      <c r="AC3493" s="130">
        <f t="shared" si="1035"/>
        <v>0</v>
      </c>
      <c r="AD3493" s="153"/>
      <c r="AE3493" s="154">
        <f t="shared" si="1036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43"/>
        <v>22953677.784070797</v>
      </c>
      <c r="AJ3493" s="19">
        <f t="shared" si="1044"/>
        <v>4168706.6744155753</v>
      </c>
      <c r="AK3493" s="20">
        <f t="shared" si="1037"/>
        <v>0.18161388835511752</v>
      </c>
      <c r="AL3493" s="55"/>
      <c r="AM3493" s="55"/>
      <c r="AN3493" s="55"/>
      <c r="AO3493" s="55"/>
      <c r="AP3493" s="28" t="str">
        <f t="shared" si="1038"/>
        <v>20238</v>
      </c>
      <c r="AQ3493" s="28" t="str">
        <f t="shared" si="1039"/>
        <v/>
      </c>
      <c r="AR3493" s="206" t="str">
        <f t="shared" si="1040"/>
        <v>C66 SERVICE</v>
      </c>
      <c r="AS3493" s="22" t="str">
        <f t="shared" si="1041"/>
        <v/>
      </c>
      <c r="AT3493" s="24" t="str">
        <f t="shared" si="1042"/>
        <v/>
      </c>
    </row>
    <row r="3494" spans="1:46" s="12" customFormat="1" ht="42">
      <c r="A3494" s="33" t="str">
        <f t="shared" si="1031"/>
        <v/>
      </c>
      <c r="B3494" s="52"/>
      <c r="C3494" s="52"/>
      <c r="D3494" s="33" t="str">
        <f t="shared" si="1032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33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4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45"/>
        <v/>
      </c>
      <c r="AA3494" s="128"/>
      <c r="AB3494" s="129">
        <v>234000</v>
      </c>
      <c r="AC3494" s="130">
        <f t="shared" si="1035"/>
        <v>0</v>
      </c>
      <c r="AD3494" s="153"/>
      <c r="AE3494" s="154">
        <f t="shared" si="1036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43"/>
        <v>26078226.463097349</v>
      </c>
      <c r="AJ3494" s="19">
        <f t="shared" si="1044"/>
        <v>3137870.4427774516</v>
      </c>
      <c r="AK3494" s="20">
        <f t="shared" si="1037"/>
        <v>0.12032530077218917</v>
      </c>
      <c r="AL3494" s="55"/>
      <c r="AM3494" s="55"/>
      <c r="AN3494" s="55"/>
      <c r="AO3494" s="55"/>
      <c r="AP3494" s="28" t="str">
        <f t="shared" si="1038"/>
        <v>20239</v>
      </c>
      <c r="AQ3494" s="28" t="str">
        <f t="shared" si="1039"/>
        <v/>
      </c>
      <c r="AR3494" s="206" t="str">
        <f t="shared" si="1040"/>
        <v>C66 SERVICE</v>
      </c>
      <c r="AS3494" s="22" t="str">
        <f t="shared" si="1041"/>
        <v/>
      </c>
      <c r="AT3494" s="24" t="str">
        <f t="shared" si="1042"/>
        <v/>
      </c>
    </row>
    <row r="3495" spans="1:46" s="12" customFormat="1" ht="42">
      <c r="A3495" s="33" t="str">
        <f t="shared" si="1031"/>
        <v/>
      </c>
      <c r="B3495" s="52"/>
      <c r="C3495" s="52"/>
      <c r="D3495" s="33" t="str">
        <f t="shared" si="1032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33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4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45"/>
        <v/>
      </c>
      <c r="AA3495" s="128"/>
      <c r="AB3495" s="129">
        <v>159000</v>
      </c>
      <c r="AC3495" s="130">
        <f t="shared" si="1035"/>
        <v>0</v>
      </c>
      <c r="AD3495" s="153"/>
      <c r="AE3495" s="154">
        <f t="shared" si="1036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43"/>
        <v>26078226.463097349</v>
      </c>
      <c r="AJ3495" s="19">
        <f t="shared" si="1044"/>
        <v>3137870.4427774516</v>
      </c>
      <c r="AK3495" s="20">
        <f t="shared" si="1037"/>
        <v>0.12032530077218917</v>
      </c>
      <c r="AL3495" s="55"/>
      <c r="AM3495" s="55"/>
      <c r="AN3495" s="55"/>
      <c r="AO3495" s="55"/>
      <c r="AP3495" s="28" t="str">
        <f t="shared" si="1038"/>
        <v>20239</v>
      </c>
      <c r="AQ3495" s="28" t="str">
        <f t="shared" si="1039"/>
        <v/>
      </c>
      <c r="AR3495" s="206" t="str">
        <f t="shared" si="1040"/>
        <v>C66 SERVICE</v>
      </c>
      <c r="AS3495" s="22" t="str">
        <f t="shared" si="1041"/>
        <v/>
      </c>
      <c r="AT3495" s="24" t="str">
        <f t="shared" si="1042"/>
        <v/>
      </c>
    </row>
    <row r="3496" spans="1:46" s="12" customFormat="1" ht="42">
      <c r="A3496" s="33" t="str">
        <f t="shared" si="1031"/>
        <v/>
      </c>
      <c r="B3496" s="52"/>
      <c r="C3496" s="52"/>
      <c r="D3496" s="33" t="str">
        <f t="shared" si="1032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33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4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45"/>
        <v/>
      </c>
      <c r="AA3496" s="128"/>
      <c r="AB3496" s="129">
        <v>2000</v>
      </c>
      <c r="AC3496" s="130">
        <f t="shared" si="1035"/>
        <v>0</v>
      </c>
      <c r="AD3496" s="153"/>
      <c r="AE3496" s="154">
        <f t="shared" si="1036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43"/>
        <v>26078226.463097349</v>
      </c>
      <c r="AJ3496" s="19">
        <f t="shared" si="1044"/>
        <v>3137870.4427774516</v>
      </c>
      <c r="AK3496" s="20">
        <f t="shared" si="1037"/>
        <v>0.12032530077218917</v>
      </c>
      <c r="AL3496" s="55"/>
      <c r="AM3496" s="55"/>
      <c r="AN3496" s="55"/>
      <c r="AO3496" s="55"/>
      <c r="AP3496" s="28" t="str">
        <f t="shared" si="1038"/>
        <v>20239</v>
      </c>
      <c r="AQ3496" s="28" t="str">
        <f t="shared" si="1039"/>
        <v/>
      </c>
      <c r="AR3496" s="206" t="str">
        <f t="shared" si="1040"/>
        <v>C66 SERVICE</v>
      </c>
      <c r="AS3496" s="22" t="str">
        <f t="shared" si="1041"/>
        <v/>
      </c>
      <c r="AT3496" s="24" t="str">
        <f t="shared" si="1042"/>
        <v/>
      </c>
    </row>
    <row r="3497" spans="1:46" s="12" customFormat="1" ht="42">
      <c r="A3497" s="33" t="str">
        <f t="shared" si="1031"/>
        <v/>
      </c>
      <c r="B3497" s="52"/>
      <c r="C3497" s="52"/>
      <c r="D3497" s="33" t="str">
        <f t="shared" si="1032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33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4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45"/>
        <v/>
      </c>
      <c r="AA3497" s="128"/>
      <c r="AB3497" s="129">
        <v>36000</v>
      </c>
      <c r="AC3497" s="130">
        <f t="shared" si="1035"/>
        <v>0</v>
      </c>
      <c r="AD3497" s="153"/>
      <c r="AE3497" s="154">
        <f t="shared" si="1036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43"/>
        <v>26078226.463097349</v>
      </c>
      <c r="AJ3497" s="19">
        <f t="shared" si="1044"/>
        <v>3137870.4427774516</v>
      </c>
      <c r="AK3497" s="20">
        <f t="shared" si="1037"/>
        <v>0.12032530077218917</v>
      </c>
      <c r="AL3497" s="55"/>
      <c r="AM3497" s="55"/>
      <c r="AN3497" s="55"/>
      <c r="AO3497" s="55"/>
      <c r="AP3497" s="28" t="str">
        <f t="shared" si="1038"/>
        <v>20239</v>
      </c>
      <c r="AQ3497" s="28" t="str">
        <f t="shared" si="1039"/>
        <v/>
      </c>
      <c r="AR3497" s="206" t="str">
        <f t="shared" si="1040"/>
        <v>C66 SERVICE</v>
      </c>
      <c r="AS3497" s="22" t="str">
        <f t="shared" si="1041"/>
        <v/>
      </c>
      <c r="AT3497" s="24" t="str">
        <f t="shared" si="1042"/>
        <v/>
      </c>
    </row>
    <row r="3498" spans="1:46" s="12" customFormat="1" ht="42">
      <c r="A3498" s="33" t="str">
        <f t="shared" si="1031"/>
        <v/>
      </c>
      <c r="B3498" s="56"/>
      <c r="C3498" s="56"/>
      <c r="D3498" s="33" t="str">
        <f t="shared" si="1032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33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4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35"/>
        <v>0</v>
      </c>
      <c r="AD3498" s="153"/>
      <c r="AE3498" s="154">
        <f t="shared" si="1036"/>
        <v>0</v>
      </c>
      <c r="AF3498" s="154"/>
      <c r="AG3498" s="154"/>
      <c r="AH3498" s="154"/>
      <c r="AI3498" s="19">
        <f t="shared" si="1043"/>
        <v>5219988.5752212387</v>
      </c>
      <c r="AJ3498" s="19">
        <f t="shared" si="1044"/>
        <v>631627.0013460177</v>
      </c>
      <c r="AK3498" s="20">
        <f t="shared" si="1037"/>
        <v>0.12100160608478869</v>
      </c>
      <c r="AL3498" s="55"/>
      <c r="AM3498" s="55"/>
      <c r="AN3498" s="55"/>
      <c r="AO3498" s="55"/>
      <c r="AP3498" s="28" t="str">
        <f t="shared" si="1038"/>
        <v>202310</v>
      </c>
      <c r="AQ3498" s="28" t="str">
        <f t="shared" si="1039"/>
        <v/>
      </c>
      <c r="AR3498" s="206" t="str">
        <f t="shared" si="1040"/>
        <v>C66 SERVICE</v>
      </c>
      <c r="AS3498" s="22" t="str">
        <f t="shared" si="1041"/>
        <v/>
      </c>
      <c r="AT3498" s="24" t="str">
        <f t="shared" si="1042"/>
        <v/>
      </c>
    </row>
    <row r="3499" spans="1:46" s="12" customFormat="1" ht="42">
      <c r="A3499" s="33" t="str">
        <f t="shared" si="1031"/>
        <v/>
      </c>
      <c r="B3499" s="56"/>
      <c r="C3499" s="56"/>
      <c r="D3499" s="33" t="str">
        <f t="shared" si="1032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33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4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35"/>
        <v>0</v>
      </c>
      <c r="AD3499" s="153"/>
      <c r="AE3499" s="154">
        <f t="shared" si="1036"/>
        <v>0</v>
      </c>
      <c r="AF3499" s="154"/>
      <c r="AG3499" s="154"/>
      <c r="AH3499" s="154"/>
      <c r="AI3499" s="19">
        <f t="shared" si="1043"/>
        <v>5219988.5752212387</v>
      </c>
      <c r="AJ3499" s="19">
        <f t="shared" si="1044"/>
        <v>631627.0013460177</v>
      </c>
      <c r="AK3499" s="20">
        <f t="shared" si="1037"/>
        <v>0.12100160608478869</v>
      </c>
      <c r="AL3499" s="55"/>
      <c r="AM3499" s="55"/>
      <c r="AN3499" s="55"/>
      <c r="AO3499" s="55"/>
      <c r="AP3499" s="28" t="str">
        <f t="shared" si="1038"/>
        <v>202310</v>
      </c>
      <c r="AQ3499" s="28" t="str">
        <f t="shared" si="1039"/>
        <v/>
      </c>
      <c r="AR3499" s="206" t="str">
        <f t="shared" si="1040"/>
        <v>C66 SERVICE</v>
      </c>
      <c r="AS3499" s="22" t="str">
        <f t="shared" si="1041"/>
        <v/>
      </c>
      <c r="AT3499" s="24" t="str">
        <f t="shared" si="1042"/>
        <v/>
      </c>
    </row>
    <row r="3500" spans="1:46" s="12" customFormat="1" ht="42">
      <c r="A3500" s="33" t="str">
        <f t="shared" ref="A3500:A3563" si="1046">IF(C3500="cancel","cancel",IFERROR(IF(D3500="Q4","FY "&amp;RIGHT(B3500,2)-1&amp;"/"&amp;RIGHT(B3500,2),"FY "&amp;RIGHT(B3500,2)&amp;"/"&amp;RIGHT(B3500,2)+1),""))</f>
        <v/>
      </c>
      <c r="B3500" s="56"/>
      <c r="C3500" s="56"/>
      <c r="D3500" s="33" t="str">
        <f t="shared" ref="D3500:D3501" si="1047">IF(B3500="","",IF(AND(C3500&gt;=10,C3500&lt;=12),"Q3",IF(AND(C3500&gt;=1,C3500&lt;=3),"Q4",IF(AND(C3500&gt;=7,C3500&lt;=9),"Q2",IF(AND(C3500&gt;=4,C3500&lt;=6),"Q1")))))</f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ref="I3500:I3563" si="1048">IFERROR(IF(F3500="","",IF(F3500="TBA","TBA",IF(F3500="Cancel","Cancel",IF(AND(G3500&gt;=10,G3500&lt;=12),"Q3",IF(AND(G3500&gt;=1,G3500&lt;=3),"Q4",IF(AND(G3500&gt;=7,G3500&lt;=9),"Q2",IF(AND(G3500&gt;=4,G3500&lt;=6),"Q1"))))))),"")</f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ref="P3500:P3563" si="1049">IF(M3500="","",IF(AND(N3500&gt;0,L3500&lt;&gt;""),"MAIN UNIT",IF(AND(O3500&gt;0,L3500&lt;&gt;""),"SERVICE/ PARTS","C66 SERVICE/OTHERS")))</f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ref="AC3500:AC3563" si="1050">IF(R3500&lt;&gt;"",AB3500*AD3500,"")</f>
        <v>0</v>
      </c>
      <c r="AD3500" s="153"/>
      <c r="AE3500" s="154">
        <f t="shared" ref="AE3500:AE3563" si="1051">IF(Q3500="","",IF(Q3500="Yes",1,0))</f>
        <v>0</v>
      </c>
      <c r="AF3500" s="154"/>
      <c r="AG3500" s="154"/>
      <c r="AH3500" s="154"/>
      <c r="AI3500" s="19">
        <f t="shared" si="1043"/>
        <v>5219988.5752212387</v>
      </c>
      <c r="AJ3500" s="19">
        <f t="shared" si="1044"/>
        <v>631627.0013460177</v>
      </c>
      <c r="AK3500" s="20">
        <f t="shared" ref="AK3500:AK3563" si="1052">IF(AJ3500&gt;0,AJ3500/AI3500,"")</f>
        <v>0.12100160608478869</v>
      </c>
      <c r="AL3500" s="55"/>
      <c r="AM3500" s="55"/>
      <c r="AN3500" s="55"/>
      <c r="AO3500" s="55"/>
      <c r="AP3500" s="28" t="str">
        <f t="shared" ref="AP3500:AP3563" si="1053">IF(F3500="","",F3500&amp;G3500)</f>
        <v>202310</v>
      </c>
      <c r="AQ3500" s="28" t="str">
        <f t="shared" ref="AQ3500:AQ3563" si="1054">IF(W3500="","",F3500&amp;G3500&amp;W3500)</f>
        <v/>
      </c>
      <c r="AR3500" s="206" t="str">
        <f t="shared" ref="AR3500:AR3563" si="1055">IFERROR(IF(AND(M3500="YAMAHA", R3500="C28"), "YAMAHA_Non_Mounter", IF(AND(M3500="YAMAHA", R3500="C49"), "YAMAHA_Mounter", M3500)),"")</f>
        <v>C66 SERVICE</v>
      </c>
      <c r="AS3500" s="22" t="str">
        <f t="shared" ref="AS3500:AS3563" si="1056">IFERROR(IF(OR(G3500="TBA", G3500=""), "", DATEDIF(DATE(B3500, C3500, 1), DATE(F3500, G3500, 1), "M")),"")</f>
        <v/>
      </c>
      <c r="AT3500" s="24" t="str">
        <f t="shared" ref="AT3500:AT3563" si="1057">IF(ISNUMBER(AS3500), IF(AS3500&gt;=0, IF(AS3500&lt;=3, "0-3 months", IF(AS3500&lt;=6, "4-6 months", "&gt; 6 months"))), "")</f>
        <v/>
      </c>
    </row>
    <row r="3501" spans="1:46" s="12" customFormat="1" ht="42">
      <c r="A3501" s="33" t="str">
        <f t="shared" si="1046"/>
        <v/>
      </c>
      <c r="B3501" s="56"/>
      <c r="C3501" s="56"/>
      <c r="D3501" s="33" t="str">
        <f t="shared" si="1047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48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49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50"/>
        <v>0</v>
      </c>
      <c r="AD3501" s="153"/>
      <c r="AE3501" s="154">
        <f t="shared" si="1051"/>
        <v>0</v>
      </c>
      <c r="AF3501" s="154"/>
      <c r="AG3501" s="154"/>
      <c r="AH3501" s="154"/>
      <c r="AI3501" s="19">
        <f t="shared" si="1043"/>
        <v>5219988.5752212387</v>
      </c>
      <c r="AJ3501" s="19">
        <f t="shared" si="1044"/>
        <v>631627.0013460177</v>
      </c>
      <c r="AK3501" s="20">
        <f t="shared" si="1052"/>
        <v>0.12100160608478869</v>
      </c>
      <c r="AL3501" s="55"/>
      <c r="AM3501" s="55"/>
      <c r="AN3501" s="55"/>
      <c r="AO3501" s="55"/>
      <c r="AP3501" s="28" t="str">
        <f t="shared" si="1053"/>
        <v>202310</v>
      </c>
      <c r="AQ3501" s="28" t="str">
        <f t="shared" si="1054"/>
        <v/>
      </c>
      <c r="AR3501" s="206" t="str">
        <f t="shared" si="1055"/>
        <v>C66 SERVICE</v>
      </c>
      <c r="AS3501" s="22" t="str">
        <f t="shared" si="1056"/>
        <v/>
      </c>
      <c r="AT3501" s="24" t="str">
        <f t="shared" si="1057"/>
        <v/>
      </c>
    </row>
    <row r="3502" spans="1:46" s="12" customFormat="1" ht="42">
      <c r="A3502" s="57" t="str">
        <f t="shared" si="1046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48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49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50"/>
        <v>0</v>
      </c>
      <c r="AD3502" s="169"/>
      <c r="AE3502" s="154">
        <f t="shared" si="1051"/>
        <v>0</v>
      </c>
      <c r="AF3502" s="154"/>
      <c r="AG3502" s="154"/>
      <c r="AH3502" s="154"/>
      <c r="AI3502" s="19">
        <f t="shared" si="1043"/>
        <v>11730565.00042478</v>
      </c>
      <c r="AJ3502" s="19">
        <f t="shared" si="1044"/>
        <v>1439625.5685810833</v>
      </c>
      <c r="AK3502" s="20">
        <f t="shared" si="1052"/>
        <v>0.12272431622253084</v>
      </c>
      <c r="AL3502" s="55"/>
      <c r="AM3502" s="55"/>
      <c r="AN3502" s="55"/>
      <c r="AO3502" s="55"/>
      <c r="AP3502" s="28" t="str">
        <f t="shared" si="1053"/>
        <v>202311</v>
      </c>
      <c r="AQ3502" s="28" t="str">
        <f t="shared" si="1054"/>
        <v/>
      </c>
      <c r="AR3502" s="206" t="str">
        <f t="shared" si="1055"/>
        <v>C66 SERVICE</v>
      </c>
      <c r="AS3502" s="22" t="str">
        <f t="shared" si="1056"/>
        <v/>
      </c>
      <c r="AT3502" s="24" t="str">
        <f t="shared" si="1057"/>
        <v/>
      </c>
    </row>
    <row r="3503" spans="1:46" s="12" customFormat="1" ht="42">
      <c r="A3503" s="57" t="str">
        <f t="shared" si="1046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48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49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50"/>
        <v>0</v>
      </c>
      <c r="AD3503" s="169"/>
      <c r="AE3503" s="154">
        <f t="shared" si="1051"/>
        <v>0</v>
      </c>
      <c r="AF3503" s="154"/>
      <c r="AG3503" s="154"/>
      <c r="AH3503" s="154"/>
      <c r="AI3503" s="19">
        <f t="shared" si="1043"/>
        <v>11730565.00042478</v>
      </c>
      <c r="AJ3503" s="19">
        <f t="shared" si="1044"/>
        <v>1439625.5685810833</v>
      </c>
      <c r="AK3503" s="20">
        <f t="shared" si="1052"/>
        <v>0.12272431622253084</v>
      </c>
      <c r="AL3503" s="55"/>
      <c r="AM3503" s="55"/>
      <c r="AN3503" s="55"/>
      <c r="AO3503" s="55"/>
      <c r="AP3503" s="28" t="str">
        <f t="shared" si="1053"/>
        <v>202311</v>
      </c>
      <c r="AQ3503" s="28" t="str">
        <f t="shared" si="1054"/>
        <v/>
      </c>
      <c r="AR3503" s="206" t="str">
        <f t="shared" si="1055"/>
        <v>C66 SERVICE</v>
      </c>
      <c r="AS3503" s="22" t="str">
        <f t="shared" si="1056"/>
        <v/>
      </c>
      <c r="AT3503" s="24" t="str">
        <f t="shared" si="1057"/>
        <v/>
      </c>
    </row>
    <row r="3504" spans="1:46" s="12" customFormat="1" ht="42">
      <c r="A3504" s="57" t="str">
        <f t="shared" si="1046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48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49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50"/>
        <v>0</v>
      </c>
      <c r="AD3504" s="169"/>
      <c r="AE3504" s="154">
        <f t="shared" si="1051"/>
        <v>0</v>
      </c>
      <c r="AF3504" s="154"/>
      <c r="AG3504" s="154"/>
      <c r="AH3504" s="154"/>
      <c r="AI3504" s="19">
        <f t="shared" si="1043"/>
        <v>11730565.00042478</v>
      </c>
      <c r="AJ3504" s="19">
        <f t="shared" si="1044"/>
        <v>1439625.5685810833</v>
      </c>
      <c r="AK3504" s="20">
        <f t="shared" si="1052"/>
        <v>0.12272431622253084</v>
      </c>
      <c r="AL3504" s="55"/>
      <c r="AM3504" s="55"/>
      <c r="AN3504" s="55"/>
      <c r="AO3504" s="55"/>
      <c r="AP3504" s="28" t="str">
        <f t="shared" si="1053"/>
        <v>202311</v>
      </c>
      <c r="AQ3504" s="28" t="str">
        <f t="shared" si="1054"/>
        <v/>
      </c>
      <c r="AR3504" s="206" t="str">
        <f t="shared" si="1055"/>
        <v>C66 SERVICE</v>
      </c>
      <c r="AS3504" s="22" t="str">
        <f t="shared" si="1056"/>
        <v/>
      </c>
      <c r="AT3504" s="24" t="str">
        <f t="shared" si="1057"/>
        <v/>
      </c>
    </row>
    <row r="3505" spans="1:46" s="12" customFormat="1" ht="42">
      <c r="A3505" s="57" t="str">
        <f t="shared" si="1046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48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49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50"/>
        <v>0</v>
      </c>
      <c r="AD3505" s="169"/>
      <c r="AE3505" s="154">
        <f t="shared" si="1051"/>
        <v>0</v>
      </c>
      <c r="AF3505" s="154"/>
      <c r="AG3505" s="154"/>
      <c r="AH3505" s="154"/>
      <c r="AI3505" s="19">
        <f t="shared" si="1043"/>
        <v>11730565.00042478</v>
      </c>
      <c r="AJ3505" s="19">
        <f t="shared" si="1044"/>
        <v>1439625.5685810833</v>
      </c>
      <c r="AK3505" s="20">
        <f t="shared" si="1052"/>
        <v>0.12272431622253084</v>
      </c>
      <c r="AL3505" s="55"/>
      <c r="AM3505" s="55"/>
      <c r="AN3505" s="55"/>
      <c r="AO3505" s="55"/>
      <c r="AP3505" s="28" t="str">
        <f t="shared" si="1053"/>
        <v>202311</v>
      </c>
      <c r="AQ3505" s="28" t="str">
        <f t="shared" si="1054"/>
        <v/>
      </c>
      <c r="AR3505" s="206" t="str">
        <f t="shared" si="1055"/>
        <v>C66 SERVICE</v>
      </c>
      <c r="AS3505" s="22" t="str">
        <f t="shared" si="1056"/>
        <v/>
      </c>
      <c r="AT3505" s="24" t="str">
        <f t="shared" si="1057"/>
        <v/>
      </c>
    </row>
    <row r="3506" spans="1:46" s="12" customFormat="1" ht="42">
      <c r="A3506" s="33" t="str">
        <f t="shared" si="1046"/>
        <v/>
      </c>
      <c r="B3506" s="52"/>
      <c r="C3506" s="52"/>
      <c r="D3506" s="33" t="str">
        <f t="shared" ref="D3506:D3537" si="105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48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49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37" si="1059">IF(X3506="","",X3506*MAX(O3506,N3506))</f>
        <v/>
      </c>
      <c r="AA3506" s="128"/>
      <c r="AB3506" s="129">
        <v>525000</v>
      </c>
      <c r="AC3506" s="130">
        <f t="shared" si="1050"/>
        <v>0</v>
      </c>
      <c r="AD3506" s="153"/>
      <c r="AE3506" s="154">
        <f t="shared" si="1051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43"/>
        <v>33543315.897345133</v>
      </c>
      <c r="AJ3506" s="19">
        <f t="shared" si="1044"/>
        <v>4706169.3252984071</v>
      </c>
      <c r="AK3506" s="20">
        <f t="shared" si="1052"/>
        <v>0.14030125523967318</v>
      </c>
      <c r="AL3506" s="55"/>
      <c r="AM3506" s="55"/>
      <c r="AN3506" s="55"/>
      <c r="AO3506" s="55"/>
      <c r="AP3506" s="28" t="str">
        <f t="shared" si="1053"/>
        <v>20233</v>
      </c>
      <c r="AQ3506" s="28" t="str">
        <f t="shared" si="1054"/>
        <v/>
      </c>
      <c r="AR3506" s="206" t="str">
        <f t="shared" si="1055"/>
        <v>C66 SERVICE</v>
      </c>
      <c r="AS3506" s="22" t="str">
        <f t="shared" si="1056"/>
        <v/>
      </c>
      <c r="AT3506" s="24" t="str">
        <f t="shared" si="1057"/>
        <v/>
      </c>
    </row>
    <row r="3507" spans="1:46" s="12" customFormat="1" ht="42">
      <c r="A3507" s="33" t="str">
        <f t="shared" si="1046"/>
        <v/>
      </c>
      <c r="B3507" s="52"/>
      <c r="C3507" s="52"/>
      <c r="D3507" s="33" t="str">
        <f t="shared" si="105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48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49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59"/>
        <v/>
      </c>
      <c r="AA3507" s="128"/>
      <c r="AB3507" s="129">
        <v>228000</v>
      </c>
      <c r="AC3507" s="130">
        <f t="shared" si="1050"/>
        <v>0</v>
      </c>
      <c r="AD3507" s="153"/>
      <c r="AE3507" s="154">
        <f t="shared" si="1051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43"/>
        <v>33543315.897345133</v>
      </c>
      <c r="AJ3507" s="19">
        <f t="shared" si="1044"/>
        <v>4706169.3252984071</v>
      </c>
      <c r="AK3507" s="20">
        <f t="shared" si="1052"/>
        <v>0.14030125523967318</v>
      </c>
      <c r="AL3507" s="55"/>
      <c r="AM3507" s="55"/>
      <c r="AN3507" s="55"/>
      <c r="AO3507" s="55"/>
      <c r="AP3507" s="28" t="str">
        <f t="shared" si="1053"/>
        <v>20233</v>
      </c>
      <c r="AQ3507" s="28" t="str">
        <f t="shared" si="1054"/>
        <v/>
      </c>
      <c r="AR3507" s="206" t="str">
        <f t="shared" si="1055"/>
        <v>C66 SERVICE</v>
      </c>
      <c r="AS3507" s="22" t="str">
        <f t="shared" si="1056"/>
        <v/>
      </c>
      <c r="AT3507" s="24" t="str">
        <f t="shared" si="1057"/>
        <v/>
      </c>
    </row>
    <row r="3508" spans="1:46" s="12" customFormat="1" ht="42">
      <c r="A3508" s="33" t="str">
        <f t="shared" si="1046"/>
        <v/>
      </c>
      <c r="B3508" s="52"/>
      <c r="C3508" s="52"/>
      <c r="D3508" s="33" t="str">
        <f t="shared" si="105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48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49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59"/>
        <v/>
      </c>
      <c r="AA3508" s="128"/>
      <c r="AB3508" s="129">
        <v>160000</v>
      </c>
      <c r="AC3508" s="130">
        <f t="shared" si="1050"/>
        <v>0</v>
      </c>
      <c r="AD3508" s="153"/>
      <c r="AE3508" s="154">
        <f t="shared" si="1051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43"/>
        <v>33543315.897345133</v>
      </c>
      <c r="AJ3508" s="19">
        <f t="shared" si="1044"/>
        <v>4706169.3252984071</v>
      </c>
      <c r="AK3508" s="20">
        <f t="shared" si="1052"/>
        <v>0.14030125523967318</v>
      </c>
      <c r="AL3508" s="55"/>
      <c r="AM3508" s="55"/>
      <c r="AN3508" s="55"/>
      <c r="AO3508" s="55"/>
      <c r="AP3508" s="28" t="str">
        <f t="shared" si="1053"/>
        <v>20233</v>
      </c>
      <c r="AQ3508" s="28" t="str">
        <f t="shared" si="1054"/>
        <v/>
      </c>
      <c r="AR3508" s="206" t="str">
        <f t="shared" si="1055"/>
        <v>C66 SERVICE</v>
      </c>
      <c r="AS3508" s="22" t="str">
        <f t="shared" si="1056"/>
        <v/>
      </c>
      <c r="AT3508" s="24" t="str">
        <f t="shared" si="1057"/>
        <v/>
      </c>
    </row>
    <row r="3509" spans="1:46" s="12" customFormat="1" ht="42">
      <c r="A3509" s="33" t="str">
        <f t="shared" si="1046"/>
        <v/>
      </c>
      <c r="B3509" s="52"/>
      <c r="C3509" s="52"/>
      <c r="D3509" s="33" t="str">
        <f t="shared" si="105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48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49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59"/>
        <v/>
      </c>
      <c r="AA3509" s="128"/>
      <c r="AB3509" s="129">
        <v>27000</v>
      </c>
      <c r="AC3509" s="130">
        <f t="shared" si="1050"/>
        <v>0</v>
      </c>
      <c r="AD3509" s="153"/>
      <c r="AE3509" s="154">
        <f t="shared" si="1051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43"/>
        <v>33543315.897345133</v>
      </c>
      <c r="AJ3509" s="19">
        <f t="shared" si="1044"/>
        <v>4706169.3252984071</v>
      </c>
      <c r="AK3509" s="20">
        <f t="shared" si="1052"/>
        <v>0.14030125523967318</v>
      </c>
      <c r="AL3509" s="55"/>
      <c r="AM3509" s="55"/>
      <c r="AN3509" s="55"/>
      <c r="AO3509" s="55"/>
      <c r="AP3509" s="28" t="str">
        <f t="shared" si="1053"/>
        <v>20233</v>
      </c>
      <c r="AQ3509" s="28" t="str">
        <f t="shared" si="1054"/>
        <v/>
      </c>
      <c r="AR3509" s="206" t="str">
        <f t="shared" si="1055"/>
        <v>C66 SERVICE</v>
      </c>
      <c r="AS3509" s="22" t="str">
        <f t="shared" si="1056"/>
        <v/>
      </c>
      <c r="AT3509" s="24" t="str">
        <f t="shared" si="1057"/>
        <v/>
      </c>
    </row>
    <row r="3510" spans="1:46" ht="42">
      <c r="A3510" s="33" t="str">
        <f t="shared" si="1046"/>
        <v/>
      </c>
      <c r="B3510" s="52"/>
      <c r="C3510" s="52"/>
      <c r="D3510" s="33" t="str">
        <f t="shared" si="105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48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49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59"/>
        <v/>
      </c>
      <c r="AA3510" s="128"/>
      <c r="AB3510" s="129">
        <v>478000</v>
      </c>
      <c r="AC3510" s="130">
        <f t="shared" si="1050"/>
        <v>0</v>
      </c>
      <c r="AD3510" s="153"/>
      <c r="AE3510" s="154">
        <f t="shared" si="1051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43"/>
        <v>46600814.041769907</v>
      </c>
      <c r="AJ3510" s="19">
        <f t="shared" si="1044"/>
        <v>5956366.3435927071</v>
      </c>
      <c r="AK3510" s="20">
        <f t="shared" si="1052"/>
        <v>0.1278167874546958</v>
      </c>
      <c r="AL3510" s="55"/>
      <c r="AM3510" s="55"/>
      <c r="AN3510" s="55"/>
      <c r="AO3510" s="55"/>
      <c r="AP3510" s="95" t="str">
        <f t="shared" si="1053"/>
        <v>20224</v>
      </c>
      <c r="AQ3510" s="95" t="str">
        <f t="shared" si="1054"/>
        <v/>
      </c>
      <c r="AR3510" s="206" t="str">
        <f t="shared" si="1055"/>
        <v>C66 SERVICE</v>
      </c>
      <c r="AS3510" s="22" t="str">
        <f t="shared" si="1056"/>
        <v/>
      </c>
      <c r="AT3510" s="24" t="str">
        <f t="shared" si="1057"/>
        <v/>
      </c>
    </row>
    <row r="3511" spans="1:46" ht="42">
      <c r="A3511" s="33" t="str">
        <f t="shared" si="1046"/>
        <v/>
      </c>
      <c r="B3511" s="52"/>
      <c r="C3511" s="52"/>
      <c r="D3511" s="33" t="str">
        <f t="shared" si="105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48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49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59"/>
        <v/>
      </c>
      <c r="AA3511" s="128"/>
      <c r="AB3511" s="129">
        <v>49000</v>
      </c>
      <c r="AC3511" s="130">
        <f t="shared" si="1050"/>
        <v>0</v>
      </c>
      <c r="AD3511" s="153"/>
      <c r="AE3511" s="154">
        <f t="shared" si="1051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43"/>
        <v>46600814.041769907</v>
      </c>
      <c r="AJ3511" s="19">
        <f t="shared" si="1044"/>
        <v>5956366.3435927071</v>
      </c>
      <c r="AK3511" s="20">
        <f t="shared" si="1052"/>
        <v>0.1278167874546958</v>
      </c>
      <c r="AL3511" s="55"/>
      <c r="AM3511" s="55"/>
      <c r="AN3511" s="55"/>
      <c r="AO3511" s="55"/>
      <c r="AP3511" s="95" t="str">
        <f t="shared" si="1053"/>
        <v>20224</v>
      </c>
      <c r="AQ3511" s="95" t="str">
        <f t="shared" si="1054"/>
        <v/>
      </c>
      <c r="AR3511" s="206" t="str">
        <f t="shared" si="1055"/>
        <v>C66 SERVICE</v>
      </c>
      <c r="AS3511" s="22" t="str">
        <f t="shared" si="1056"/>
        <v/>
      </c>
      <c r="AT3511" s="24" t="str">
        <f t="shared" si="1057"/>
        <v/>
      </c>
    </row>
    <row r="3512" spans="1:46" ht="42">
      <c r="A3512" s="33" t="str">
        <f t="shared" si="1046"/>
        <v/>
      </c>
      <c r="B3512" s="52"/>
      <c r="C3512" s="52"/>
      <c r="D3512" s="33" t="str">
        <f t="shared" si="105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48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49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59"/>
        <v/>
      </c>
      <c r="AA3512" s="128"/>
      <c r="AB3512" s="129">
        <v>2000</v>
      </c>
      <c r="AC3512" s="130">
        <f t="shared" si="1050"/>
        <v>0</v>
      </c>
      <c r="AD3512" s="153"/>
      <c r="AE3512" s="154">
        <f t="shared" si="1051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43"/>
        <v>46600814.041769907</v>
      </c>
      <c r="AJ3512" s="19">
        <f t="shared" si="1044"/>
        <v>5956366.3435927071</v>
      </c>
      <c r="AK3512" s="20">
        <f t="shared" si="1052"/>
        <v>0.1278167874546958</v>
      </c>
      <c r="AL3512" s="55"/>
      <c r="AM3512" s="55"/>
      <c r="AN3512" s="55"/>
      <c r="AO3512" s="55"/>
      <c r="AP3512" s="95" t="str">
        <f t="shared" si="1053"/>
        <v>20224</v>
      </c>
      <c r="AQ3512" s="95" t="str">
        <f t="shared" si="1054"/>
        <v/>
      </c>
      <c r="AR3512" s="206" t="str">
        <f t="shared" si="1055"/>
        <v>C66 SERVICE</v>
      </c>
      <c r="AS3512" s="22" t="str">
        <f t="shared" si="1056"/>
        <v/>
      </c>
      <c r="AT3512" s="24" t="str">
        <f t="shared" si="1057"/>
        <v/>
      </c>
    </row>
    <row r="3513" spans="1:46" ht="42">
      <c r="A3513" s="33" t="str">
        <f t="shared" si="1046"/>
        <v/>
      </c>
      <c r="B3513" s="52"/>
      <c r="C3513" s="52"/>
      <c r="D3513" s="33" t="str">
        <f t="shared" si="105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48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49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59"/>
        <v/>
      </c>
      <c r="AA3513" s="128"/>
      <c r="AB3513" s="129">
        <v>3000</v>
      </c>
      <c r="AC3513" s="130">
        <f t="shared" si="1050"/>
        <v>0</v>
      </c>
      <c r="AD3513" s="153"/>
      <c r="AE3513" s="154">
        <f t="shared" si="1051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43"/>
        <v>46600814.041769907</v>
      </c>
      <c r="AJ3513" s="19">
        <f t="shared" si="1044"/>
        <v>5956366.3435927071</v>
      </c>
      <c r="AK3513" s="20">
        <f t="shared" si="1052"/>
        <v>0.1278167874546958</v>
      </c>
      <c r="AL3513" s="55"/>
      <c r="AM3513" s="55"/>
      <c r="AN3513" s="55"/>
      <c r="AO3513" s="55"/>
      <c r="AP3513" s="95" t="str">
        <f t="shared" si="1053"/>
        <v>20224</v>
      </c>
      <c r="AQ3513" s="95" t="str">
        <f t="shared" si="1054"/>
        <v/>
      </c>
      <c r="AR3513" s="206" t="str">
        <f t="shared" si="1055"/>
        <v>C66 SERVICE</v>
      </c>
      <c r="AS3513" s="22" t="str">
        <f t="shared" si="1056"/>
        <v/>
      </c>
      <c r="AT3513" s="24" t="str">
        <f t="shared" si="1057"/>
        <v/>
      </c>
    </row>
    <row r="3514" spans="1:46" ht="42">
      <c r="A3514" s="33" t="str">
        <f t="shared" si="1046"/>
        <v/>
      </c>
      <c r="B3514" s="52"/>
      <c r="C3514" s="52"/>
      <c r="D3514" s="33" t="str">
        <f t="shared" si="105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48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49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59"/>
        <v/>
      </c>
      <c r="AA3514" s="128"/>
      <c r="AB3514" s="129">
        <v>365000</v>
      </c>
      <c r="AC3514" s="130">
        <f t="shared" si="1050"/>
        <v>0</v>
      </c>
      <c r="AD3514" s="153"/>
      <c r="AE3514" s="154">
        <f t="shared" si="1051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43"/>
        <v>44014086.982070789</v>
      </c>
      <c r="AJ3514" s="19">
        <f t="shared" si="1044"/>
        <v>6419974.0221889298</v>
      </c>
      <c r="AK3514" s="20">
        <f t="shared" si="1052"/>
        <v>0.14586180158193709</v>
      </c>
      <c r="AL3514" s="55"/>
      <c r="AM3514" s="55"/>
      <c r="AN3514" s="55"/>
      <c r="AO3514" s="55"/>
      <c r="AP3514" s="95" t="str">
        <f t="shared" si="1053"/>
        <v>20225</v>
      </c>
      <c r="AQ3514" s="166" t="str">
        <f t="shared" si="1054"/>
        <v/>
      </c>
      <c r="AR3514" s="206" t="str">
        <f t="shared" si="1055"/>
        <v>C66 SERVICE</v>
      </c>
      <c r="AS3514" s="22" t="str">
        <f t="shared" si="1056"/>
        <v/>
      </c>
      <c r="AT3514" s="24" t="str">
        <f t="shared" si="1057"/>
        <v/>
      </c>
    </row>
    <row r="3515" spans="1:46" s="12" customFormat="1" ht="42">
      <c r="A3515" s="33" t="str">
        <f t="shared" si="1046"/>
        <v/>
      </c>
      <c r="B3515" s="52"/>
      <c r="C3515" s="52"/>
      <c r="D3515" s="33" t="str">
        <f t="shared" si="105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48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49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59"/>
        <v/>
      </c>
      <c r="AA3515" s="128"/>
      <c r="AB3515" s="129">
        <v>23000</v>
      </c>
      <c r="AC3515" s="130">
        <f t="shared" si="1050"/>
        <v>0</v>
      </c>
      <c r="AD3515" s="153"/>
      <c r="AE3515" s="154">
        <f t="shared" si="1051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43"/>
        <v>44014086.982070789</v>
      </c>
      <c r="AJ3515" s="19">
        <f t="shared" si="1044"/>
        <v>6419974.0221889298</v>
      </c>
      <c r="AK3515" s="20">
        <f t="shared" si="1052"/>
        <v>0.14586180158193709</v>
      </c>
      <c r="AL3515" s="55"/>
      <c r="AM3515" s="55"/>
      <c r="AN3515" s="55"/>
      <c r="AO3515" s="55"/>
      <c r="AP3515" s="95" t="str">
        <f t="shared" si="1053"/>
        <v>20225</v>
      </c>
      <c r="AQ3515" s="203" t="str">
        <f t="shared" si="1054"/>
        <v/>
      </c>
      <c r="AR3515" s="206" t="str">
        <f t="shared" si="1055"/>
        <v>C66 SERVICE</v>
      </c>
      <c r="AS3515" s="22" t="str">
        <f t="shared" si="1056"/>
        <v/>
      </c>
      <c r="AT3515" s="24" t="str">
        <f t="shared" si="1057"/>
        <v/>
      </c>
    </row>
    <row r="3516" spans="1:46" ht="42">
      <c r="A3516" s="33" t="str">
        <f t="shared" si="1046"/>
        <v/>
      </c>
      <c r="B3516" s="52"/>
      <c r="C3516" s="52"/>
      <c r="D3516" s="33" t="str">
        <f t="shared" si="105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48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49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59"/>
        <v/>
      </c>
      <c r="AA3516" s="128"/>
      <c r="AB3516" s="129">
        <v>30000</v>
      </c>
      <c r="AC3516" s="130">
        <f t="shared" si="1050"/>
        <v>0</v>
      </c>
      <c r="AD3516" s="153"/>
      <c r="AE3516" s="154">
        <f t="shared" si="1051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43"/>
        <v>44014086.982070789</v>
      </c>
      <c r="AJ3516" s="19">
        <f t="shared" si="1044"/>
        <v>6419974.0221889298</v>
      </c>
      <c r="AK3516" s="20">
        <f t="shared" si="1052"/>
        <v>0.14586180158193709</v>
      </c>
      <c r="AL3516" s="55"/>
      <c r="AM3516" s="55"/>
      <c r="AN3516" s="55"/>
      <c r="AO3516" s="55"/>
      <c r="AP3516" s="95" t="str">
        <f t="shared" si="1053"/>
        <v>20225</v>
      </c>
      <c r="AQ3516" s="203" t="str">
        <f t="shared" si="1054"/>
        <v/>
      </c>
      <c r="AR3516" s="206" t="str">
        <f t="shared" si="1055"/>
        <v>C66 SERVICE</v>
      </c>
      <c r="AS3516" s="22" t="str">
        <f t="shared" si="1056"/>
        <v/>
      </c>
      <c r="AT3516" s="24" t="str">
        <f t="shared" si="1057"/>
        <v/>
      </c>
    </row>
    <row r="3517" spans="1:46" ht="42">
      <c r="A3517" s="33" t="str">
        <f t="shared" si="1046"/>
        <v/>
      </c>
      <c r="B3517" s="52"/>
      <c r="C3517" s="52"/>
      <c r="D3517" s="33" t="str">
        <f t="shared" si="105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48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49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59"/>
        <v/>
      </c>
      <c r="AA3517" s="128"/>
      <c r="AB3517" s="129">
        <v>0</v>
      </c>
      <c r="AC3517" s="130">
        <f t="shared" si="1050"/>
        <v>0</v>
      </c>
      <c r="AD3517" s="153"/>
      <c r="AE3517" s="154">
        <f t="shared" si="1051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43"/>
        <v>44014086.982070789</v>
      </c>
      <c r="AJ3517" s="19">
        <f t="shared" si="1044"/>
        <v>6419974.0221889298</v>
      </c>
      <c r="AK3517" s="20">
        <f t="shared" si="1052"/>
        <v>0.14586180158193709</v>
      </c>
      <c r="AL3517" s="55"/>
      <c r="AM3517" s="55"/>
      <c r="AN3517" s="55"/>
      <c r="AO3517" s="55"/>
      <c r="AP3517" s="95" t="str">
        <f t="shared" si="1053"/>
        <v>20225</v>
      </c>
      <c r="AQ3517" s="203" t="str">
        <f t="shared" si="1054"/>
        <v/>
      </c>
      <c r="AR3517" s="206" t="str">
        <f t="shared" si="1055"/>
        <v>C66 SERVICE</v>
      </c>
      <c r="AS3517" s="22" t="str">
        <f t="shared" si="1056"/>
        <v/>
      </c>
      <c r="AT3517" s="24" t="str">
        <f t="shared" si="1057"/>
        <v/>
      </c>
    </row>
    <row r="3518" spans="1:46" ht="42">
      <c r="A3518" s="33" t="str">
        <f t="shared" si="1046"/>
        <v/>
      </c>
      <c r="B3518" s="52"/>
      <c r="C3518" s="52"/>
      <c r="D3518" s="33" t="str">
        <f t="shared" si="105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48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49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59"/>
        <v/>
      </c>
      <c r="AA3518" s="128"/>
      <c r="AB3518" s="129">
        <v>348000</v>
      </c>
      <c r="AC3518" s="130">
        <f t="shared" si="1050"/>
        <v>0</v>
      </c>
      <c r="AD3518" s="153"/>
      <c r="AE3518" s="154">
        <f t="shared" si="1051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43"/>
        <v>35682787.057522126</v>
      </c>
      <c r="AJ3518" s="19">
        <f t="shared" si="1044"/>
        <v>5833368.3789623892</v>
      </c>
      <c r="AK3518" s="20">
        <f t="shared" si="1052"/>
        <v>0.16347849649632912</v>
      </c>
      <c r="AL3518" s="55"/>
      <c r="AM3518" s="55"/>
      <c r="AN3518" s="55"/>
      <c r="AO3518" s="55"/>
      <c r="AP3518" s="95" t="str">
        <f t="shared" si="1053"/>
        <v>20226</v>
      </c>
      <c r="AQ3518" s="203" t="str">
        <f t="shared" si="1054"/>
        <v/>
      </c>
      <c r="AR3518" s="206" t="str">
        <f t="shared" si="1055"/>
        <v>C66 SERVICE</v>
      </c>
      <c r="AS3518" s="22" t="str">
        <f t="shared" si="1056"/>
        <v/>
      </c>
      <c r="AT3518" s="24" t="str">
        <f t="shared" si="1057"/>
        <v/>
      </c>
    </row>
    <row r="3519" spans="1:46" ht="42">
      <c r="A3519" s="33" t="str">
        <f t="shared" si="1046"/>
        <v/>
      </c>
      <c r="B3519" s="52"/>
      <c r="C3519" s="52"/>
      <c r="D3519" s="33" t="str">
        <f t="shared" si="105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48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49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59"/>
        <v/>
      </c>
      <c r="AA3519" s="128"/>
      <c r="AB3519" s="129">
        <v>363000</v>
      </c>
      <c r="AC3519" s="130">
        <f t="shared" si="1050"/>
        <v>0</v>
      </c>
      <c r="AD3519" s="153"/>
      <c r="AE3519" s="154">
        <f t="shared" si="1051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43"/>
        <v>35682787.057522126</v>
      </c>
      <c r="AJ3519" s="19">
        <f t="shared" si="1044"/>
        <v>5833368.3789623892</v>
      </c>
      <c r="AK3519" s="20">
        <f t="shared" si="1052"/>
        <v>0.16347849649632912</v>
      </c>
      <c r="AL3519" s="55"/>
      <c r="AM3519" s="55"/>
      <c r="AN3519" s="55"/>
      <c r="AO3519" s="55"/>
      <c r="AP3519" s="95" t="str">
        <f t="shared" si="1053"/>
        <v>20226</v>
      </c>
      <c r="AQ3519" s="203" t="str">
        <f t="shared" si="1054"/>
        <v/>
      </c>
      <c r="AR3519" s="206" t="str">
        <f t="shared" si="1055"/>
        <v>C66 SERVICE</v>
      </c>
      <c r="AS3519" s="22" t="str">
        <f t="shared" si="1056"/>
        <v/>
      </c>
      <c r="AT3519" s="24" t="str">
        <f t="shared" si="1057"/>
        <v/>
      </c>
    </row>
    <row r="3520" spans="1:46" ht="42">
      <c r="A3520" s="33" t="str">
        <f t="shared" si="1046"/>
        <v/>
      </c>
      <c r="B3520" s="52"/>
      <c r="C3520" s="52"/>
      <c r="D3520" s="33" t="str">
        <f t="shared" si="105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48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49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59"/>
        <v/>
      </c>
      <c r="AA3520" s="128"/>
      <c r="AB3520" s="129">
        <v>37000</v>
      </c>
      <c r="AC3520" s="130">
        <f t="shared" si="1050"/>
        <v>0</v>
      </c>
      <c r="AD3520" s="153"/>
      <c r="AE3520" s="154">
        <f t="shared" si="1051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43"/>
        <v>35682787.057522126</v>
      </c>
      <c r="AJ3520" s="19">
        <f t="shared" si="1044"/>
        <v>5833368.3789623892</v>
      </c>
      <c r="AK3520" s="20">
        <f t="shared" si="1052"/>
        <v>0.16347849649632912</v>
      </c>
      <c r="AL3520" s="55"/>
      <c r="AM3520" s="55"/>
      <c r="AN3520" s="55"/>
      <c r="AO3520" s="55"/>
      <c r="AP3520" s="95" t="str">
        <f t="shared" si="1053"/>
        <v>20226</v>
      </c>
      <c r="AQ3520" s="203" t="str">
        <f t="shared" si="1054"/>
        <v/>
      </c>
      <c r="AR3520" s="206" t="str">
        <f t="shared" si="1055"/>
        <v>C66 SERVICE</v>
      </c>
      <c r="AS3520" s="22" t="str">
        <f t="shared" si="1056"/>
        <v/>
      </c>
      <c r="AT3520" s="24" t="str">
        <f t="shared" si="1057"/>
        <v/>
      </c>
    </row>
    <row r="3521" spans="1:46" ht="42">
      <c r="A3521" s="33" t="str">
        <f t="shared" si="1046"/>
        <v/>
      </c>
      <c r="B3521" s="52"/>
      <c r="C3521" s="52"/>
      <c r="D3521" s="33" t="str">
        <f t="shared" si="105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48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49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59"/>
        <v/>
      </c>
      <c r="AA3521" s="128"/>
      <c r="AB3521" s="129">
        <v>9000</v>
      </c>
      <c r="AC3521" s="130">
        <f t="shared" si="1050"/>
        <v>0</v>
      </c>
      <c r="AD3521" s="153"/>
      <c r="AE3521" s="154">
        <f t="shared" si="1051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43"/>
        <v>35682787.057522126</v>
      </c>
      <c r="AJ3521" s="19">
        <f t="shared" si="1044"/>
        <v>5833368.3789623892</v>
      </c>
      <c r="AK3521" s="20">
        <f t="shared" si="1052"/>
        <v>0.16347849649632912</v>
      </c>
      <c r="AL3521" s="55"/>
      <c r="AM3521" s="55"/>
      <c r="AN3521" s="55"/>
      <c r="AO3521" s="55"/>
      <c r="AP3521" s="95" t="str">
        <f t="shared" si="1053"/>
        <v>20226</v>
      </c>
      <c r="AQ3521" s="203" t="str">
        <f t="shared" si="1054"/>
        <v/>
      </c>
      <c r="AR3521" s="206" t="str">
        <f t="shared" si="1055"/>
        <v>C66 SERVICE</v>
      </c>
      <c r="AS3521" s="22" t="str">
        <f t="shared" si="1056"/>
        <v/>
      </c>
      <c r="AT3521" s="24" t="str">
        <f t="shared" si="1057"/>
        <v/>
      </c>
    </row>
    <row r="3522" spans="1:46" ht="42">
      <c r="A3522" s="33" t="str">
        <f t="shared" si="1046"/>
        <v/>
      </c>
      <c r="B3522" s="52"/>
      <c r="C3522" s="52"/>
      <c r="D3522" s="33" t="str">
        <f t="shared" si="105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48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49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59"/>
        <v/>
      </c>
      <c r="AA3522" s="128"/>
      <c r="AB3522" s="129">
        <v>295000</v>
      </c>
      <c r="AC3522" s="130">
        <f t="shared" si="1050"/>
        <v>0</v>
      </c>
      <c r="AD3522" s="153"/>
      <c r="AE3522" s="154">
        <f t="shared" si="1051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60">IF(P3522="C66 SERVICE","",SUMIFS(AB:AB,F:F,F3522,G:G,G3522,E:E,E3522))</f>
        <v>36480247.665929198</v>
      </c>
      <c r="AJ3522" s="19">
        <f t="shared" ref="AJ3522:AJ3585" si="1061">IF(P3522="C66 SERVICE","",SUMIFS(AC:AC,F:F,F3522,G:G,G3522,E:E,E3522))</f>
        <v>5330996.6372757526</v>
      </c>
      <c r="AK3522" s="20">
        <f t="shared" si="1052"/>
        <v>0.14613378412599562</v>
      </c>
      <c r="AL3522" s="55"/>
      <c r="AM3522" s="55"/>
      <c r="AN3522" s="55"/>
      <c r="AO3522" s="55"/>
      <c r="AP3522" s="95" t="str">
        <f t="shared" si="1053"/>
        <v>20227</v>
      </c>
      <c r="AQ3522" s="203" t="str">
        <f t="shared" si="1054"/>
        <v/>
      </c>
      <c r="AR3522" s="206" t="str">
        <f t="shared" si="1055"/>
        <v>C66 SERVICE</v>
      </c>
      <c r="AS3522" s="22" t="str">
        <f t="shared" si="1056"/>
        <v/>
      </c>
      <c r="AT3522" s="24" t="str">
        <f t="shared" si="1057"/>
        <v/>
      </c>
    </row>
    <row r="3523" spans="1:46" ht="42">
      <c r="A3523" s="33" t="str">
        <f t="shared" si="1046"/>
        <v/>
      </c>
      <c r="B3523" s="52"/>
      <c r="C3523" s="52"/>
      <c r="D3523" s="33" t="str">
        <f t="shared" si="105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48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49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59"/>
        <v/>
      </c>
      <c r="AA3523" s="128"/>
      <c r="AB3523" s="129">
        <v>218000</v>
      </c>
      <c r="AC3523" s="130">
        <f t="shared" si="1050"/>
        <v>0</v>
      </c>
      <c r="AD3523" s="153"/>
      <c r="AE3523" s="154">
        <f t="shared" si="1051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60"/>
        <v>36480247.665929198</v>
      </c>
      <c r="AJ3523" s="19">
        <f t="shared" si="1061"/>
        <v>5330996.6372757526</v>
      </c>
      <c r="AK3523" s="20">
        <f t="shared" si="1052"/>
        <v>0.14613378412599562</v>
      </c>
      <c r="AL3523" s="55"/>
      <c r="AM3523" s="55"/>
      <c r="AN3523" s="55"/>
      <c r="AO3523" s="55"/>
      <c r="AP3523" s="95" t="str">
        <f t="shared" si="1053"/>
        <v>20227</v>
      </c>
      <c r="AQ3523" s="203" t="str">
        <f t="shared" si="1054"/>
        <v/>
      </c>
      <c r="AR3523" s="206" t="str">
        <f t="shared" si="1055"/>
        <v>C66 SERVICE</v>
      </c>
      <c r="AS3523" s="22" t="str">
        <f t="shared" si="1056"/>
        <v/>
      </c>
      <c r="AT3523" s="24" t="str">
        <f t="shared" si="1057"/>
        <v/>
      </c>
    </row>
    <row r="3524" spans="1:46" ht="42">
      <c r="A3524" s="33" t="str">
        <f t="shared" si="1046"/>
        <v/>
      </c>
      <c r="B3524" s="52"/>
      <c r="C3524" s="52"/>
      <c r="D3524" s="33" t="str">
        <f t="shared" si="105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48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49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59"/>
        <v/>
      </c>
      <c r="AA3524" s="128"/>
      <c r="AB3524" s="129">
        <v>30000</v>
      </c>
      <c r="AC3524" s="130">
        <f t="shared" si="1050"/>
        <v>0</v>
      </c>
      <c r="AD3524" s="153"/>
      <c r="AE3524" s="154">
        <f t="shared" si="1051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60"/>
        <v>36480247.665929198</v>
      </c>
      <c r="AJ3524" s="19">
        <f t="shared" si="1061"/>
        <v>5330996.6372757526</v>
      </c>
      <c r="AK3524" s="20">
        <f t="shared" si="1052"/>
        <v>0.14613378412599562</v>
      </c>
      <c r="AL3524" s="55"/>
      <c r="AM3524" s="55"/>
      <c r="AN3524" s="55"/>
      <c r="AO3524" s="55"/>
      <c r="AP3524" s="95" t="str">
        <f t="shared" si="1053"/>
        <v>20227</v>
      </c>
      <c r="AQ3524" s="203" t="str">
        <f t="shared" si="1054"/>
        <v/>
      </c>
      <c r="AR3524" s="206" t="str">
        <f t="shared" si="1055"/>
        <v>C66 SERVICE</v>
      </c>
      <c r="AS3524" s="22" t="str">
        <f t="shared" si="1056"/>
        <v/>
      </c>
      <c r="AT3524" s="24" t="str">
        <f t="shared" si="1057"/>
        <v/>
      </c>
    </row>
    <row r="3525" spans="1:46" ht="42">
      <c r="A3525" s="33" t="str">
        <f t="shared" si="1046"/>
        <v/>
      </c>
      <c r="B3525" s="52"/>
      <c r="C3525" s="52"/>
      <c r="D3525" s="33" t="str">
        <f t="shared" si="105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48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49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59"/>
        <v/>
      </c>
      <c r="AA3525" s="128"/>
      <c r="AB3525" s="129">
        <v>58000</v>
      </c>
      <c r="AC3525" s="130">
        <f t="shared" si="1050"/>
        <v>0</v>
      </c>
      <c r="AD3525" s="153"/>
      <c r="AE3525" s="154">
        <f t="shared" si="1051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60"/>
        <v>36480247.665929198</v>
      </c>
      <c r="AJ3525" s="19">
        <f t="shared" si="1061"/>
        <v>5330996.6372757526</v>
      </c>
      <c r="AK3525" s="20">
        <f t="shared" si="1052"/>
        <v>0.14613378412599562</v>
      </c>
      <c r="AL3525" s="55"/>
      <c r="AM3525" s="55"/>
      <c r="AN3525" s="55"/>
      <c r="AO3525" s="55"/>
      <c r="AP3525" s="95" t="str">
        <f t="shared" si="1053"/>
        <v>20227</v>
      </c>
      <c r="AQ3525" s="203" t="str">
        <f t="shared" si="1054"/>
        <v/>
      </c>
      <c r="AR3525" s="206" t="str">
        <f t="shared" si="1055"/>
        <v>C66 SERVICE</v>
      </c>
      <c r="AS3525" s="22" t="str">
        <f t="shared" si="1056"/>
        <v/>
      </c>
      <c r="AT3525" s="24" t="str">
        <f t="shared" si="1057"/>
        <v/>
      </c>
    </row>
    <row r="3526" spans="1:46" ht="42">
      <c r="A3526" s="33" t="str">
        <f t="shared" si="1046"/>
        <v/>
      </c>
      <c r="B3526" s="52"/>
      <c r="C3526" s="52"/>
      <c r="D3526" s="33" t="str">
        <f t="shared" si="105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si="1048"/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49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59"/>
        <v/>
      </c>
      <c r="AA3526" s="128"/>
      <c r="AB3526" s="129">
        <v>441000</v>
      </c>
      <c r="AC3526" s="130">
        <f t="shared" si="1050"/>
        <v>0</v>
      </c>
      <c r="AD3526" s="153"/>
      <c r="AE3526" s="154">
        <f t="shared" si="1051"/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60"/>
        <v>35073581.838938057</v>
      </c>
      <c r="AJ3526" s="19">
        <f t="shared" si="1061"/>
        <v>5034113.9728989396</v>
      </c>
      <c r="AK3526" s="20">
        <f t="shared" si="1052"/>
        <v>0.14353007902118958</v>
      </c>
      <c r="AL3526" s="55"/>
      <c r="AM3526" s="55"/>
      <c r="AN3526" s="55"/>
      <c r="AO3526" s="55"/>
      <c r="AP3526" s="95" t="str">
        <f t="shared" si="1053"/>
        <v>20228</v>
      </c>
      <c r="AQ3526" s="203" t="str">
        <f t="shared" si="1054"/>
        <v/>
      </c>
      <c r="AR3526" s="206" t="str">
        <f t="shared" si="1055"/>
        <v>C66 SERVICE</v>
      </c>
      <c r="AS3526" s="22" t="str">
        <f t="shared" si="1056"/>
        <v/>
      </c>
      <c r="AT3526" s="24" t="str">
        <f t="shared" si="1057"/>
        <v/>
      </c>
    </row>
    <row r="3527" spans="1:46" ht="42">
      <c r="A3527" s="33" t="str">
        <f t="shared" si="1046"/>
        <v/>
      </c>
      <c r="B3527" s="52"/>
      <c r="C3527" s="52"/>
      <c r="D3527" s="33" t="str">
        <f t="shared" si="105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8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49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59"/>
        <v/>
      </c>
      <c r="AA3527" s="128"/>
      <c r="AB3527" s="129">
        <v>301000</v>
      </c>
      <c r="AC3527" s="130">
        <f t="shared" si="1050"/>
        <v>0</v>
      </c>
      <c r="AD3527" s="153"/>
      <c r="AE3527" s="154">
        <f t="shared" si="1051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60"/>
        <v>35073581.838938057</v>
      </c>
      <c r="AJ3527" s="19">
        <f t="shared" si="1061"/>
        <v>5034113.9728989396</v>
      </c>
      <c r="AK3527" s="20">
        <f t="shared" si="1052"/>
        <v>0.14353007902118958</v>
      </c>
      <c r="AL3527" s="55"/>
      <c r="AM3527" s="55"/>
      <c r="AN3527" s="55"/>
      <c r="AO3527" s="55"/>
      <c r="AP3527" s="95" t="str">
        <f t="shared" si="1053"/>
        <v>20228</v>
      </c>
      <c r="AQ3527" s="203" t="str">
        <f t="shared" si="1054"/>
        <v/>
      </c>
      <c r="AR3527" s="206" t="str">
        <f t="shared" si="1055"/>
        <v>C66 SERVICE</v>
      </c>
      <c r="AS3527" s="22" t="str">
        <f t="shared" si="1056"/>
        <v/>
      </c>
      <c r="AT3527" s="24" t="str">
        <f t="shared" si="1057"/>
        <v/>
      </c>
    </row>
    <row r="3528" spans="1:46" ht="42">
      <c r="A3528" s="33" t="str">
        <f t="shared" si="1046"/>
        <v/>
      </c>
      <c r="B3528" s="52"/>
      <c r="C3528" s="52"/>
      <c r="D3528" s="33" t="str">
        <f t="shared" si="105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8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49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59"/>
        <v/>
      </c>
      <c r="AA3528" s="128"/>
      <c r="AB3528" s="129">
        <v>102000</v>
      </c>
      <c r="AC3528" s="130">
        <f t="shared" si="1050"/>
        <v>0</v>
      </c>
      <c r="AD3528" s="153"/>
      <c r="AE3528" s="154">
        <f t="shared" si="1051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60"/>
        <v>35073581.838938057</v>
      </c>
      <c r="AJ3528" s="19">
        <f t="shared" si="1061"/>
        <v>5034113.9728989396</v>
      </c>
      <c r="AK3528" s="20">
        <f t="shared" si="1052"/>
        <v>0.14353007902118958</v>
      </c>
      <c r="AL3528" s="55"/>
      <c r="AM3528" s="55"/>
      <c r="AN3528" s="55"/>
      <c r="AO3528" s="55"/>
      <c r="AP3528" s="95" t="str">
        <f t="shared" si="1053"/>
        <v>20228</v>
      </c>
      <c r="AQ3528" s="203" t="str">
        <f t="shared" si="1054"/>
        <v/>
      </c>
      <c r="AR3528" s="206" t="str">
        <f t="shared" si="1055"/>
        <v>C66 SERVICE</v>
      </c>
      <c r="AS3528" s="22" t="str">
        <f t="shared" si="1056"/>
        <v/>
      </c>
      <c r="AT3528" s="24" t="str">
        <f t="shared" si="1057"/>
        <v/>
      </c>
    </row>
    <row r="3529" spans="1:46" ht="42">
      <c r="A3529" s="33" t="str">
        <f t="shared" si="1046"/>
        <v/>
      </c>
      <c r="B3529" s="52"/>
      <c r="C3529" s="52"/>
      <c r="D3529" s="33" t="str">
        <f t="shared" si="105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8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49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59"/>
        <v/>
      </c>
      <c r="AA3529" s="128"/>
      <c r="AB3529" s="129">
        <v>29000</v>
      </c>
      <c r="AC3529" s="130">
        <f t="shared" si="1050"/>
        <v>0</v>
      </c>
      <c r="AD3529" s="153"/>
      <c r="AE3529" s="154">
        <f t="shared" si="1051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60"/>
        <v>35073581.838938057</v>
      </c>
      <c r="AJ3529" s="19">
        <f t="shared" si="1061"/>
        <v>5034113.9728989396</v>
      </c>
      <c r="AK3529" s="20">
        <f t="shared" si="1052"/>
        <v>0.14353007902118958</v>
      </c>
      <c r="AL3529" s="55"/>
      <c r="AM3529" s="55"/>
      <c r="AN3529" s="55"/>
      <c r="AO3529" s="55"/>
      <c r="AP3529" s="95" t="str">
        <f t="shared" si="1053"/>
        <v>20228</v>
      </c>
      <c r="AQ3529" s="203" t="str">
        <f t="shared" si="1054"/>
        <v/>
      </c>
      <c r="AR3529" s="206" t="str">
        <f t="shared" si="1055"/>
        <v>C66 SERVICE</v>
      </c>
      <c r="AS3529" s="22" t="str">
        <f t="shared" si="1056"/>
        <v/>
      </c>
      <c r="AT3529" s="24" t="str">
        <f t="shared" si="1057"/>
        <v/>
      </c>
    </row>
    <row r="3530" spans="1:46" ht="42">
      <c r="A3530" s="33" t="str">
        <f t="shared" si="1046"/>
        <v/>
      </c>
      <c r="B3530" s="52"/>
      <c r="C3530" s="52"/>
      <c r="D3530" s="33" t="str">
        <f t="shared" si="105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8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49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59"/>
        <v/>
      </c>
      <c r="AA3530" s="128"/>
      <c r="AB3530" s="129">
        <v>243000</v>
      </c>
      <c r="AC3530" s="130">
        <f t="shared" si="1050"/>
        <v>0</v>
      </c>
      <c r="AD3530" s="153"/>
      <c r="AE3530" s="154">
        <f t="shared" si="1051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60"/>
        <v>15948576.102654871</v>
      </c>
      <c r="AJ3530" s="19">
        <f t="shared" si="1061"/>
        <v>2739848.7004853105</v>
      </c>
      <c r="AK3530" s="20">
        <f t="shared" si="1052"/>
        <v>0.17179268436567344</v>
      </c>
      <c r="AL3530" s="55"/>
      <c r="AM3530" s="55"/>
      <c r="AN3530" s="55"/>
      <c r="AO3530" s="55"/>
      <c r="AP3530" s="95" t="str">
        <f t="shared" si="1053"/>
        <v>20229</v>
      </c>
      <c r="AQ3530" s="203" t="str">
        <f t="shared" si="1054"/>
        <v/>
      </c>
      <c r="AR3530" s="206" t="str">
        <f t="shared" si="1055"/>
        <v>C66 SERVICE</v>
      </c>
      <c r="AS3530" s="22" t="str">
        <f t="shared" si="1056"/>
        <v/>
      </c>
      <c r="AT3530" s="24" t="str">
        <f t="shared" si="1057"/>
        <v/>
      </c>
    </row>
    <row r="3531" spans="1:46" ht="42">
      <c r="A3531" s="33" t="str">
        <f t="shared" si="1046"/>
        <v/>
      </c>
      <c r="B3531" s="52"/>
      <c r="C3531" s="52"/>
      <c r="D3531" s="33" t="str">
        <f t="shared" si="105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8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49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59"/>
        <v/>
      </c>
      <c r="AA3531" s="128"/>
      <c r="AB3531" s="129">
        <v>210000</v>
      </c>
      <c r="AC3531" s="130">
        <f t="shared" si="1050"/>
        <v>0</v>
      </c>
      <c r="AD3531" s="153"/>
      <c r="AE3531" s="154">
        <f t="shared" si="1051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60"/>
        <v>15948576.102654871</v>
      </c>
      <c r="AJ3531" s="19">
        <f t="shared" si="1061"/>
        <v>2739848.7004853105</v>
      </c>
      <c r="AK3531" s="20">
        <f t="shared" si="1052"/>
        <v>0.17179268436567344</v>
      </c>
      <c r="AL3531" s="55"/>
      <c r="AM3531" s="55"/>
      <c r="AN3531" s="55"/>
      <c r="AO3531" s="55"/>
      <c r="AP3531" s="95" t="str">
        <f t="shared" si="1053"/>
        <v>20229</v>
      </c>
      <c r="AQ3531" s="203" t="str">
        <f t="shared" si="1054"/>
        <v/>
      </c>
      <c r="AR3531" s="206" t="str">
        <f t="shared" si="1055"/>
        <v>C66 SERVICE</v>
      </c>
      <c r="AS3531" s="22" t="str">
        <f t="shared" si="1056"/>
        <v/>
      </c>
      <c r="AT3531" s="24" t="str">
        <f t="shared" si="1057"/>
        <v/>
      </c>
    </row>
    <row r="3532" spans="1:46" ht="42">
      <c r="A3532" s="33" t="str">
        <f t="shared" si="1046"/>
        <v/>
      </c>
      <c r="B3532" s="52"/>
      <c r="C3532" s="52"/>
      <c r="D3532" s="33" t="str">
        <f t="shared" si="105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8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49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59"/>
        <v/>
      </c>
      <c r="AA3532" s="128"/>
      <c r="AB3532" s="129">
        <v>7000</v>
      </c>
      <c r="AC3532" s="130">
        <f t="shared" si="1050"/>
        <v>0</v>
      </c>
      <c r="AD3532" s="153"/>
      <c r="AE3532" s="154">
        <f t="shared" si="1051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60"/>
        <v>15948576.102654871</v>
      </c>
      <c r="AJ3532" s="19">
        <f t="shared" si="1061"/>
        <v>2739848.7004853105</v>
      </c>
      <c r="AK3532" s="20">
        <f t="shared" si="1052"/>
        <v>0.17179268436567344</v>
      </c>
      <c r="AL3532" s="55"/>
      <c r="AM3532" s="55"/>
      <c r="AN3532" s="55"/>
      <c r="AO3532" s="55"/>
      <c r="AP3532" s="95" t="str">
        <f t="shared" si="1053"/>
        <v>20229</v>
      </c>
      <c r="AQ3532" s="203" t="str">
        <f t="shared" si="1054"/>
        <v/>
      </c>
      <c r="AR3532" s="206" t="str">
        <f t="shared" si="1055"/>
        <v>C66 SERVICE</v>
      </c>
      <c r="AS3532" s="22" t="str">
        <f t="shared" si="1056"/>
        <v/>
      </c>
      <c r="AT3532" s="24" t="str">
        <f t="shared" si="1057"/>
        <v/>
      </c>
    </row>
    <row r="3533" spans="1:46" ht="42">
      <c r="A3533" s="33" t="str">
        <f t="shared" si="1046"/>
        <v/>
      </c>
      <c r="B3533" s="52"/>
      <c r="C3533" s="52"/>
      <c r="D3533" s="33" t="str">
        <f t="shared" si="105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8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49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59"/>
        <v/>
      </c>
      <c r="AA3533" s="128"/>
      <c r="AB3533" s="129">
        <v>0</v>
      </c>
      <c r="AC3533" s="130">
        <f t="shared" si="1050"/>
        <v>0</v>
      </c>
      <c r="AD3533" s="153"/>
      <c r="AE3533" s="154">
        <f t="shared" si="1051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60"/>
        <v>15948576.102654871</v>
      </c>
      <c r="AJ3533" s="19">
        <f t="shared" si="1061"/>
        <v>2739848.7004853105</v>
      </c>
      <c r="AK3533" s="20">
        <f t="shared" si="1052"/>
        <v>0.17179268436567344</v>
      </c>
      <c r="AL3533" s="55"/>
      <c r="AM3533" s="55"/>
      <c r="AN3533" s="55"/>
      <c r="AO3533" s="55"/>
      <c r="AP3533" s="95" t="str">
        <f t="shared" si="1053"/>
        <v>20229</v>
      </c>
      <c r="AQ3533" s="203" t="str">
        <f t="shared" si="1054"/>
        <v/>
      </c>
      <c r="AR3533" s="206" t="str">
        <f t="shared" si="1055"/>
        <v>C66 SERVICE</v>
      </c>
      <c r="AS3533" s="22" t="str">
        <f t="shared" si="1056"/>
        <v/>
      </c>
      <c r="AT3533" s="24" t="str">
        <f t="shared" si="1057"/>
        <v/>
      </c>
    </row>
    <row r="3534" spans="1:46" ht="42">
      <c r="A3534" s="33" t="str">
        <f t="shared" si="1046"/>
        <v/>
      </c>
      <c r="B3534" s="52"/>
      <c r="C3534" s="52"/>
      <c r="D3534" s="33" t="str">
        <f t="shared" si="105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8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49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59"/>
        <v/>
      </c>
      <c r="AA3534" s="128"/>
      <c r="AB3534" s="129">
        <v>122000</v>
      </c>
      <c r="AC3534" s="130">
        <f t="shared" si="1050"/>
        <v>0</v>
      </c>
      <c r="AD3534" s="153"/>
      <c r="AE3534" s="154">
        <f t="shared" si="1051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60"/>
        <v>22717528.991150443</v>
      </c>
      <c r="AJ3534" s="19">
        <f t="shared" si="1061"/>
        <v>3947747.192555753</v>
      </c>
      <c r="AK3534" s="20">
        <f t="shared" si="1052"/>
        <v>0.1737753782153679</v>
      </c>
      <c r="AL3534" s="55"/>
      <c r="AM3534" s="55"/>
      <c r="AN3534" s="55"/>
      <c r="AO3534" s="55"/>
      <c r="AP3534" s="95" t="str">
        <f t="shared" si="1053"/>
        <v>202210</v>
      </c>
      <c r="AQ3534" s="203" t="str">
        <f t="shared" si="1054"/>
        <v/>
      </c>
      <c r="AR3534" s="206" t="str">
        <f t="shared" si="1055"/>
        <v>C66 SERVICE</v>
      </c>
      <c r="AS3534" s="22" t="str">
        <f t="shared" si="1056"/>
        <v/>
      </c>
      <c r="AT3534" s="24" t="str">
        <f t="shared" si="1057"/>
        <v/>
      </c>
    </row>
    <row r="3535" spans="1:46" ht="42">
      <c r="A3535" s="33" t="str">
        <f t="shared" si="1046"/>
        <v/>
      </c>
      <c r="B3535" s="52"/>
      <c r="C3535" s="52"/>
      <c r="D3535" s="33" t="str">
        <f t="shared" si="105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8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49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59"/>
        <v/>
      </c>
      <c r="AA3535" s="128"/>
      <c r="AB3535" s="129">
        <v>175000</v>
      </c>
      <c r="AC3535" s="130">
        <f t="shared" si="1050"/>
        <v>0</v>
      </c>
      <c r="AD3535" s="153"/>
      <c r="AE3535" s="154">
        <f t="shared" si="1051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60"/>
        <v>22717528.991150443</v>
      </c>
      <c r="AJ3535" s="19">
        <f t="shared" si="1061"/>
        <v>3947747.192555753</v>
      </c>
      <c r="AK3535" s="20">
        <f t="shared" si="1052"/>
        <v>0.1737753782153679</v>
      </c>
      <c r="AL3535" s="55"/>
      <c r="AM3535" s="55"/>
      <c r="AN3535" s="55"/>
      <c r="AO3535" s="55"/>
      <c r="AP3535" s="95" t="str">
        <f t="shared" si="1053"/>
        <v>202210</v>
      </c>
      <c r="AQ3535" s="203" t="str">
        <f t="shared" si="1054"/>
        <v/>
      </c>
      <c r="AR3535" s="206" t="str">
        <f t="shared" si="1055"/>
        <v>C66 SERVICE</v>
      </c>
      <c r="AS3535" s="22" t="str">
        <f t="shared" si="1056"/>
        <v/>
      </c>
      <c r="AT3535" s="24" t="str">
        <f t="shared" si="1057"/>
        <v/>
      </c>
    </row>
    <row r="3536" spans="1:46" ht="42">
      <c r="A3536" s="33" t="str">
        <f t="shared" si="1046"/>
        <v/>
      </c>
      <c r="B3536" s="52"/>
      <c r="C3536" s="52"/>
      <c r="D3536" s="33" t="str">
        <f t="shared" si="105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8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49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59"/>
        <v/>
      </c>
      <c r="AA3536" s="128"/>
      <c r="AB3536" s="129">
        <v>21000</v>
      </c>
      <c r="AC3536" s="130">
        <f t="shared" si="1050"/>
        <v>0</v>
      </c>
      <c r="AD3536" s="153"/>
      <c r="AE3536" s="154">
        <f t="shared" si="1051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60"/>
        <v>22717528.991150443</v>
      </c>
      <c r="AJ3536" s="19">
        <f t="shared" si="1061"/>
        <v>3947747.192555753</v>
      </c>
      <c r="AK3536" s="20">
        <f t="shared" si="1052"/>
        <v>0.1737753782153679</v>
      </c>
      <c r="AL3536" s="55"/>
      <c r="AM3536" s="55"/>
      <c r="AN3536" s="55"/>
      <c r="AO3536" s="55"/>
      <c r="AP3536" s="95" t="str">
        <f t="shared" si="1053"/>
        <v>202210</v>
      </c>
      <c r="AQ3536" s="203" t="str">
        <f t="shared" si="1054"/>
        <v/>
      </c>
      <c r="AR3536" s="206" t="str">
        <f t="shared" si="1055"/>
        <v>C66 SERVICE</v>
      </c>
      <c r="AS3536" s="22" t="str">
        <f t="shared" si="1056"/>
        <v/>
      </c>
      <c r="AT3536" s="24" t="str">
        <f t="shared" si="1057"/>
        <v/>
      </c>
    </row>
    <row r="3537" spans="1:46" ht="42">
      <c r="A3537" s="33" t="str">
        <f t="shared" si="1046"/>
        <v/>
      </c>
      <c r="B3537" s="52"/>
      <c r="C3537" s="52"/>
      <c r="D3537" s="33" t="str">
        <f t="shared" si="105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8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49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59"/>
        <v/>
      </c>
      <c r="AA3537" s="128"/>
      <c r="AB3537" s="129">
        <v>15000</v>
      </c>
      <c r="AC3537" s="130">
        <f t="shared" si="1050"/>
        <v>0</v>
      </c>
      <c r="AD3537" s="153"/>
      <c r="AE3537" s="154">
        <f t="shared" si="1051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60"/>
        <v>22717528.991150443</v>
      </c>
      <c r="AJ3537" s="19">
        <f t="shared" si="1061"/>
        <v>3947747.192555753</v>
      </c>
      <c r="AK3537" s="20">
        <f t="shared" si="1052"/>
        <v>0.1737753782153679</v>
      </c>
      <c r="AL3537" s="55"/>
      <c r="AM3537" s="55"/>
      <c r="AN3537" s="55"/>
      <c r="AO3537" s="55"/>
      <c r="AP3537" s="95" t="str">
        <f t="shared" si="1053"/>
        <v>202210</v>
      </c>
      <c r="AQ3537" s="203" t="str">
        <f t="shared" si="1054"/>
        <v/>
      </c>
      <c r="AR3537" s="206" t="str">
        <f t="shared" si="1055"/>
        <v>C66 SERVICE</v>
      </c>
      <c r="AS3537" s="22" t="str">
        <f t="shared" si="1056"/>
        <v/>
      </c>
      <c r="AT3537" s="24" t="str">
        <f t="shared" si="1057"/>
        <v/>
      </c>
    </row>
    <row r="3538" spans="1:46" ht="42">
      <c r="A3538" s="33" t="str">
        <f t="shared" si="1046"/>
        <v/>
      </c>
      <c r="B3538" s="52"/>
      <c r="C3538" s="52"/>
      <c r="D3538" s="33" t="str">
        <f t="shared" ref="D3538:D3569" si="1062">IF(B3538="","",IF(AND(C3538&gt;=10,C3538&lt;=12),"Q3",IF(AND(C3538&gt;=1,C3538&lt;=3),"Q4",IF(AND(C3538&gt;=7,C3538&lt;=9),"Q2",IF(AND(C3538&gt;=4,C3538&lt;=6),"Q1")))))</f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8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49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ref="Z3538:Z3569" si="1063">IF(X3538="","",X3538*MAX(O3538,N3538))</f>
        <v/>
      </c>
      <c r="AA3538" s="128"/>
      <c r="AB3538" s="129">
        <v>352000</v>
      </c>
      <c r="AC3538" s="130">
        <f t="shared" si="1050"/>
        <v>0</v>
      </c>
      <c r="AD3538" s="153"/>
      <c r="AE3538" s="154">
        <f t="shared" si="1051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60"/>
        <v>31017966.201968137</v>
      </c>
      <c r="AJ3538" s="19">
        <f t="shared" si="1061"/>
        <v>4704250.3347305888</v>
      </c>
      <c r="AK3538" s="20">
        <f t="shared" si="1052"/>
        <v>0.15166211427595458</v>
      </c>
      <c r="AL3538" s="55"/>
      <c r="AM3538" s="55"/>
      <c r="AN3538" s="55"/>
      <c r="AO3538" s="55"/>
      <c r="AP3538" s="95" t="str">
        <f t="shared" si="1053"/>
        <v>202211</v>
      </c>
      <c r="AQ3538" s="203" t="str">
        <f t="shared" si="1054"/>
        <v/>
      </c>
      <c r="AR3538" s="206" t="str">
        <f t="shared" si="1055"/>
        <v>C66 SERVICE</v>
      </c>
      <c r="AS3538" s="22" t="str">
        <f t="shared" si="1056"/>
        <v/>
      </c>
      <c r="AT3538" s="24" t="str">
        <f t="shared" si="1057"/>
        <v/>
      </c>
    </row>
    <row r="3539" spans="1:46" ht="42">
      <c r="A3539" s="33" t="str">
        <f t="shared" si="1046"/>
        <v/>
      </c>
      <c r="B3539" s="52"/>
      <c r="C3539" s="52"/>
      <c r="D3539" s="33" t="str">
        <f t="shared" si="1062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8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49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63"/>
        <v/>
      </c>
      <c r="AA3539" s="128"/>
      <c r="AB3539" s="129">
        <v>325000</v>
      </c>
      <c r="AC3539" s="130">
        <f t="shared" si="1050"/>
        <v>0</v>
      </c>
      <c r="AD3539" s="153"/>
      <c r="AE3539" s="154">
        <f t="shared" si="1051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60"/>
        <v>31017966.201968137</v>
      </c>
      <c r="AJ3539" s="19">
        <f t="shared" si="1061"/>
        <v>4704250.3347305888</v>
      </c>
      <c r="AK3539" s="20">
        <f t="shared" si="1052"/>
        <v>0.15166211427595458</v>
      </c>
      <c r="AL3539" s="55"/>
      <c r="AM3539" s="55"/>
      <c r="AN3539" s="55"/>
      <c r="AO3539" s="55"/>
      <c r="AP3539" s="95" t="str">
        <f t="shared" si="1053"/>
        <v>202211</v>
      </c>
      <c r="AQ3539" s="203" t="str">
        <f t="shared" si="1054"/>
        <v/>
      </c>
      <c r="AR3539" s="206" t="str">
        <f t="shared" si="1055"/>
        <v>C66 SERVICE</v>
      </c>
      <c r="AS3539" s="22" t="str">
        <f t="shared" si="1056"/>
        <v/>
      </c>
      <c r="AT3539" s="24" t="str">
        <f t="shared" si="1057"/>
        <v/>
      </c>
    </row>
    <row r="3540" spans="1:46" ht="42">
      <c r="A3540" s="33" t="str">
        <f t="shared" si="1046"/>
        <v/>
      </c>
      <c r="B3540" s="52"/>
      <c r="C3540" s="52"/>
      <c r="D3540" s="33" t="str">
        <f t="shared" si="1062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8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49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63"/>
        <v/>
      </c>
      <c r="AA3540" s="128"/>
      <c r="AB3540" s="129">
        <v>7000</v>
      </c>
      <c r="AC3540" s="130">
        <f t="shared" si="1050"/>
        <v>0</v>
      </c>
      <c r="AD3540" s="153"/>
      <c r="AE3540" s="154">
        <f t="shared" si="1051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60"/>
        <v>31017966.201968137</v>
      </c>
      <c r="AJ3540" s="19">
        <f t="shared" si="1061"/>
        <v>4704250.3347305888</v>
      </c>
      <c r="AK3540" s="20">
        <f t="shared" si="1052"/>
        <v>0.15166211427595458</v>
      </c>
      <c r="AL3540" s="55"/>
      <c r="AM3540" s="55"/>
      <c r="AN3540" s="55"/>
      <c r="AO3540" s="55"/>
      <c r="AP3540" s="95" t="str">
        <f t="shared" si="1053"/>
        <v>202211</v>
      </c>
      <c r="AQ3540" s="203" t="str">
        <f t="shared" si="1054"/>
        <v/>
      </c>
      <c r="AR3540" s="206" t="str">
        <f t="shared" si="1055"/>
        <v>C66 SERVICE</v>
      </c>
      <c r="AS3540" s="22" t="str">
        <f t="shared" si="1056"/>
        <v/>
      </c>
      <c r="AT3540" s="24" t="str">
        <f t="shared" si="1057"/>
        <v/>
      </c>
    </row>
    <row r="3541" spans="1:46" ht="42">
      <c r="A3541" s="33" t="str">
        <f t="shared" si="1046"/>
        <v/>
      </c>
      <c r="B3541" s="52"/>
      <c r="C3541" s="52"/>
      <c r="D3541" s="33" t="str">
        <f t="shared" si="1062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8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49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63"/>
        <v/>
      </c>
      <c r="AA3541" s="128"/>
      <c r="AB3541" s="129">
        <v>0</v>
      </c>
      <c r="AC3541" s="130">
        <f t="shared" si="1050"/>
        <v>0</v>
      </c>
      <c r="AD3541" s="153"/>
      <c r="AE3541" s="154">
        <f t="shared" si="1051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60"/>
        <v>31017966.201968137</v>
      </c>
      <c r="AJ3541" s="19">
        <f t="shared" si="1061"/>
        <v>4704250.3347305888</v>
      </c>
      <c r="AK3541" s="20">
        <f t="shared" si="1052"/>
        <v>0.15166211427595458</v>
      </c>
      <c r="AL3541" s="55"/>
      <c r="AM3541" s="55"/>
      <c r="AN3541" s="55"/>
      <c r="AO3541" s="55"/>
      <c r="AP3541" s="95" t="str">
        <f t="shared" si="1053"/>
        <v>202211</v>
      </c>
      <c r="AQ3541" s="203" t="str">
        <f t="shared" si="1054"/>
        <v/>
      </c>
      <c r="AR3541" s="206" t="str">
        <f t="shared" si="1055"/>
        <v>C66 SERVICE</v>
      </c>
      <c r="AS3541" s="22" t="str">
        <f t="shared" si="1056"/>
        <v/>
      </c>
      <c r="AT3541" s="24" t="str">
        <f t="shared" si="1057"/>
        <v/>
      </c>
    </row>
    <row r="3542" spans="1:46" ht="42">
      <c r="A3542" s="33" t="str">
        <f t="shared" si="1046"/>
        <v/>
      </c>
      <c r="B3542" s="52"/>
      <c r="C3542" s="52"/>
      <c r="D3542" s="33" t="str">
        <f t="shared" si="1062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8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si="1049"/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63"/>
        <v/>
      </c>
      <c r="AA3542" s="128"/>
      <c r="AB3542" s="129">
        <v>211000</v>
      </c>
      <c r="AC3542" s="130">
        <f t="shared" si="1050"/>
        <v>0</v>
      </c>
      <c r="AD3542" s="153"/>
      <c r="AE3542" s="154">
        <f t="shared" si="1051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60"/>
        <v>17329060.066371687</v>
      </c>
      <c r="AJ3542" s="19">
        <f t="shared" si="1061"/>
        <v>2472600.2142256643</v>
      </c>
      <c r="AK3542" s="20">
        <f t="shared" si="1052"/>
        <v>0.14268518919984163</v>
      </c>
      <c r="AL3542" s="55"/>
      <c r="AM3542" s="55"/>
      <c r="AN3542" s="55"/>
      <c r="AO3542" s="55"/>
      <c r="AP3542" s="95" t="str">
        <f t="shared" si="1053"/>
        <v>202212</v>
      </c>
      <c r="AQ3542" s="203" t="str">
        <f t="shared" si="1054"/>
        <v/>
      </c>
      <c r="AR3542" s="206" t="str">
        <f t="shared" si="1055"/>
        <v>C66 SERVICE</v>
      </c>
      <c r="AS3542" s="22" t="str">
        <f t="shared" si="1056"/>
        <v/>
      </c>
      <c r="AT3542" s="24" t="str">
        <f t="shared" si="1057"/>
        <v/>
      </c>
    </row>
    <row r="3543" spans="1:46" ht="42">
      <c r="A3543" s="33" t="str">
        <f t="shared" si="1046"/>
        <v/>
      </c>
      <c r="B3543" s="52"/>
      <c r="C3543" s="52"/>
      <c r="D3543" s="33" t="str">
        <f t="shared" si="1062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8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49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63"/>
        <v/>
      </c>
      <c r="AA3543" s="128"/>
      <c r="AB3543" s="129">
        <v>363000</v>
      </c>
      <c r="AC3543" s="130">
        <f t="shared" si="1050"/>
        <v>0</v>
      </c>
      <c r="AD3543" s="153"/>
      <c r="AE3543" s="154">
        <f t="shared" si="1051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60"/>
        <v>17329060.066371687</v>
      </c>
      <c r="AJ3543" s="19">
        <f t="shared" si="1061"/>
        <v>2472600.2142256643</v>
      </c>
      <c r="AK3543" s="20">
        <f t="shared" si="1052"/>
        <v>0.14268518919984163</v>
      </c>
      <c r="AL3543" s="55"/>
      <c r="AM3543" s="55"/>
      <c r="AN3543" s="55"/>
      <c r="AO3543" s="55"/>
      <c r="AP3543" s="95" t="str">
        <f t="shared" si="1053"/>
        <v>202212</v>
      </c>
      <c r="AQ3543" s="203" t="str">
        <f t="shared" si="1054"/>
        <v/>
      </c>
      <c r="AR3543" s="206" t="str">
        <f t="shared" si="1055"/>
        <v>C66 SERVICE</v>
      </c>
      <c r="AS3543" s="22" t="str">
        <f t="shared" si="1056"/>
        <v/>
      </c>
      <c r="AT3543" s="24" t="str">
        <f t="shared" si="1057"/>
        <v/>
      </c>
    </row>
    <row r="3544" spans="1:46" ht="42">
      <c r="A3544" s="33" t="str">
        <f t="shared" si="1046"/>
        <v/>
      </c>
      <c r="B3544" s="52"/>
      <c r="C3544" s="52"/>
      <c r="D3544" s="33" t="str">
        <f t="shared" si="1062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8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49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63"/>
        <v/>
      </c>
      <c r="AA3544" s="128"/>
      <c r="AB3544" s="129">
        <v>439000</v>
      </c>
      <c r="AC3544" s="130">
        <f t="shared" si="1050"/>
        <v>0</v>
      </c>
      <c r="AD3544" s="153"/>
      <c r="AE3544" s="154">
        <f t="shared" si="1051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60"/>
        <v>17329060.066371687</v>
      </c>
      <c r="AJ3544" s="19">
        <f t="shared" si="1061"/>
        <v>2472600.2142256643</v>
      </c>
      <c r="AK3544" s="20">
        <f t="shared" si="1052"/>
        <v>0.14268518919984163</v>
      </c>
      <c r="AL3544" s="55"/>
      <c r="AM3544" s="55"/>
      <c r="AN3544" s="55"/>
      <c r="AO3544" s="55"/>
      <c r="AP3544" s="95" t="str">
        <f t="shared" si="1053"/>
        <v>202212</v>
      </c>
      <c r="AQ3544" s="203" t="str">
        <f t="shared" si="1054"/>
        <v/>
      </c>
      <c r="AR3544" s="206" t="str">
        <f t="shared" si="1055"/>
        <v>C66 SERVICE</v>
      </c>
      <c r="AS3544" s="22" t="str">
        <f t="shared" si="1056"/>
        <v/>
      </c>
      <c r="AT3544" s="24" t="str">
        <f t="shared" si="1057"/>
        <v/>
      </c>
    </row>
    <row r="3545" spans="1:46" ht="42">
      <c r="A3545" s="33" t="str">
        <f t="shared" si="1046"/>
        <v/>
      </c>
      <c r="B3545" s="52"/>
      <c r="C3545" s="52"/>
      <c r="D3545" s="33" t="str">
        <f t="shared" si="1062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8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49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63"/>
        <v/>
      </c>
      <c r="AA3545" s="128"/>
      <c r="AB3545" s="129">
        <v>55000</v>
      </c>
      <c r="AC3545" s="130">
        <f t="shared" si="1050"/>
        <v>0</v>
      </c>
      <c r="AD3545" s="153"/>
      <c r="AE3545" s="154">
        <f t="shared" si="1051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60"/>
        <v>17329060.066371687</v>
      </c>
      <c r="AJ3545" s="19">
        <f t="shared" si="1061"/>
        <v>2472600.2142256643</v>
      </c>
      <c r="AK3545" s="20">
        <f t="shared" si="1052"/>
        <v>0.14268518919984163</v>
      </c>
      <c r="AL3545" s="55"/>
      <c r="AM3545" s="55"/>
      <c r="AN3545" s="55"/>
      <c r="AO3545" s="55"/>
      <c r="AP3545" s="95" t="str">
        <f t="shared" si="1053"/>
        <v>202212</v>
      </c>
      <c r="AQ3545" s="203" t="str">
        <f t="shared" si="1054"/>
        <v/>
      </c>
      <c r="AR3545" s="206" t="str">
        <f t="shared" si="1055"/>
        <v>C66 SERVICE</v>
      </c>
      <c r="AS3545" s="22" t="str">
        <f t="shared" si="1056"/>
        <v/>
      </c>
      <c r="AT3545" s="24" t="str">
        <f t="shared" si="1057"/>
        <v/>
      </c>
    </row>
    <row r="3546" spans="1:46" ht="42">
      <c r="A3546" s="33" t="str">
        <f t="shared" si="1046"/>
        <v/>
      </c>
      <c r="B3546" s="23"/>
      <c r="C3546" s="23"/>
      <c r="D3546" s="33" t="str">
        <f t="shared" si="1062"/>
        <v/>
      </c>
      <c r="E3546" s="33" t="str">
        <f t="shared" ref="E3546:E3577" si="1064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8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49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65">IF(W3546="","",IF(W3546="RMB","1.13", "1"))</f>
        <v/>
      </c>
      <c r="Z3546" s="18" t="str">
        <f t="shared" si="1063"/>
        <v/>
      </c>
      <c r="AA3546" s="22"/>
      <c r="AB3546" s="21">
        <v>5000</v>
      </c>
      <c r="AC3546" s="25">
        <f t="shared" si="1050"/>
        <v>0</v>
      </c>
      <c r="AD3546" s="162"/>
      <c r="AE3546" s="26">
        <f t="shared" si="1051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60"/>
        <v>10271727.486725664</v>
      </c>
      <c r="AJ3546" s="27">
        <f t="shared" si="1061"/>
        <v>1227228.7260761063</v>
      </c>
      <c r="AK3546" s="28">
        <f t="shared" si="1052"/>
        <v>0.11947637120066472</v>
      </c>
      <c r="AL3546" s="24"/>
      <c r="AM3546" s="24"/>
      <c r="AN3546" s="24"/>
      <c r="AO3546" s="24"/>
      <c r="AP3546" s="95" t="str">
        <f t="shared" si="1053"/>
        <v>202312</v>
      </c>
      <c r="AQ3546" s="203" t="str">
        <f t="shared" si="1054"/>
        <v/>
      </c>
      <c r="AR3546" s="206" t="str">
        <f t="shared" si="1055"/>
        <v>C66 SERVICE</v>
      </c>
      <c r="AS3546" s="22" t="str">
        <f t="shared" si="1056"/>
        <v/>
      </c>
      <c r="AT3546" s="24" t="str">
        <f t="shared" si="1057"/>
        <v/>
      </c>
    </row>
    <row r="3547" spans="1:46" ht="42">
      <c r="A3547" s="33" t="str">
        <f t="shared" si="1046"/>
        <v/>
      </c>
      <c r="B3547" s="23"/>
      <c r="C3547" s="23"/>
      <c r="D3547" s="33" t="str">
        <f t="shared" si="1062"/>
        <v/>
      </c>
      <c r="E3547" s="33" t="str">
        <f t="shared" si="1064"/>
        <v>FY 23/24</v>
      </c>
      <c r="F3547" s="152">
        <v>2023</v>
      </c>
      <c r="G3547" s="152">
        <v>12</v>
      </c>
      <c r="H3547" s="29"/>
      <c r="I3547" s="93" t="str">
        <f t="shared" si="1048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49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65"/>
        <v/>
      </c>
      <c r="Z3547" s="18" t="str">
        <f t="shared" si="1063"/>
        <v/>
      </c>
      <c r="AA3547" s="22"/>
      <c r="AB3547" s="21">
        <v>100000</v>
      </c>
      <c r="AC3547" s="25">
        <f t="shared" si="1050"/>
        <v>0</v>
      </c>
      <c r="AD3547" s="162"/>
      <c r="AE3547" s="26">
        <f t="shared" si="1051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60"/>
        <v>10271727.486725664</v>
      </c>
      <c r="AJ3547" s="27">
        <f t="shared" si="1061"/>
        <v>1227228.7260761063</v>
      </c>
      <c r="AK3547" s="28">
        <f t="shared" si="1052"/>
        <v>0.11947637120066472</v>
      </c>
      <c r="AL3547" s="24"/>
      <c r="AM3547" s="24"/>
      <c r="AN3547" s="24"/>
      <c r="AO3547" s="24"/>
      <c r="AP3547" s="95" t="str">
        <f t="shared" si="1053"/>
        <v>202312</v>
      </c>
      <c r="AQ3547" s="203" t="str">
        <f t="shared" si="1054"/>
        <v/>
      </c>
      <c r="AR3547" s="206" t="str">
        <f t="shared" si="1055"/>
        <v>C66 SERVICE</v>
      </c>
      <c r="AS3547" s="22" t="str">
        <f t="shared" si="1056"/>
        <v/>
      </c>
      <c r="AT3547" s="24" t="str">
        <f t="shared" si="1057"/>
        <v/>
      </c>
    </row>
    <row r="3548" spans="1:46" ht="42">
      <c r="A3548" s="33" t="str">
        <f t="shared" si="1046"/>
        <v/>
      </c>
      <c r="B3548" s="23"/>
      <c r="C3548" s="23"/>
      <c r="D3548" s="33" t="str">
        <f t="shared" si="1062"/>
        <v/>
      </c>
      <c r="E3548" s="33" t="str">
        <f t="shared" si="1064"/>
        <v>FY 23/24</v>
      </c>
      <c r="F3548" s="152">
        <v>2023</v>
      </c>
      <c r="G3548" s="152">
        <v>12</v>
      </c>
      <c r="H3548" s="29"/>
      <c r="I3548" s="93" t="str">
        <f t="shared" si="1048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49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65"/>
        <v/>
      </c>
      <c r="Z3548" s="18" t="str">
        <f t="shared" si="1063"/>
        <v/>
      </c>
      <c r="AA3548" s="22"/>
      <c r="AB3548" s="21">
        <v>200000</v>
      </c>
      <c r="AC3548" s="25">
        <f t="shared" si="1050"/>
        <v>0</v>
      </c>
      <c r="AD3548" s="162"/>
      <c r="AE3548" s="26">
        <f t="shared" si="1051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60"/>
        <v>10271727.486725664</v>
      </c>
      <c r="AJ3548" s="27">
        <f t="shared" si="1061"/>
        <v>1227228.7260761063</v>
      </c>
      <c r="AK3548" s="28">
        <f t="shared" si="1052"/>
        <v>0.11947637120066472</v>
      </c>
      <c r="AL3548" s="24"/>
      <c r="AM3548" s="24"/>
      <c r="AN3548" s="24"/>
      <c r="AO3548" s="24"/>
      <c r="AP3548" s="95" t="str">
        <f t="shared" si="1053"/>
        <v>202312</v>
      </c>
      <c r="AQ3548" s="203" t="str">
        <f t="shared" si="1054"/>
        <v/>
      </c>
      <c r="AR3548" s="206" t="str">
        <f t="shared" si="1055"/>
        <v>C66 SERVICE</v>
      </c>
      <c r="AS3548" s="22" t="str">
        <f t="shared" si="1056"/>
        <v/>
      </c>
      <c r="AT3548" s="24" t="str">
        <f t="shared" si="1057"/>
        <v/>
      </c>
    </row>
    <row r="3549" spans="1:46" ht="42">
      <c r="A3549" s="33" t="str">
        <f t="shared" si="1046"/>
        <v/>
      </c>
      <c r="B3549" s="23"/>
      <c r="C3549" s="23"/>
      <c r="D3549" s="33" t="str">
        <f t="shared" si="1062"/>
        <v/>
      </c>
      <c r="E3549" s="33" t="str">
        <f t="shared" si="1064"/>
        <v>FY 23/24</v>
      </c>
      <c r="F3549" s="152">
        <v>2023</v>
      </c>
      <c r="G3549" s="152">
        <v>12</v>
      </c>
      <c r="H3549" s="29"/>
      <c r="I3549" s="93" t="str">
        <f t="shared" si="1048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49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65"/>
        <v/>
      </c>
      <c r="Z3549" s="18" t="str">
        <f t="shared" si="1063"/>
        <v/>
      </c>
      <c r="AA3549" s="22"/>
      <c r="AB3549" s="21">
        <v>250000</v>
      </c>
      <c r="AC3549" s="25">
        <f t="shared" si="1050"/>
        <v>0</v>
      </c>
      <c r="AD3549" s="162"/>
      <c r="AE3549" s="26">
        <f t="shared" si="1051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60"/>
        <v>10271727.486725664</v>
      </c>
      <c r="AJ3549" s="27">
        <f t="shared" si="1061"/>
        <v>1227228.7260761063</v>
      </c>
      <c r="AK3549" s="28">
        <f t="shared" si="1052"/>
        <v>0.11947637120066472</v>
      </c>
      <c r="AL3549" s="24"/>
      <c r="AM3549" s="24"/>
      <c r="AN3549" s="24"/>
      <c r="AO3549" s="24"/>
      <c r="AP3549" s="95" t="str">
        <f t="shared" si="1053"/>
        <v>202312</v>
      </c>
      <c r="AQ3549" s="203" t="str">
        <f t="shared" si="1054"/>
        <v/>
      </c>
      <c r="AR3549" s="206" t="str">
        <f t="shared" si="1055"/>
        <v>C66 SERVICE</v>
      </c>
      <c r="AS3549" s="22" t="str">
        <f t="shared" si="1056"/>
        <v/>
      </c>
      <c r="AT3549" s="24" t="str">
        <f t="shared" si="1057"/>
        <v/>
      </c>
    </row>
    <row r="3550" spans="1:46" ht="42">
      <c r="A3550" s="33" t="str">
        <f t="shared" si="1046"/>
        <v/>
      </c>
      <c r="B3550" s="23"/>
      <c r="C3550" s="23"/>
      <c r="D3550" s="33" t="str">
        <f t="shared" si="1062"/>
        <v/>
      </c>
      <c r="E3550" s="33" t="str">
        <f t="shared" si="1064"/>
        <v>FY 23/24</v>
      </c>
      <c r="F3550" s="23">
        <v>2024</v>
      </c>
      <c r="G3550" s="23">
        <v>1</v>
      </c>
      <c r="H3550" s="29"/>
      <c r="I3550" s="93" t="str">
        <f t="shared" si="1048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49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65"/>
        <v/>
      </c>
      <c r="Z3550" s="18" t="str">
        <f t="shared" si="1063"/>
        <v/>
      </c>
      <c r="AA3550" s="22"/>
      <c r="AB3550" s="21">
        <v>45000</v>
      </c>
      <c r="AC3550" s="25">
        <f t="shared" si="1050"/>
        <v>13500</v>
      </c>
      <c r="AD3550" s="162">
        <v>0.3</v>
      </c>
      <c r="AE3550" s="26">
        <f t="shared" si="1051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60"/>
        <v>21575119.674336284</v>
      </c>
      <c r="AJ3550" s="27">
        <f t="shared" si="1061"/>
        <v>2556656.3801490259</v>
      </c>
      <c r="AK3550" s="28">
        <f t="shared" si="1052"/>
        <v>0.1185002177851269</v>
      </c>
      <c r="AL3550" s="24"/>
      <c r="AM3550" s="24"/>
      <c r="AN3550" s="24"/>
      <c r="AO3550" s="24"/>
      <c r="AP3550" s="95" t="str">
        <f t="shared" si="1053"/>
        <v>20241</v>
      </c>
      <c r="AQ3550" s="203" t="str">
        <f t="shared" si="1054"/>
        <v/>
      </c>
      <c r="AR3550" s="206" t="str">
        <f t="shared" si="1055"/>
        <v>C66 SERVICE</v>
      </c>
      <c r="AS3550" s="22" t="str">
        <f t="shared" si="1056"/>
        <v/>
      </c>
      <c r="AT3550" s="24" t="str">
        <f t="shared" si="1057"/>
        <v/>
      </c>
    </row>
    <row r="3551" spans="1:46" ht="42">
      <c r="A3551" s="33" t="str">
        <f t="shared" si="1046"/>
        <v/>
      </c>
      <c r="B3551" s="23"/>
      <c r="C3551" s="23"/>
      <c r="D3551" s="33" t="str">
        <f t="shared" si="1062"/>
        <v/>
      </c>
      <c r="E3551" s="33" t="str">
        <f t="shared" si="1064"/>
        <v>FY 23/24</v>
      </c>
      <c r="F3551" s="23">
        <v>2024</v>
      </c>
      <c r="G3551" s="23">
        <v>1</v>
      </c>
      <c r="H3551" s="29"/>
      <c r="I3551" s="93" t="str">
        <f t="shared" si="1048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49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65"/>
        <v/>
      </c>
      <c r="Z3551" s="18" t="str">
        <f t="shared" si="1063"/>
        <v/>
      </c>
      <c r="AA3551" s="22"/>
      <c r="AB3551" s="21">
        <v>15000</v>
      </c>
      <c r="AC3551" s="25">
        <f t="shared" si="1050"/>
        <v>4500</v>
      </c>
      <c r="AD3551" s="162">
        <v>0.3</v>
      </c>
      <c r="AE3551" s="26">
        <f t="shared" si="1051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60"/>
        <v>21575119.674336284</v>
      </c>
      <c r="AJ3551" s="27">
        <f t="shared" si="1061"/>
        <v>2556656.3801490259</v>
      </c>
      <c r="AK3551" s="28">
        <f t="shared" si="1052"/>
        <v>0.1185002177851269</v>
      </c>
      <c r="AL3551" s="24"/>
      <c r="AM3551" s="24"/>
      <c r="AN3551" s="24"/>
      <c r="AO3551" s="24"/>
      <c r="AP3551" s="95" t="str">
        <f t="shared" si="1053"/>
        <v>20241</v>
      </c>
      <c r="AQ3551" s="203" t="str">
        <f t="shared" si="1054"/>
        <v/>
      </c>
      <c r="AR3551" s="206" t="str">
        <f t="shared" si="1055"/>
        <v>C66 SERVICE</v>
      </c>
      <c r="AS3551" s="22" t="str">
        <f t="shared" si="1056"/>
        <v/>
      </c>
      <c r="AT3551" s="24" t="str">
        <f t="shared" si="1057"/>
        <v/>
      </c>
    </row>
    <row r="3552" spans="1:46" ht="42">
      <c r="A3552" s="33" t="str">
        <f t="shared" si="1046"/>
        <v/>
      </c>
      <c r="B3552" s="23"/>
      <c r="C3552" s="23"/>
      <c r="D3552" s="33" t="str">
        <f t="shared" si="1062"/>
        <v/>
      </c>
      <c r="E3552" s="33" t="str">
        <f t="shared" si="1064"/>
        <v>FY 23/24</v>
      </c>
      <c r="F3552" s="23">
        <v>2024</v>
      </c>
      <c r="G3552" s="23">
        <v>1</v>
      </c>
      <c r="H3552" s="29"/>
      <c r="I3552" s="93" t="str">
        <f t="shared" si="1048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49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65"/>
        <v/>
      </c>
      <c r="Z3552" s="18" t="str">
        <f t="shared" si="1063"/>
        <v/>
      </c>
      <c r="AA3552" s="22"/>
      <c r="AB3552" s="21">
        <v>94000</v>
      </c>
      <c r="AC3552" s="25">
        <f t="shared" si="1050"/>
        <v>28200</v>
      </c>
      <c r="AD3552" s="162">
        <v>0.3</v>
      </c>
      <c r="AE3552" s="26">
        <f t="shared" si="1051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60"/>
        <v>21575119.674336284</v>
      </c>
      <c r="AJ3552" s="27">
        <f t="shared" si="1061"/>
        <v>2556656.3801490259</v>
      </c>
      <c r="AK3552" s="28">
        <f t="shared" si="1052"/>
        <v>0.1185002177851269</v>
      </c>
      <c r="AL3552" s="24"/>
      <c r="AM3552" s="24"/>
      <c r="AN3552" s="24"/>
      <c r="AO3552" s="24"/>
      <c r="AP3552" s="95" t="str">
        <f t="shared" si="1053"/>
        <v>20241</v>
      </c>
      <c r="AQ3552" s="203" t="str">
        <f t="shared" si="1054"/>
        <v/>
      </c>
      <c r="AR3552" s="206" t="str">
        <f t="shared" si="1055"/>
        <v>C66 SERVICE</v>
      </c>
      <c r="AS3552" s="22" t="str">
        <f t="shared" si="1056"/>
        <v/>
      </c>
      <c r="AT3552" s="24" t="str">
        <f t="shared" si="1057"/>
        <v/>
      </c>
    </row>
    <row r="3553" spans="1:46" ht="42">
      <c r="A3553" s="33" t="str">
        <f t="shared" si="1046"/>
        <v/>
      </c>
      <c r="B3553" s="23"/>
      <c r="C3553" s="23"/>
      <c r="D3553" s="33" t="str">
        <f t="shared" si="1062"/>
        <v/>
      </c>
      <c r="E3553" s="33" t="str">
        <f t="shared" si="1064"/>
        <v>FY 23/24</v>
      </c>
      <c r="F3553" s="23">
        <v>2024</v>
      </c>
      <c r="G3553" s="23">
        <v>1</v>
      </c>
      <c r="H3553" s="29"/>
      <c r="I3553" s="93" t="str">
        <f t="shared" si="1048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49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65"/>
        <v/>
      </c>
      <c r="Z3553" s="18" t="str">
        <f t="shared" si="1063"/>
        <v/>
      </c>
      <c r="AA3553" s="22"/>
      <c r="AB3553" s="21">
        <v>193000</v>
      </c>
      <c r="AC3553" s="25">
        <f t="shared" si="1050"/>
        <v>57900</v>
      </c>
      <c r="AD3553" s="162">
        <v>0.3</v>
      </c>
      <c r="AE3553" s="26">
        <f t="shared" si="1051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60"/>
        <v>21575119.674336284</v>
      </c>
      <c r="AJ3553" s="27">
        <f t="shared" si="1061"/>
        <v>2556656.3801490259</v>
      </c>
      <c r="AK3553" s="28">
        <f t="shared" si="1052"/>
        <v>0.1185002177851269</v>
      </c>
      <c r="AL3553" s="24"/>
      <c r="AM3553" s="24"/>
      <c r="AN3553" s="24"/>
      <c r="AO3553" s="24"/>
      <c r="AP3553" s="95" t="str">
        <f t="shared" si="1053"/>
        <v>20241</v>
      </c>
      <c r="AQ3553" s="203" t="str">
        <f t="shared" si="1054"/>
        <v/>
      </c>
      <c r="AR3553" s="206" t="str">
        <f t="shared" si="1055"/>
        <v>C66 SERVICE</v>
      </c>
      <c r="AS3553" s="22" t="str">
        <f t="shared" si="1056"/>
        <v/>
      </c>
      <c r="AT3553" s="24" t="str">
        <f t="shared" si="1057"/>
        <v/>
      </c>
    </row>
    <row r="3554" spans="1:46" ht="42">
      <c r="A3554" s="33" t="str">
        <f t="shared" si="1046"/>
        <v/>
      </c>
      <c r="B3554" s="23"/>
      <c r="C3554" s="23"/>
      <c r="D3554" s="33" t="str">
        <f t="shared" si="1062"/>
        <v/>
      </c>
      <c r="E3554" s="33" t="str">
        <f t="shared" si="1064"/>
        <v>FY 23/24</v>
      </c>
      <c r="F3554" s="23">
        <v>2024</v>
      </c>
      <c r="G3554" s="23">
        <v>2</v>
      </c>
      <c r="H3554" s="29"/>
      <c r="I3554" s="93" t="str">
        <f t="shared" si="1048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49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65"/>
        <v/>
      </c>
      <c r="Z3554" s="18" t="str">
        <f t="shared" si="1063"/>
        <v/>
      </c>
      <c r="AA3554" s="22"/>
      <c r="AB3554" s="21">
        <v>0</v>
      </c>
      <c r="AC3554" s="25">
        <f t="shared" si="1050"/>
        <v>0</v>
      </c>
      <c r="AD3554" s="162">
        <v>0.3</v>
      </c>
      <c r="AE3554" s="26">
        <f t="shared" si="1051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60"/>
        <v>10524262.405309737</v>
      </c>
      <c r="AJ3554" s="27">
        <f t="shared" si="1061"/>
        <v>1479050.9527127435</v>
      </c>
      <c r="AK3554" s="28">
        <f t="shared" si="1052"/>
        <v>0.14053725532028996</v>
      </c>
      <c r="AL3554" s="24"/>
      <c r="AM3554" s="24"/>
      <c r="AN3554" s="24"/>
      <c r="AO3554" s="24"/>
      <c r="AP3554" s="95" t="str">
        <f t="shared" si="1053"/>
        <v>20242</v>
      </c>
      <c r="AQ3554" s="203" t="str">
        <f t="shared" si="1054"/>
        <v/>
      </c>
      <c r="AR3554" s="206" t="str">
        <f t="shared" si="1055"/>
        <v>C66 SERVICE</v>
      </c>
      <c r="AS3554" s="22" t="str">
        <f t="shared" si="1056"/>
        <v/>
      </c>
      <c r="AT3554" s="24" t="str">
        <f t="shared" si="1057"/>
        <v/>
      </c>
    </row>
    <row r="3555" spans="1:46" ht="42">
      <c r="A3555" s="33" t="str">
        <f t="shared" si="1046"/>
        <v/>
      </c>
      <c r="B3555" s="23"/>
      <c r="C3555" s="23"/>
      <c r="D3555" s="33" t="str">
        <f t="shared" si="1062"/>
        <v/>
      </c>
      <c r="E3555" s="33" t="str">
        <f t="shared" si="1064"/>
        <v>FY 23/24</v>
      </c>
      <c r="F3555" s="23">
        <v>2024</v>
      </c>
      <c r="G3555" s="23">
        <v>2</v>
      </c>
      <c r="H3555" s="29"/>
      <c r="I3555" s="93" t="str">
        <f t="shared" si="1048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49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65"/>
        <v/>
      </c>
      <c r="Z3555" s="18" t="str">
        <f t="shared" si="1063"/>
        <v/>
      </c>
      <c r="AA3555" s="22"/>
      <c r="AB3555" s="21">
        <v>27000</v>
      </c>
      <c r="AC3555" s="25">
        <f t="shared" si="1050"/>
        <v>8100</v>
      </c>
      <c r="AD3555" s="162">
        <v>0.3</v>
      </c>
      <c r="AE3555" s="26">
        <f t="shared" si="1051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60"/>
        <v>10524262.405309737</v>
      </c>
      <c r="AJ3555" s="27">
        <f t="shared" si="1061"/>
        <v>1479050.9527127435</v>
      </c>
      <c r="AK3555" s="28">
        <f t="shared" si="1052"/>
        <v>0.14053725532028996</v>
      </c>
      <c r="AL3555" s="24"/>
      <c r="AM3555" s="24"/>
      <c r="AN3555" s="24"/>
      <c r="AO3555" s="24"/>
      <c r="AP3555" s="95" t="str">
        <f t="shared" si="1053"/>
        <v>20242</v>
      </c>
      <c r="AQ3555" s="203" t="str">
        <f t="shared" si="1054"/>
        <v/>
      </c>
      <c r="AR3555" s="206" t="str">
        <f t="shared" si="1055"/>
        <v>C66 SERVICE</v>
      </c>
      <c r="AS3555" s="22" t="str">
        <f t="shared" si="1056"/>
        <v/>
      </c>
      <c r="AT3555" s="24" t="str">
        <f t="shared" si="1057"/>
        <v/>
      </c>
    </row>
    <row r="3556" spans="1:46" ht="42">
      <c r="A3556" s="33" t="str">
        <f t="shared" si="1046"/>
        <v/>
      </c>
      <c r="B3556" s="23"/>
      <c r="C3556" s="23"/>
      <c r="D3556" s="33" t="str">
        <f t="shared" si="1062"/>
        <v/>
      </c>
      <c r="E3556" s="33" t="str">
        <f t="shared" si="1064"/>
        <v>FY 23/24</v>
      </c>
      <c r="F3556" s="23">
        <v>2024</v>
      </c>
      <c r="G3556" s="23">
        <v>2</v>
      </c>
      <c r="H3556" s="29"/>
      <c r="I3556" s="93" t="str">
        <f t="shared" si="1048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49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65"/>
        <v/>
      </c>
      <c r="Z3556" s="18" t="str">
        <f t="shared" si="1063"/>
        <v/>
      </c>
      <c r="AA3556" s="22"/>
      <c r="AB3556" s="21">
        <v>21000</v>
      </c>
      <c r="AC3556" s="25">
        <f t="shared" si="1050"/>
        <v>6300</v>
      </c>
      <c r="AD3556" s="162">
        <v>0.3</v>
      </c>
      <c r="AE3556" s="26">
        <f t="shared" si="1051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60"/>
        <v>10524262.405309737</v>
      </c>
      <c r="AJ3556" s="27">
        <f t="shared" si="1061"/>
        <v>1479050.9527127435</v>
      </c>
      <c r="AK3556" s="28">
        <f t="shared" si="1052"/>
        <v>0.14053725532028996</v>
      </c>
      <c r="AL3556" s="24"/>
      <c r="AM3556" s="24"/>
      <c r="AN3556" s="24"/>
      <c r="AO3556" s="24"/>
      <c r="AP3556" s="95" t="str">
        <f t="shared" si="1053"/>
        <v>20242</v>
      </c>
      <c r="AQ3556" s="203" t="str">
        <f t="shared" si="1054"/>
        <v/>
      </c>
      <c r="AR3556" s="206" t="str">
        <f t="shared" si="1055"/>
        <v>C66 SERVICE</v>
      </c>
      <c r="AS3556" s="22" t="str">
        <f t="shared" si="1056"/>
        <v/>
      </c>
      <c r="AT3556" s="24" t="str">
        <f t="shared" si="1057"/>
        <v/>
      </c>
    </row>
    <row r="3557" spans="1:46" ht="42">
      <c r="A3557" s="33" t="str">
        <f t="shared" si="1046"/>
        <v/>
      </c>
      <c r="B3557" s="23"/>
      <c r="C3557" s="23"/>
      <c r="D3557" s="33" t="str">
        <f t="shared" si="1062"/>
        <v/>
      </c>
      <c r="E3557" s="33" t="str">
        <f t="shared" si="1064"/>
        <v>FY 23/24</v>
      </c>
      <c r="F3557" s="23">
        <v>2024</v>
      </c>
      <c r="G3557" s="23">
        <v>2</v>
      </c>
      <c r="H3557" s="29"/>
      <c r="I3557" s="93" t="str">
        <f t="shared" si="1048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49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65"/>
        <v/>
      </c>
      <c r="Z3557" s="18" t="str">
        <f t="shared" si="1063"/>
        <v/>
      </c>
      <c r="AA3557" s="22"/>
      <c r="AB3557" s="21">
        <v>257000</v>
      </c>
      <c r="AC3557" s="25">
        <f t="shared" si="1050"/>
        <v>77100</v>
      </c>
      <c r="AD3557" s="162">
        <v>0.3</v>
      </c>
      <c r="AE3557" s="26">
        <f t="shared" si="1051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60"/>
        <v>10524262.405309737</v>
      </c>
      <c r="AJ3557" s="27">
        <f t="shared" si="1061"/>
        <v>1479050.9527127435</v>
      </c>
      <c r="AK3557" s="28">
        <f t="shared" si="1052"/>
        <v>0.14053725532028996</v>
      </c>
      <c r="AL3557" s="24"/>
      <c r="AM3557" s="24"/>
      <c r="AN3557" s="24"/>
      <c r="AO3557" s="24"/>
      <c r="AP3557" s="95" t="str">
        <f t="shared" si="1053"/>
        <v>20242</v>
      </c>
      <c r="AQ3557" s="203" t="str">
        <f t="shared" si="1054"/>
        <v/>
      </c>
      <c r="AR3557" s="206" t="str">
        <f t="shared" si="1055"/>
        <v>C66 SERVICE</v>
      </c>
      <c r="AS3557" s="22" t="str">
        <f t="shared" si="1056"/>
        <v/>
      </c>
      <c r="AT3557" s="24" t="str">
        <f t="shared" si="1057"/>
        <v/>
      </c>
    </row>
    <row r="3558" spans="1:46" ht="42">
      <c r="A3558" s="33" t="str">
        <f t="shared" si="1046"/>
        <v/>
      </c>
      <c r="B3558" s="23"/>
      <c r="C3558" s="23"/>
      <c r="D3558" s="33" t="str">
        <f t="shared" si="1062"/>
        <v/>
      </c>
      <c r="E3558" s="33" t="str">
        <f t="shared" si="1064"/>
        <v>FY 23/24</v>
      </c>
      <c r="F3558" s="23">
        <v>2024</v>
      </c>
      <c r="G3558" s="23">
        <v>3</v>
      </c>
      <c r="H3558" s="29"/>
      <c r="I3558" s="93" t="str">
        <f t="shared" si="1048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49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65"/>
        <v/>
      </c>
      <c r="Z3558" s="18" t="str">
        <f t="shared" si="1063"/>
        <v/>
      </c>
      <c r="AA3558" s="22"/>
      <c r="AB3558" s="21">
        <v>906000</v>
      </c>
      <c r="AC3558" s="25">
        <f t="shared" si="1050"/>
        <v>271800</v>
      </c>
      <c r="AD3558" s="162">
        <v>0.3</v>
      </c>
      <c r="AE3558" s="26">
        <f t="shared" si="1051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60"/>
        <v>21194662.454867262</v>
      </c>
      <c r="AJ3558" s="27">
        <f t="shared" si="1061"/>
        <v>2981431.5970757701</v>
      </c>
      <c r="AK3558" s="28">
        <f t="shared" si="1052"/>
        <v>0.14066898226968919</v>
      </c>
      <c r="AL3558" s="24"/>
      <c r="AM3558" s="24"/>
      <c r="AN3558" s="24"/>
      <c r="AO3558" s="24"/>
      <c r="AP3558" s="95" t="str">
        <f t="shared" si="1053"/>
        <v>20243</v>
      </c>
      <c r="AQ3558" s="203" t="str">
        <f t="shared" si="1054"/>
        <v/>
      </c>
      <c r="AR3558" s="206" t="str">
        <f t="shared" si="1055"/>
        <v>C66 SERVICE</v>
      </c>
      <c r="AS3558" s="22" t="str">
        <f t="shared" si="1056"/>
        <v/>
      </c>
      <c r="AT3558" s="24" t="str">
        <f t="shared" si="1057"/>
        <v/>
      </c>
    </row>
    <row r="3559" spans="1:46" ht="42">
      <c r="A3559" s="33" t="str">
        <f t="shared" si="1046"/>
        <v/>
      </c>
      <c r="B3559" s="23"/>
      <c r="C3559" s="23"/>
      <c r="D3559" s="33" t="str">
        <f t="shared" si="1062"/>
        <v/>
      </c>
      <c r="E3559" s="33" t="str">
        <f t="shared" si="1064"/>
        <v>FY 23/24</v>
      </c>
      <c r="F3559" s="23">
        <v>2024</v>
      </c>
      <c r="G3559" s="23">
        <v>3</v>
      </c>
      <c r="H3559" s="29"/>
      <c r="I3559" s="93" t="str">
        <f t="shared" si="1048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49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65"/>
        <v/>
      </c>
      <c r="Z3559" s="18" t="str">
        <f t="shared" si="1063"/>
        <v/>
      </c>
      <c r="AA3559" s="22"/>
      <c r="AB3559" s="21">
        <v>22000</v>
      </c>
      <c r="AC3559" s="25">
        <f t="shared" si="1050"/>
        <v>6600</v>
      </c>
      <c r="AD3559" s="162">
        <v>0.3</v>
      </c>
      <c r="AE3559" s="26">
        <f t="shared" si="1051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60"/>
        <v>21194662.454867262</v>
      </c>
      <c r="AJ3559" s="27">
        <f t="shared" si="1061"/>
        <v>2981431.5970757701</v>
      </c>
      <c r="AK3559" s="28">
        <f t="shared" si="1052"/>
        <v>0.14066898226968919</v>
      </c>
      <c r="AL3559" s="24"/>
      <c r="AM3559" s="24"/>
      <c r="AN3559" s="24"/>
      <c r="AO3559" s="24"/>
      <c r="AP3559" s="95" t="str">
        <f t="shared" si="1053"/>
        <v>20243</v>
      </c>
      <c r="AQ3559" s="203" t="str">
        <f t="shared" si="1054"/>
        <v/>
      </c>
      <c r="AR3559" s="206" t="str">
        <f t="shared" si="1055"/>
        <v>C66 SERVICE</v>
      </c>
      <c r="AS3559" s="22" t="str">
        <f t="shared" si="1056"/>
        <v/>
      </c>
      <c r="AT3559" s="24" t="str">
        <f t="shared" si="1057"/>
        <v/>
      </c>
    </row>
    <row r="3560" spans="1:46" ht="42">
      <c r="A3560" s="33" t="str">
        <f t="shared" si="1046"/>
        <v/>
      </c>
      <c r="B3560" s="23"/>
      <c r="C3560" s="23"/>
      <c r="D3560" s="33" t="str">
        <f t="shared" si="1062"/>
        <v/>
      </c>
      <c r="E3560" s="33" t="str">
        <f t="shared" si="1064"/>
        <v>FY 23/24</v>
      </c>
      <c r="F3560" s="23">
        <v>2024</v>
      </c>
      <c r="G3560" s="23">
        <v>3</v>
      </c>
      <c r="H3560" s="29"/>
      <c r="I3560" s="93" t="str">
        <f t="shared" si="1048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49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65"/>
        <v/>
      </c>
      <c r="Z3560" s="18" t="str">
        <f t="shared" si="1063"/>
        <v/>
      </c>
      <c r="AA3560" s="22"/>
      <c r="AB3560" s="21">
        <v>13000</v>
      </c>
      <c r="AC3560" s="25">
        <f t="shared" si="1050"/>
        <v>3900</v>
      </c>
      <c r="AD3560" s="162">
        <v>0.3</v>
      </c>
      <c r="AE3560" s="26">
        <f t="shared" si="1051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60"/>
        <v>21194662.454867262</v>
      </c>
      <c r="AJ3560" s="27">
        <f t="shared" si="1061"/>
        <v>2981431.5970757701</v>
      </c>
      <c r="AK3560" s="28">
        <f t="shared" si="1052"/>
        <v>0.14066898226968919</v>
      </c>
      <c r="AL3560" s="24"/>
      <c r="AM3560" s="24"/>
      <c r="AN3560" s="24"/>
      <c r="AO3560" s="24"/>
      <c r="AP3560" s="95" t="str">
        <f t="shared" si="1053"/>
        <v>20243</v>
      </c>
      <c r="AQ3560" s="203" t="str">
        <f t="shared" si="1054"/>
        <v/>
      </c>
      <c r="AR3560" s="206" t="str">
        <f t="shared" si="1055"/>
        <v>C66 SERVICE</v>
      </c>
      <c r="AS3560" s="22" t="str">
        <f t="shared" si="1056"/>
        <v/>
      </c>
      <c r="AT3560" s="24" t="str">
        <f t="shared" si="1057"/>
        <v/>
      </c>
    </row>
    <row r="3561" spans="1:46" ht="42">
      <c r="A3561" s="33" t="str">
        <f t="shared" si="1046"/>
        <v/>
      </c>
      <c r="B3561" s="23"/>
      <c r="C3561" s="23"/>
      <c r="D3561" s="33" t="str">
        <f t="shared" si="1062"/>
        <v/>
      </c>
      <c r="E3561" s="33" t="str">
        <f t="shared" si="1064"/>
        <v>FY 23/24</v>
      </c>
      <c r="F3561" s="23">
        <v>2024</v>
      </c>
      <c r="G3561" s="23">
        <v>3</v>
      </c>
      <c r="H3561" s="29"/>
      <c r="I3561" s="93" t="str">
        <f t="shared" si="1048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49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65"/>
        <v/>
      </c>
      <c r="Z3561" s="18" t="str">
        <f t="shared" si="1063"/>
        <v/>
      </c>
      <c r="AA3561" s="22"/>
      <c r="AB3561" s="21">
        <v>147000</v>
      </c>
      <c r="AC3561" s="25">
        <f t="shared" si="1050"/>
        <v>44100</v>
      </c>
      <c r="AD3561" s="162">
        <v>0.3</v>
      </c>
      <c r="AE3561" s="26">
        <f t="shared" si="1051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60"/>
        <v>21194662.454867262</v>
      </c>
      <c r="AJ3561" s="27">
        <f t="shared" si="1061"/>
        <v>2981431.5970757701</v>
      </c>
      <c r="AK3561" s="28">
        <f t="shared" si="1052"/>
        <v>0.14066898226968919</v>
      </c>
      <c r="AL3561" s="24"/>
      <c r="AM3561" s="24"/>
      <c r="AN3561" s="24"/>
      <c r="AO3561" s="24"/>
      <c r="AP3561" s="95" t="str">
        <f t="shared" si="1053"/>
        <v>20243</v>
      </c>
      <c r="AQ3561" s="203" t="str">
        <f t="shared" si="1054"/>
        <v/>
      </c>
      <c r="AR3561" s="206" t="str">
        <f t="shared" si="1055"/>
        <v>C66 SERVICE</v>
      </c>
      <c r="AS3561" s="22" t="str">
        <f t="shared" si="1056"/>
        <v/>
      </c>
      <c r="AT3561" s="24" t="str">
        <f t="shared" si="1057"/>
        <v/>
      </c>
    </row>
    <row r="3562" spans="1:46" ht="42">
      <c r="A3562" s="33" t="str">
        <f t="shared" si="1046"/>
        <v/>
      </c>
      <c r="B3562" s="23"/>
      <c r="C3562" s="23"/>
      <c r="D3562" s="33" t="str">
        <f t="shared" si="1062"/>
        <v/>
      </c>
      <c r="E3562" s="33" t="str">
        <f t="shared" si="1064"/>
        <v>FY 24/25</v>
      </c>
      <c r="F3562" s="23">
        <v>2024</v>
      </c>
      <c r="G3562" s="23">
        <v>4</v>
      </c>
      <c r="H3562" s="29"/>
      <c r="I3562" s="93" t="str">
        <f t="shared" si="1048"/>
        <v>Q1</v>
      </c>
      <c r="J3562" s="188"/>
      <c r="K3562" s="29"/>
      <c r="L3562" s="17" t="s">
        <v>44</v>
      </c>
      <c r="M3562" s="22" t="s">
        <v>44</v>
      </c>
      <c r="N3562" s="22">
        <v>0</v>
      </c>
      <c r="O3562" s="22"/>
      <c r="P3562" s="33" t="str">
        <f t="shared" si="1049"/>
        <v>C66 SERVICE/OTHERS</v>
      </c>
      <c r="Q3562" s="22" t="s">
        <v>46</v>
      </c>
      <c r="R3562" s="22" t="s">
        <v>46</v>
      </c>
      <c r="S3562" s="22" t="s">
        <v>53</v>
      </c>
      <c r="T3562" s="22"/>
      <c r="U3562" s="22"/>
      <c r="V3562" s="22"/>
      <c r="W3562" s="22"/>
      <c r="X3562" s="30"/>
      <c r="Y3562" s="31" t="str">
        <f t="shared" si="1065"/>
        <v/>
      </c>
      <c r="Z3562" s="18" t="str">
        <f t="shared" si="1063"/>
        <v/>
      </c>
      <c r="AA3562" s="22"/>
      <c r="AB3562" s="21">
        <v>128000</v>
      </c>
      <c r="AC3562" s="25">
        <f t="shared" si="1050"/>
        <v>38400</v>
      </c>
      <c r="AD3562" s="162">
        <v>0.3</v>
      </c>
      <c r="AE3562" s="26">
        <f t="shared" si="1051"/>
        <v>0</v>
      </c>
      <c r="AF3562" s="26" t="str">
        <f>IF(AND(COUNTIFS($J$18:J3562,J3562)=1,AE3562=1),1,"")</f>
        <v/>
      </c>
      <c r="AG3562" s="26" t="str">
        <f>IF(C3562="","",IF(AND(COUNTIFS($J$18:J3562,J3562)=1,C3562&lt;&gt;""),1,""))</f>
        <v/>
      </c>
      <c r="AH3562" s="26" t="str">
        <f>IF(G3562="","",IF(AND(COUNTIFS($J$18:J3562,J3562)=1,G3562&lt;&gt;""),1,""))</f>
        <v/>
      </c>
      <c r="AI3562" s="27">
        <f t="shared" si="1060"/>
        <v>20319282.700884953</v>
      </c>
      <c r="AJ3562" s="27">
        <f t="shared" si="1061"/>
        <v>2408851.9638623013</v>
      </c>
      <c r="AK3562" s="28">
        <f t="shared" si="1052"/>
        <v>0.11855004919821259</v>
      </c>
      <c r="AL3562" s="24"/>
      <c r="AM3562" s="24"/>
      <c r="AN3562" s="24"/>
      <c r="AO3562" s="24"/>
      <c r="AP3562" s="95" t="str">
        <f t="shared" si="1053"/>
        <v>20244</v>
      </c>
      <c r="AQ3562" s="203" t="str">
        <f t="shared" si="1054"/>
        <v/>
      </c>
      <c r="AR3562" s="206" t="str">
        <f t="shared" si="1055"/>
        <v>C66 SERVICE</v>
      </c>
      <c r="AS3562" s="22" t="str">
        <f t="shared" si="1056"/>
        <v/>
      </c>
      <c r="AT3562" s="24" t="str">
        <f t="shared" si="1057"/>
        <v/>
      </c>
    </row>
    <row r="3563" spans="1:46" ht="42">
      <c r="A3563" s="33" t="str">
        <f t="shared" si="1046"/>
        <v/>
      </c>
      <c r="B3563" s="23"/>
      <c r="C3563" s="23"/>
      <c r="D3563" s="33" t="str">
        <f t="shared" si="1062"/>
        <v/>
      </c>
      <c r="E3563" s="33" t="str">
        <f t="shared" si="1064"/>
        <v>FY 24/25</v>
      </c>
      <c r="F3563" s="23">
        <v>2024</v>
      </c>
      <c r="G3563" s="23">
        <v>4</v>
      </c>
      <c r="H3563" s="29"/>
      <c r="I3563" s="93" t="str">
        <f t="shared" si="1048"/>
        <v>Q1</v>
      </c>
      <c r="J3563" s="188"/>
      <c r="K3563" s="29"/>
      <c r="L3563" s="17" t="s">
        <v>44</v>
      </c>
      <c r="M3563" s="22" t="s">
        <v>44</v>
      </c>
      <c r="N3563" s="22">
        <v>0</v>
      </c>
      <c r="O3563" s="22"/>
      <c r="P3563" s="33" t="str">
        <f t="shared" si="1049"/>
        <v>C66 SERVICE/OTHERS</v>
      </c>
      <c r="Q3563" s="22" t="s">
        <v>46</v>
      </c>
      <c r="R3563" s="22" t="s">
        <v>46</v>
      </c>
      <c r="S3563" s="22" t="s">
        <v>52</v>
      </c>
      <c r="T3563" s="22"/>
      <c r="U3563" s="22"/>
      <c r="V3563" s="22"/>
      <c r="W3563" s="22"/>
      <c r="X3563" s="30"/>
      <c r="Y3563" s="31" t="str">
        <f t="shared" si="1065"/>
        <v/>
      </c>
      <c r="Z3563" s="18" t="str">
        <f t="shared" si="1063"/>
        <v/>
      </c>
      <c r="AA3563" s="22"/>
      <c r="AB3563" s="21">
        <v>51000</v>
      </c>
      <c r="AC3563" s="25">
        <f t="shared" si="1050"/>
        <v>15300</v>
      </c>
      <c r="AD3563" s="162">
        <v>0.3</v>
      </c>
      <c r="AE3563" s="26">
        <f t="shared" si="1051"/>
        <v>0</v>
      </c>
      <c r="AF3563" s="26" t="str">
        <f>IF(AND(COUNTIFS($J$18:J3563,J3563)=1,AE3563=1),1,"")</f>
        <v/>
      </c>
      <c r="AG3563" s="26" t="str">
        <f>IF(C3563="","",IF(AND(COUNTIFS($J$18:J3563,J3563)=1,C3563&lt;&gt;""),1,""))</f>
        <v/>
      </c>
      <c r="AH3563" s="26" t="str">
        <f>IF(G3563="","",IF(AND(COUNTIFS($J$18:J3563,J3563)=1,G3563&lt;&gt;""),1,""))</f>
        <v/>
      </c>
      <c r="AI3563" s="27">
        <f t="shared" si="1060"/>
        <v>20319282.700884953</v>
      </c>
      <c r="AJ3563" s="27">
        <f t="shared" si="1061"/>
        <v>2408851.9638623013</v>
      </c>
      <c r="AK3563" s="28">
        <f t="shared" si="1052"/>
        <v>0.11855004919821259</v>
      </c>
      <c r="AL3563" s="24"/>
      <c r="AM3563" s="24"/>
      <c r="AN3563" s="24"/>
      <c r="AO3563" s="24"/>
      <c r="AP3563" s="95" t="str">
        <f t="shared" si="1053"/>
        <v>20244</v>
      </c>
      <c r="AQ3563" s="203" t="str">
        <f t="shared" si="1054"/>
        <v/>
      </c>
      <c r="AR3563" s="206" t="str">
        <f t="shared" si="1055"/>
        <v>C66 SERVICE</v>
      </c>
      <c r="AS3563" s="22" t="str">
        <f t="shared" si="1056"/>
        <v/>
      </c>
      <c r="AT3563" s="24" t="str">
        <f t="shared" si="1057"/>
        <v/>
      </c>
    </row>
    <row r="3564" spans="1:46" ht="42">
      <c r="A3564" s="33" t="str">
        <f t="shared" ref="A3564:A3627" si="1066">IF(C3564="cancel","cancel",IFERROR(IF(D3564="Q4","FY "&amp;RIGHT(B3564,2)-1&amp;"/"&amp;RIGHT(B3564,2),"FY "&amp;RIGHT(B3564,2)&amp;"/"&amp;RIGHT(B3564,2)+1),""))</f>
        <v/>
      </c>
      <c r="B3564" s="23"/>
      <c r="C3564" s="23"/>
      <c r="D3564" s="33" t="str">
        <f t="shared" si="1062"/>
        <v/>
      </c>
      <c r="E3564" s="33" t="str">
        <f t="shared" si="1064"/>
        <v>FY 24/25</v>
      </c>
      <c r="F3564" s="23">
        <v>2024</v>
      </c>
      <c r="G3564" s="23">
        <v>4</v>
      </c>
      <c r="H3564" s="29"/>
      <c r="I3564" s="93" t="str">
        <f t="shared" ref="I3564:I3627" si="1067">IFERROR(IF(F3564="","",IF(F3564="TBA","TBA",IF(F3564="Cancel","Cancel",IF(AND(G3564&gt;=10,G3564&lt;=12),"Q3",IF(AND(G3564&gt;=1,G3564&lt;=3),"Q4",IF(AND(G3564&gt;=7,G3564&lt;=9),"Q2",IF(AND(G3564&gt;=4,G3564&lt;=6),"Q1"))))))),"")</f>
        <v>Q1</v>
      </c>
      <c r="J3564" s="188"/>
      <c r="K3564" s="29"/>
      <c r="L3564" s="17" t="s">
        <v>44</v>
      </c>
      <c r="M3564" s="22" t="s">
        <v>44</v>
      </c>
      <c r="N3564" s="22">
        <v>0</v>
      </c>
      <c r="O3564" s="22"/>
      <c r="P3564" s="33" t="str">
        <f t="shared" ref="P3564:P3597" si="1068">IF(M3564="","",IF(AND(N3564&gt;0,L3564&lt;&gt;""),"MAIN UNIT",IF(AND(O3564&gt;0,L3564&lt;&gt;""),"SERVICE/ PARTS","C66 SERVICE/OTHERS")))</f>
        <v>C66 SERVICE/OTHERS</v>
      </c>
      <c r="Q3564" s="22" t="s">
        <v>46</v>
      </c>
      <c r="R3564" s="22" t="s">
        <v>46</v>
      </c>
      <c r="S3564" s="22" t="s">
        <v>51</v>
      </c>
      <c r="T3564" s="22"/>
      <c r="U3564" s="22"/>
      <c r="V3564" s="22"/>
      <c r="W3564" s="22"/>
      <c r="X3564" s="30"/>
      <c r="Y3564" s="31" t="str">
        <f t="shared" si="1065"/>
        <v/>
      </c>
      <c r="Z3564" s="18" t="str">
        <f t="shared" si="1063"/>
        <v/>
      </c>
      <c r="AA3564" s="22"/>
      <c r="AB3564" s="21">
        <v>76000</v>
      </c>
      <c r="AC3564" s="25">
        <f t="shared" ref="AC3564:AC3627" si="1069">IF(R3564&lt;&gt;"",AB3564*AD3564,"")</f>
        <v>22800</v>
      </c>
      <c r="AD3564" s="162">
        <v>0.3</v>
      </c>
      <c r="AE3564" s="26">
        <f t="shared" ref="AE3564:AE3627" si="1070">IF(Q3564="","",IF(Q3564="Yes",1,0))</f>
        <v>0</v>
      </c>
      <c r="AF3564" s="26" t="str">
        <f>IF(AND(COUNTIFS($J$18:J3564,J3564)=1,AE3564=1),1,"")</f>
        <v/>
      </c>
      <c r="AG3564" s="26" t="str">
        <f>IF(C3564="","",IF(AND(COUNTIFS($J$18:J3564,J3564)=1,C3564&lt;&gt;""),1,""))</f>
        <v/>
      </c>
      <c r="AH3564" s="26" t="str">
        <f>IF(G3564="","",IF(AND(COUNTIFS($J$18:J3564,J3564)=1,G3564&lt;&gt;""),1,""))</f>
        <v/>
      </c>
      <c r="AI3564" s="27">
        <f t="shared" si="1060"/>
        <v>20319282.700884953</v>
      </c>
      <c r="AJ3564" s="27">
        <f t="shared" si="1061"/>
        <v>2408851.9638623013</v>
      </c>
      <c r="AK3564" s="28">
        <f t="shared" ref="AK3564:AK3627" si="1071">IF(AJ3564&gt;0,AJ3564/AI3564,"")</f>
        <v>0.11855004919821259</v>
      </c>
      <c r="AL3564" s="24"/>
      <c r="AM3564" s="24"/>
      <c r="AN3564" s="24"/>
      <c r="AO3564" s="24"/>
      <c r="AP3564" s="95" t="str">
        <f t="shared" ref="AP3564:AP3627" si="1072">IF(F3564="","",F3564&amp;G3564)</f>
        <v>20244</v>
      </c>
      <c r="AQ3564" s="203" t="str">
        <f t="shared" ref="AQ3564:AQ3627" si="1073">IF(W3564="","",F3564&amp;G3564&amp;W3564)</f>
        <v/>
      </c>
      <c r="AR3564" s="206" t="str">
        <f t="shared" ref="AR3564:AR3627" si="1074">IFERROR(IF(AND(M3564="YAMAHA", R3564="C28"), "YAMAHA_Non_Mounter", IF(AND(M3564="YAMAHA", R3564="C49"), "YAMAHA_Mounter", M3564)),"")</f>
        <v>C66 SERVICE</v>
      </c>
      <c r="AS3564" s="22" t="str">
        <f t="shared" ref="AS3564:AS3627" si="1075">IFERROR(IF(OR(G3564="TBA", G3564=""), "", DATEDIF(DATE(B3564, C3564, 1), DATE(F3564, G3564, 1), "M")),"")</f>
        <v/>
      </c>
      <c r="AT3564" s="24" t="str">
        <f t="shared" ref="AT3564:AT3627" si="1076">IF(ISNUMBER(AS3564), IF(AS3564&gt;=0, IF(AS3564&lt;=3, "0-3 months", IF(AS3564&lt;=6, "4-6 months", "&gt; 6 months"))), "")</f>
        <v/>
      </c>
    </row>
    <row r="3565" spans="1:46" ht="42">
      <c r="A3565" s="33" t="str">
        <f t="shared" si="1066"/>
        <v/>
      </c>
      <c r="B3565" s="23"/>
      <c r="C3565" s="23"/>
      <c r="D3565" s="33" t="str">
        <f t="shared" si="1062"/>
        <v/>
      </c>
      <c r="E3565" s="33" t="str">
        <f t="shared" si="1064"/>
        <v>FY 24/25</v>
      </c>
      <c r="F3565" s="23">
        <v>2024</v>
      </c>
      <c r="G3565" s="23">
        <v>4</v>
      </c>
      <c r="H3565" s="29"/>
      <c r="I3565" s="93" t="str">
        <f t="shared" si="1067"/>
        <v>Q1</v>
      </c>
      <c r="J3565" s="188"/>
      <c r="K3565" s="29"/>
      <c r="L3565" s="17" t="s">
        <v>44</v>
      </c>
      <c r="M3565" s="22" t="s">
        <v>44</v>
      </c>
      <c r="N3565" s="22">
        <v>0</v>
      </c>
      <c r="O3565" s="22"/>
      <c r="P3565" s="33" t="str">
        <f t="shared" si="1068"/>
        <v>C66 SERVICE/OTHERS</v>
      </c>
      <c r="Q3565" s="22" t="s">
        <v>46</v>
      </c>
      <c r="R3565" s="22" t="s">
        <v>46</v>
      </c>
      <c r="S3565" s="22" t="s">
        <v>50</v>
      </c>
      <c r="T3565" s="22"/>
      <c r="U3565" s="22"/>
      <c r="V3565" s="22"/>
      <c r="W3565" s="22"/>
      <c r="X3565" s="30"/>
      <c r="Y3565" s="31" t="str">
        <f t="shared" si="1065"/>
        <v/>
      </c>
      <c r="Z3565" s="18" t="str">
        <f t="shared" si="1063"/>
        <v/>
      </c>
      <c r="AA3565" s="22"/>
      <c r="AB3565" s="21">
        <v>362000</v>
      </c>
      <c r="AC3565" s="25">
        <f t="shared" si="1069"/>
        <v>108600</v>
      </c>
      <c r="AD3565" s="162">
        <v>0.3</v>
      </c>
      <c r="AE3565" s="26">
        <f t="shared" si="1070"/>
        <v>0</v>
      </c>
      <c r="AF3565" s="26" t="str">
        <f>IF(AND(COUNTIFS($J$18:J3565,J3565)=1,AE3565=1),1,"")</f>
        <v/>
      </c>
      <c r="AG3565" s="26" t="str">
        <f>IF(C3565="","",IF(AND(COUNTIFS($J$18:J3565,J3565)=1,C3565&lt;&gt;""),1,""))</f>
        <v/>
      </c>
      <c r="AH3565" s="26" t="str">
        <f>IF(G3565="","",IF(AND(COUNTIFS($J$18:J3565,J3565)=1,G3565&lt;&gt;""),1,""))</f>
        <v/>
      </c>
      <c r="AI3565" s="27">
        <f t="shared" si="1060"/>
        <v>20319282.700884953</v>
      </c>
      <c r="AJ3565" s="27">
        <f t="shared" si="1061"/>
        <v>2408851.9638623013</v>
      </c>
      <c r="AK3565" s="28">
        <f t="shared" si="1071"/>
        <v>0.11855004919821259</v>
      </c>
      <c r="AL3565" s="24"/>
      <c r="AM3565" s="24"/>
      <c r="AN3565" s="24"/>
      <c r="AO3565" s="24"/>
      <c r="AP3565" s="95" t="str">
        <f t="shared" si="1072"/>
        <v>20244</v>
      </c>
      <c r="AQ3565" s="203" t="str">
        <f t="shared" si="1073"/>
        <v/>
      </c>
      <c r="AR3565" s="206" t="str">
        <f t="shared" si="1074"/>
        <v>C66 SERVICE</v>
      </c>
      <c r="AS3565" s="22" t="str">
        <f t="shared" si="1075"/>
        <v/>
      </c>
      <c r="AT3565" s="24" t="str">
        <f t="shared" si="1076"/>
        <v/>
      </c>
    </row>
    <row r="3566" spans="1:46" ht="28">
      <c r="A3566" s="33" t="str">
        <f t="shared" si="1066"/>
        <v>FY 23/24</v>
      </c>
      <c r="B3566" s="23">
        <v>2024</v>
      </c>
      <c r="C3566" s="152">
        <v>3</v>
      </c>
      <c r="D3566" s="33" t="str">
        <f t="shared" si="1062"/>
        <v>Q4</v>
      </c>
      <c r="E3566" s="33" t="str">
        <f t="shared" si="1064"/>
        <v>FY 24/25</v>
      </c>
      <c r="F3566" s="23">
        <v>2024</v>
      </c>
      <c r="G3566" s="23">
        <v>11</v>
      </c>
      <c r="H3566" s="29"/>
      <c r="I3566" s="93" t="str">
        <f t="shared" si="1067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68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65"/>
        <v>1.13</v>
      </c>
      <c r="Z3566" s="18">
        <f t="shared" si="1063"/>
        <v>50000.06</v>
      </c>
      <c r="AA3566" s="22">
        <v>1.1080000000000001</v>
      </c>
      <c r="AB3566" s="21">
        <f t="shared" ref="AB3566:AB3597" si="1077">IF(AND(R3566&lt;&gt;"C66",R3566&lt;&gt;""),Z3566/Y3566*AA3566,"")</f>
        <v>49026.607504424785</v>
      </c>
      <c r="AC3566" s="25">
        <f t="shared" si="1069"/>
        <v>5883.1929005309739</v>
      </c>
      <c r="AD3566" s="169">
        <v>0.12</v>
      </c>
      <c r="AE3566" s="26">
        <f t="shared" si="1070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60"/>
        <v>24129972.828771491</v>
      </c>
      <c r="AJ3566" s="27">
        <f t="shared" si="1061"/>
        <v>2880955.0890193055</v>
      </c>
      <c r="AK3566" s="28">
        <f t="shared" si="1071"/>
        <v>0.11939321728469518</v>
      </c>
      <c r="AL3566" s="24"/>
      <c r="AM3566" s="24"/>
      <c r="AN3566" s="24"/>
      <c r="AO3566" s="24"/>
      <c r="AP3566" s="95" t="str">
        <f t="shared" si="1072"/>
        <v>202411</v>
      </c>
      <c r="AQ3566" s="203" t="str">
        <f t="shared" si="1073"/>
        <v>202411RMB</v>
      </c>
      <c r="AR3566" s="206" t="str">
        <f t="shared" si="1074"/>
        <v>YAMAHA_Mounter</v>
      </c>
      <c r="AS3566" s="22">
        <f t="shared" si="1075"/>
        <v>8</v>
      </c>
      <c r="AT3566" s="24" t="str">
        <f t="shared" si="1076"/>
        <v>&gt; 6 months</v>
      </c>
    </row>
    <row r="3567" spans="1:46">
      <c r="A3567" s="33" t="str">
        <f t="shared" si="1066"/>
        <v>FY 24/25</v>
      </c>
      <c r="B3567" s="23">
        <v>2024</v>
      </c>
      <c r="C3567" s="152">
        <v>4</v>
      </c>
      <c r="D3567" s="33" t="str">
        <f t="shared" si="1062"/>
        <v>Q1</v>
      </c>
      <c r="E3567" s="33" t="str">
        <f t="shared" si="1064"/>
        <v>FY 24/25</v>
      </c>
      <c r="F3567" s="23">
        <v>2024</v>
      </c>
      <c r="G3567" s="23">
        <v>10</v>
      </c>
      <c r="H3567" s="29"/>
      <c r="I3567" s="93" t="str">
        <f t="shared" si="1067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68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65"/>
        <v>1.13</v>
      </c>
      <c r="Z3567" s="18">
        <f t="shared" si="1063"/>
        <v>471782</v>
      </c>
      <c r="AA3567" s="22">
        <v>1.1080000000000001</v>
      </c>
      <c r="AB3567" s="21">
        <f t="shared" si="1077"/>
        <v>462596.86371681426</v>
      </c>
      <c r="AC3567" s="25">
        <f t="shared" si="1069"/>
        <v>55511.62364601771</v>
      </c>
      <c r="AD3567" s="169">
        <v>0.12</v>
      </c>
      <c r="AE3567" s="26">
        <f t="shared" si="1070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60"/>
        <v>25860689.500884958</v>
      </c>
      <c r="AJ3567" s="27">
        <f t="shared" si="1061"/>
        <v>3153620.4547964605</v>
      </c>
      <c r="AK3567" s="28">
        <f t="shared" si="1071"/>
        <v>0.1219464954593938</v>
      </c>
      <c r="AL3567" s="24"/>
      <c r="AM3567" s="24"/>
      <c r="AN3567" s="24"/>
      <c r="AO3567" s="24"/>
      <c r="AP3567" s="95" t="str">
        <f t="shared" si="1072"/>
        <v>202410</v>
      </c>
      <c r="AQ3567" s="203" t="str">
        <f t="shared" si="1073"/>
        <v>202410RMB</v>
      </c>
      <c r="AR3567" s="206" t="str">
        <f t="shared" si="1074"/>
        <v>YAMAHA_Mounter</v>
      </c>
      <c r="AS3567" s="22">
        <f t="shared" si="1075"/>
        <v>6</v>
      </c>
      <c r="AT3567" s="24" t="str">
        <f t="shared" si="1076"/>
        <v>4-6 months</v>
      </c>
    </row>
    <row r="3568" spans="1:46">
      <c r="A3568" s="33" t="str">
        <f t="shared" si="1066"/>
        <v>FY 24/25</v>
      </c>
      <c r="B3568" s="23">
        <v>2024</v>
      </c>
      <c r="C3568" s="152">
        <v>4</v>
      </c>
      <c r="D3568" s="33" t="str">
        <f t="shared" si="1062"/>
        <v>Q1</v>
      </c>
      <c r="E3568" s="33" t="str">
        <f t="shared" si="1064"/>
        <v>FY 24/25</v>
      </c>
      <c r="F3568" s="23">
        <v>2024</v>
      </c>
      <c r="G3568" s="23">
        <v>8</v>
      </c>
      <c r="H3568" s="29"/>
      <c r="I3568" s="93" t="str">
        <f t="shared" si="1067"/>
        <v>Q2</v>
      </c>
      <c r="J3568" s="188" t="s">
        <v>3418</v>
      </c>
      <c r="K3568" s="29" t="s">
        <v>1906</v>
      </c>
      <c r="L3568" s="17" t="s">
        <v>2621</v>
      </c>
      <c r="M3568" s="22" t="s">
        <v>61</v>
      </c>
      <c r="N3568" s="22">
        <v>1</v>
      </c>
      <c r="O3568" s="22"/>
      <c r="P3568" s="33" t="str">
        <f t="shared" si="1068"/>
        <v>MAIN UNIT</v>
      </c>
      <c r="Q3568" s="13" t="s">
        <v>62</v>
      </c>
      <c r="R3568" s="194" t="s">
        <v>2056</v>
      </c>
      <c r="S3568" s="194" t="s">
        <v>53</v>
      </c>
      <c r="T3568" s="194" t="s">
        <v>177</v>
      </c>
      <c r="U3568" s="194" t="s">
        <v>178</v>
      </c>
      <c r="V3568" s="194" t="s">
        <v>179</v>
      </c>
      <c r="W3568" s="194" t="s">
        <v>65</v>
      </c>
      <c r="X3568" s="193">
        <v>485000</v>
      </c>
      <c r="Y3568" s="31" t="str">
        <f t="shared" si="1065"/>
        <v>1.13</v>
      </c>
      <c r="Z3568" s="18">
        <f t="shared" si="1063"/>
        <v>485000</v>
      </c>
      <c r="AA3568" s="22">
        <v>1.08</v>
      </c>
      <c r="AB3568" s="21">
        <f t="shared" si="1077"/>
        <v>463539.82300884963</v>
      </c>
      <c r="AC3568" s="25">
        <f t="shared" si="1069"/>
        <v>81165.823008849577</v>
      </c>
      <c r="AD3568" s="170">
        <v>0.17510000000000001</v>
      </c>
      <c r="AE3568" s="26">
        <f t="shared" si="1070"/>
        <v>0</v>
      </c>
      <c r="AF3568" s="26" t="str">
        <f>IF(AND(COUNTIFS($J$18:J3568,J3568)=1,AE3568=1),1,"")</f>
        <v/>
      </c>
      <c r="AG3568" s="26">
        <f>IF(C3568="","",IF(AND(COUNTIFS($J$18:J3568,J3568)=1,C3568&lt;&gt;""),1,""))</f>
        <v>1</v>
      </c>
      <c r="AH3568" s="26">
        <f>IF(G3568="","",IF(AND(COUNTIFS($J$18:J3568,J3568)=1,G3568&lt;&gt;""),1,""))</f>
        <v>1</v>
      </c>
      <c r="AI3568" s="27">
        <f t="shared" si="1060"/>
        <v>25354039.366920356</v>
      </c>
      <c r="AJ3568" s="27">
        <f t="shared" si="1061"/>
        <v>3027878.5311884549</v>
      </c>
      <c r="AK3568" s="28">
        <f t="shared" si="1071"/>
        <v>0.11942391061910851</v>
      </c>
      <c r="AL3568" s="24"/>
      <c r="AM3568" s="24"/>
      <c r="AN3568" s="24"/>
      <c r="AO3568" s="24"/>
      <c r="AP3568" s="95" t="str">
        <f t="shared" si="1072"/>
        <v>20248</v>
      </c>
      <c r="AQ3568" s="203" t="str">
        <f t="shared" si="1073"/>
        <v>20248RMB</v>
      </c>
      <c r="AR3568" s="206" t="str">
        <f t="shared" si="1074"/>
        <v>YAMAHA_Non_Mounter</v>
      </c>
      <c r="AS3568" s="22">
        <f t="shared" si="1075"/>
        <v>4</v>
      </c>
      <c r="AT3568" s="24" t="str">
        <f t="shared" si="1076"/>
        <v>4-6 months</v>
      </c>
    </row>
    <row r="3569" spans="1:46">
      <c r="A3569" s="33" t="str">
        <f t="shared" si="1066"/>
        <v>FY 24/25</v>
      </c>
      <c r="B3569" s="23">
        <v>2024</v>
      </c>
      <c r="C3569" s="152">
        <v>4</v>
      </c>
      <c r="D3569" s="33" t="str">
        <f t="shared" si="1062"/>
        <v>Q1</v>
      </c>
      <c r="E3569" s="33" t="str">
        <f t="shared" si="1064"/>
        <v>FY 24/25</v>
      </c>
      <c r="F3569" s="23">
        <v>2024</v>
      </c>
      <c r="G3569" s="23">
        <v>8</v>
      </c>
      <c r="H3569" s="29"/>
      <c r="I3569" s="93" t="str">
        <f t="shared" si="1067"/>
        <v>Q2</v>
      </c>
      <c r="J3569" s="188" t="s">
        <v>3418</v>
      </c>
      <c r="K3569" s="29" t="s">
        <v>1906</v>
      </c>
      <c r="L3569" s="17" t="s">
        <v>2621</v>
      </c>
      <c r="M3569" s="22" t="s">
        <v>61</v>
      </c>
      <c r="N3569" s="22">
        <v>1</v>
      </c>
      <c r="O3569" s="22"/>
      <c r="P3569" s="33" t="str">
        <f t="shared" si="1068"/>
        <v>MAIN UNIT</v>
      </c>
      <c r="Q3569" s="13" t="s">
        <v>62</v>
      </c>
      <c r="R3569" s="194" t="s">
        <v>2056</v>
      </c>
      <c r="S3569" s="194" t="s">
        <v>53</v>
      </c>
      <c r="T3569" s="194" t="s">
        <v>177</v>
      </c>
      <c r="U3569" s="194" t="s">
        <v>178</v>
      </c>
      <c r="V3569" s="194" t="s">
        <v>179</v>
      </c>
      <c r="W3569" s="194" t="s">
        <v>65</v>
      </c>
      <c r="X3569" s="193">
        <v>485000</v>
      </c>
      <c r="Y3569" s="31" t="str">
        <f t="shared" si="1065"/>
        <v>1.13</v>
      </c>
      <c r="Z3569" s="18">
        <f t="shared" si="1063"/>
        <v>485000</v>
      </c>
      <c r="AA3569" s="22">
        <v>1.08</v>
      </c>
      <c r="AB3569" s="21">
        <f t="shared" si="1077"/>
        <v>463539.82300884963</v>
      </c>
      <c r="AC3569" s="25">
        <f t="shared" si="1069"/>
        <v>81165.823008849577</v>
      </c>
      <c r="AD3569" s="170">
        <v>0.17510000000000001</v>
      </c>
      <c r="AE3569" s="26">
        <f t="shared" si="1070"/>
        <v>0</v>
      </c>
      <c r="AF3569" s="26" t="str">
        <f>IF(AND(COUNTIFS($J$18:J3569,J3569)=1,AE3569=1),1,"")</f>
        <v/>
      </c>
      <c r="AG3569" s="26" t="str">
        <f>IF(C3569="","",IF(AND(COUNTIFS($J$18:J3569,J3569)=1,C3569&lt;&gt;""),1,""))</f>
        <v/>
      </c>
      <c r="AH3569" s="26" t="str">
        <f>IF(G3569="","",IF(AND(COUNTIFS($J$18:J3569,J3569)=1,G3569&lt;&gt;""),1,""))</f>
        <v/>
      </c>
      <c r="AI3569" s="27">
        <f t="shared" si="1060"/>
        <v>25354039.366920356</v>
      </c>
      <c r="AJ3569" s="27">
        <f t="shared" si="1061"/>
        <v>3027878.5311884549</v>
      </c>
      <c r="AK3569" s="28">
        <f t="shared" si="1071"/>
        <v>0.11942391061910851</v>
      </c>
      <c r="AL3569" s="24"/>
      <c r="AM3569" s="24"/>
      <c r="AN3569" s="24"/>
      <c r="AO3569" s="24"/>
      <c r="AP3569" s="95" t="str">
        <f t="shared" si="1072"/>
        <v>20248</v>
      </c>
      <c r="AQ3569" s="203" t="str">
        <f t="shared" si="1073"/>
        <v>20248RMB</v>
      </c>
      <c r="AR3569" s="206" t="str">
        <f t="shared" si="1074"/>
        <v>YAMAHA_Non_Mounter</v>
      </c>
      <c r="AS3569" s="22">
        <f t="shared" si="1075"/>
        <v>4</v>
      </c>
      <c r="AT3569" s="24" t="str">
        <f t="shared" si="1076"/>
        <v>4-6 months</v>
      </c>
    </row>
    <row r="3570" spans="1:46">
      <c r="A3570" s="33" t="str">
        <f t="shared" si="1066"/>
        <v>FY 23/24</v>
      </c>
      <c r="B3570" s="152">
        <v>2023</v>
      </c>
      <c r="C3570" s="152">
        <v>7</v>
      </c>
      <c r="D3570" s="33" t="str">
        <f t="shared" ref="D3570:D3601" si="1078">IF(B3570="","",IF(AND(C3570&gt;=10,C3570&lt;=12),"Q3",IF(AND(C3570&gt;=1,C3570&lt;=3),"Q4",IF(AND(C3570&gt;=7,C3570&lt;=9),"Q2",IF(AND(C3570&gt;=4,C3570&lt;=6),"Q1")))))</f>
        <v>Q2</v>
      </c>
      <c r="E3570" s="33" t="str">
        <f t="shared" si="1064"/>
        <v>FY 24/25</v>
      </c>
      <c r="F3570" s="152">
        <v>2024</v>
      </c>
      <c r="G3570" s="152">
        <v>11</v>
      </c>
      <c r="H3570" s="155"/>
      <c r="I3570" s="93" t="str">
        <f t="shared" si="1067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68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01" si="1079">IF(X3570="","",X3570*MAX(O3570,N3570))</f>
        <v>1403500</v>
      </c>
      <c r="AA3570" s="22">
        <v>1.1080000000000001</v>
      </c>
      <c r="AB3570" s="21">
        <f t="shared" si="1077"/>
        <v>1376175.2212389384</v>
      </c>
      <c r="AC3570" s="130">
        <f t="shared" si="1069"/>
        <v>165141.02654867261</v>
      </c>
      <c r="AD3570" s="169">
        <v>0.12</v>
      </c>
      <c r="AE3570" s="154">
        <f t="shared" si="1070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60"/>
        <v>24129972.828771491</v>
      </c>
      <c r="AJ3570" s="19">
        <f t="shared" si="1061"/>
        <v>2880955.0890193055</v>
      </c>
      <c r="AK3570" s="20">
        <f t="shared" si="1071"/>
        <v>0.11939321728469518</v>
      </c>
      <c r="AL3570" s="17"/>
      <c r="AM3570" s="17"/>
      <c r="AN3570" s="17"/>
      <c r="AO3570" s="17"/>
      <c r="AP3570" s="95" t="str">
        <f t="shared" si="1072"/>
        <v>202411</v>
      </c>
      <c r="AQ3570" s="203" t="str">
        <f t="shared" si="1073"/>
        <v>202411RMB</v>
      </c>
      <c r="AR3570" s="206" t="str">
        <f t="shared" si="1074"/>
        <v>YAMAHA_Mounter</v>
      </c>
      <c r="AS3570" s="22">
        <f t="shared" si="1075"/>
        <v>16</v>
      </c>
      <c r="AT3570" s="24" t="str">
        <f t="shared" si="1076"/>
        <v>&gt; 6 months</v>
      </c>
    </row>
    <row r="3571" spans="1:46">
      <c r="A3571" s="33" t="str">
        <f t="shared" si="1066"/>
        <v>FY 23/24</v>
      </c>
      <c r="B3571" s="152">
        <v>2023</v>
      </c>
      <c r="C3571" s="152">
        <v>7</v>
      </c>
      <c r="D3571" s="33" t="str">
        <f t="shared" si="1078"/>
        <v>Q2</v>
      </c>
      <c r="E3571" s="33" t="str">
        <f t="shared" si="1064"/>
        <v>FY 24/25</v>
      </c>
      <c r="F3571" s="152">
        <v>2024</v>
      </c>
      <c r="G3571" s="152">
        <v>11</v>
      </c>
      <c r="H3571" s="155"/>
      <c r="I3571" s="93" t="str">
        <f t="shared" si="1067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68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79"/>
        <v>882000</v>
      </c>
      <c r="AA3571" s="22">
        <v>1.1080000000000001</v>
      </c>
      <c r="AB3571" s="21">
        <f t="shared" si="1077"/>
        <v>864828.31858407101</v>
      </c>
      <c r="AC3571" s="130">
        <f t="shared" si="1069"/>
        <v>103779.39823008851</v>
      </c>
      <c r="AD3571" s="169">
        <v>0.12</v>
      </c>
      <c r="AE3571" s="154">
        <f t="shared" si="1070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60"/>
        <v>24129972.828771491</v>
      </c>
      <c r="AJ3571" s="19">
        <f t="shared" si="1061"/>
        <v>2880955.0890193055</v>
      </c>
      <c r="AK3571" s="20">
        <f t="shared" si="1071"/>
        <v>0.11939321728469518</v>
      </c>
      <c r="AL3571" s="17"/>
      <c r="AM3571" s="17"/>
      <c r="AN3571" s="17"/>
      <c r="AO3571" s="17"/>
      <c r="AP3571" s="95" t="str">
        <f t="shared" si="1072"/>
        <v>202411</v>
      </c>
      <c r="AQ3571" s="203" t="str">
        <f t="shared" si="1073"/>
        <v>202411RMB</v>
      </c>
      <c r="AR3571" s="206" t="str">
        <f t="shared" si="1074"/>
        <v>YAMAHA_Mounter</v>
      </c>
      <c r="AS3571" s="22">
        <f t="shared" si="1075"/>
        <v>16</v>
      </c>
      <c r="AT3571" s="24" t="str">
        <f t="shared" si="1076"/>
        <v>&gt; 6 months</v>
      </c>
    </row>
    <row r="3572" spans="1:46">
      <c r="A3572" s="33" t="str">
        <f t="shared" si="1066"/>
        <v>FY 23/24</v>
      </c>
      <c r="B3572" s="23">
        <v>2024</v>
      </c>
      <c r="C3572" s="152">
        <v>1</v>
      </c>
      <c r="D3572" s="33" t="str">
        <f t="shared" si="1078"/>
        <v>Q4</v>
      </c>
      <c r="E3572" s="33" t="str">
        <f t="shared" si="1064"/>
        <v>FY 24/25</v>
      </c>
      <c r="F3572" s="152">
        <v>2024</v>
      </c>
      <c r="G3572" s="23">
        <v>12</v>
      </c>
      <c r="H3572" s="29"/>
      <c r="I3572" s="93" t="str">
        <f t="shared" si="1067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68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80">IF(W3572="","",IF(W3572="RMB","1.13", "1"))</f>
        <v>1</v>
      </c>
      <c r="Z3572" s="18">
        <f t="shared" si="1079"/>
        <v>12700000</v>
      </c>
      <c r="AA3572" s="13">
        <v>5.5599999999999997E-2</v>
      </c>
      <c r="AB3572" s="21">
        <f t="shared" si="1077"/>
        <v>706120</v>
      </c>
      <c r="AC3572" s="25">
        <f t="shared" si="1069"/>
        <v>84734.399999999994</v>
      </c>
      <c r="AD3572" s="169">
        <v>0.12</v>
      </c>
      <c r="AE3572" s="26">
        <f t="shared" si="1070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60"/>
        <v>22399988.308672566</v>
      </c>
      <c r="AJ3572" s="27">
        <f t="shared" si="1061"/>
        <v>2687998.5970407082</v>
      </c>
      <c r="AK3572" s="28">
        <f t="shared" si="1071"/>
        <v>0.12000000000000001</v>
      </c>
      <c r="AL3572" s="24"/>
      <c r="AM3572" s="24"/>
      <c r="AN3572" s="24"/>
      <c r="AO3572" s="24"/>
      <c r="AP3572" s="95" t="str">
        <f t="shared" si="1072"/>
        <v>202412</v>
      </c>
      <c r="AQ3572" s="203" t="str">
        <f t="shared" si="1073"/>
        <v>202412JPY</v>
      </c>
      <c r="AR3572" s="206" t="str">
        <f t="shared" si="1074"/>
        <v>YAMAHA_Mounter</v>
      </c>
      <c r="AS3572" s="22">
        <f t="shared" si="1075"/>
        <v>11</v>
      </c>
      <c r="AT3572" s="24" t="str">
        <f t="shared" si="1076"/>
        <v>&gt; 6 months</v>
      </c>
    </row>
    <row r="3573" spans="1:46">
      <c r="A3573" s="33" t="str">
        <f t="shared" si="1066"/>
        <v>FY 23/24</v>
      </c>
      <c r="B3573" s="23">
        <v>2024</v>
      </c>
      <c r="C3573" s="152">
        <v>1</v>
      </c>
      <c r="D3573" s="33" t="str">
        <f t="shared" si="1078"/>
        <v>Q4</v>
      </c>
      <c r="E3573" s="33" t="str">
        <f t="shared" si="1064"/>
        <v>FY 24/25</v>
      </c>
      <c r="F3573" s="152">
        <v>2024</v>
      </c>
      <c r="G3573" s="23">
        <v>12</v>
      </c>
      <c r="H3573" s="29"/>
      <c r="I3573" s="93" t="str">
        <f t="shared" si="1067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68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80"/>
        <v>1</v>
      </c>
      <c r="Z3573" s="18">
        <f t="shared" si="1079"/>
        <v>12700000</v>
      </c>
      <c r="AA3573" s="13">
        <v>5.5599999999999997E-2</v>
      </c>
      <c r="AB3573" s="21">
        <f t="shared" si="1077"/>
        <v>706120</v>
      </c>
      <c r="AC3573" s="25">
        <f t="shared" si="1069"/>
        <v>84734.399999999994</v>
      </c>
      <c r="AD3573" s="169">
        <v>0.12</v>
      </c>
      <c r="AE3573" s="26">
        <f t="shared" si="1070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60"/>
        <v>22399988.308672566</v>
      </c>
      <c r="AJ3573" s="27">
        <f t="shared" si="1061"/>
        <v>2687998.5970407082</v>
      </c>
      <c r="AK3573" s="28">
        <f t="shared" si="1071"/>
        <v>0.12000000000000001</v>
      </c>
      <c r="AL3573" s="24"/>
      <c r="AM3573" s="24"/>
      <c r="AN3573" s="24"/>
      <c r="AO3573" s="24"/>
      <c r="AP3573" s="95" t="str">
        <f t="shared" si="1072"/>
        <v>202412</v>
      </c>
      <c r="AQ3573" s="203" t="str">
        <f t="shared" si="1073"/>
        <v>202412JPY</v>
      </c>
      <c r="AR3573" s="206" t="str">
        <f t="shared" si="1074"/>
        <v>YAMAHA_Mounter</v>
      </c>
      <c r="AS3573" s="22">
        <f t="shared" si="1075"/>
        <v>11</v>
      </c>
      <c r="AT3573" s="24" t="str">
        <f t="shared" si="1076"/>
        <v>&gt; 6 months</v>
      </c>
    </row>
    <row r="3574" spans="1:46">
      <c r="A3574" s="33" t="str">
        <f t="shared" si="1066"/>
        <v>FY 23/24</v>
      </c>
      <c r="B3574" s="23">
        <v>2024</v>
      </c>
      <c r="C3574" s="152">
        <v>1</v>
      </c>
      <c r="D3574" s="33" t="str">
        <f t="shared" si="1078"/>
        <v>Q4</v>
      </c>
      <c r="E3574" s="33" t="str">
        <f t="shared" si="1064"/>
        <v>FY 24/25</v>
      </c>
      <c r="F3574" s="152">
        <v>2024</v>
      </c>
      <c r="G3574" s="23">
        <v>12</v>
      </c>
      <c r="H3574" s="29"/>
      <c r="I3574" s="93" t="str">
        <f t="shared" si="1067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68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80"/>
        <v>1</v>
      </c>
      <c r="Z3574" s="18">
        <f t="shared" si="1079"/>
        <v>8000000</v>
      </c>
      <c r="AA3574" s="13">
        <v>5.5599999999999997E-2</v>
      </c>
      <c r="AB3574" s="21">
        <f t="shared" si="1077"/>
        <v>444800</v>
      </c>
      <c r="AC3574" s="25">
        <f t="shared" si="1069"/>
        <v>53376</v>
      </c>
      <c r="AD3574" s="169">
        <v>0.12</v>
      </c>
      <c r="AE3574" s="26">
        <f t="shared" si="1070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60"/>
        <v>22399988.308672566</v>
      </c>
      <c r="AJ3574" s="27">
        <f t="shared" si="1061"/>
        <v>2687998.5970407082</v>
      </c>
      <c r="AK3574" s="28">
        <f t="shared" si="1071"/>
        <v>0.12000000000000001</v>
      </c>
      <c r="AL3574" s="24"/>
      <c r="AM3574" s="24"/>
      <c r="AN3574" s="24"/>
      <c r="AO3574" s="24"/>
      <c r="AP3574" s="95" t="str">
        <f t="shared" si="1072"/>
        <v>202412</v>
      </c>
      <c r="AQ3574" s="203" t="str">
        <f t="shared" si="1073"/>
        <v>202412JPY</v>
      </c>
      <c r="AR3574" s="206" t="str">
        <f t="shared" si="1074"/>
        <v>YAMAHA_Mounter</v>
      </c>
      <c r="AS3574" s="22">
        <f t="shared" si="1075"/>
        <v>11</v>
      </c>
      <c r="AT3574" s="24" t="str">
        <f t="shared" si="1076"/>
        <v>&gt; 6 months</v>
      </c>
    </row>
    <row r="3575" spans="1:46">
      <c r="A3575" s="33" t="str">
        <f t="shared" si="1066"/>
        <v>FY 23/24</v>
      </c>
      <c r="B3575" s="23">
        <v>2024</v>
      </c>
      <c r="C3575" s="152">
        <v>1</v>
      </c>
      <c r="D3575" s="33" t="str">
        <f t="shared" si="1078"/>
        <v>Q4</v>
      </c>
      <c r="E3575" s="33" t="str">
        <f t="shared" si="1064"/>
        <v>FY 24/25</v>
      </c>
      <c r="F3575" s="152">
        <v>2024</v>
      </c>
      <c r="G3575" s="23">
        <v>12</v>
      </c>
      <c r="H3575" s="29"/>
      <c r="I3575" s="93" t="str">
        <f t="shared" si="1067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68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80"/>
        <v>1</v>
      </c>
      <c r="Z3575" s="18">
        <f t="shared" si="1079"/>
        <v>8000000</v>
      </c>
      <c r="AA3575" s="13">
        <v>5.5599999999999997E-2</v>
      </c>
      <c r="AB3575" s="21">
        <f t="shared" si="1077"/>
        <v>444800</v>
      </c>
      <c r="AC3575" s="25">
        <f t="shared" si="1069"/>
        <v>53376</v>
      </c>
      <c r="AD3575" s="169">
        <v>0.12</v>
      </c>
      <c r="AE3575" s="26">
        <f t="shared" si="1070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60"/>
        <v>22399988.308672566</v>
      </c>
      <c r="AJ3575" s="27">
        <f t="shared" si="1061"/>
        <v>2687998.5970407082</v>
      </c>
      <c r="AK3575" s="28">
        <f t="shared" si="1071"/>
        <v>0.12000000000000001</v>
      </c>
      <c r="AL3575" s="24"/>
      <c r="AM3575" s="24"/>
      <c r="AN3575" s="24"/>
      <c r="AO3575" s="24"/>
      <c r="AP3575" s="95" t="str">
        <f t="shared" si="1072"/>
        <v>202412</v>
      </c>
      <c r="AQ3575" s="203" t="str">
        <f t="shared" si="1073"/>
        <v>202412JPY</v>
      </c>
      <c r="AR3575" s="206" t="str">
        <f t="shared" si="1074"/>
        <v>YAMAHA_Mounter</v>
      </c>
      <c r="AS3575" s="22">
        <f t="shared" si="1075"/>
        <v>11</v>
      </c>
      <c r="AT3575" s="24" t="str">
        <f t="shared" si="1076"/>
        <v>&gt; 6 months</v>
      </c>
    </row>
    <row r="3576" spans="1:46">
      <c r="A3576" s="33" t="str">
        <f t="shared" si="1066"/>
        <v>FY 24/25</v>
      </c>
      <c r="B3576" s="23">
        <v>2024</v>
      </c>
      <c r="C3576" s="152">
        <v>4</v>
      </c>
      <c r="D3576" s="202" t="str">
        <f t="shared" si="1078"/>
        <v>Q1</v>
      </c>
      <c r="E3576" s="33" t="str">
        <f t="shared" si="1064"/>
        <v>FY 24/25</v>
      </c>
      <c r="F3576" s="23">
        <v>2024</v>
      </c>
      <c r="G3576" s="23">
        <v>11</v>
      </c>
      <c r="H3576" s="29"/>
      <c r="I3576" s="93" t="str">
        <f t="shared" si="1067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68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80"/>
        <v>1</v>
      </c>
      <c r="Z3576" s="196">
        <f t="shared" si="1079"/>
        <v>11900000</v>
      </c>
      <c r="AA3576" s="22">
        <v>5.5599999999999997E-2</v>
      </c>
      <c r="AB3576" s="197">
        <f t="shared" si="1077"/>
        <v>661640</v>
      </c>
      <c r="AC3576" s="198">
        <f t="shared" si="1069"/>
        <v>79396.800000000003</v>
      </c>
      <c r="AD3576" s="169">
        <v>0.12</v>
      </c>
      <c r="AE3576" s="199">
        <f t="shared" si="1070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60"/>
        <v>24129972.828771491</v>
      </c>
      <c r="AJ3576" s="200">
        <f t="shared" si="1061"/>
        <v>2880955.0890193055</v>
      </c>
      <c r="AK3576" s="201">
        <f t="shared" si="1071"/>
        <v>0.11939321728469518</v>
      </c>
      <c r="AL3576" s="24"/>
      <c r="AM3576" s="24"/>
      <c r="AN3576" s="24"/>
      <c r="AO3576" s="24"/>
      <c r="AP3576" s="95" t="str">
        <f t="shared" si="1072"/>
        <v>202411</v>
      </c>
      <c r="AQ3576" s="203" t="str">
        <f t="shared" si="1073"/>
        <v>202411JPY</v>
      </c>
      <c r="AR3576" s="206" t="str">
        <f t="shared" si="1074"/>
        <v>YAMAHA_Mounter</v>
      </c>
      <c r="AS3576" s="22">
        <f t="shared" si="1075"/>
        <v>7</v>
      </c>
      <c r="AT3576" s="24" t="str">
        <f t="shared" si="1076"/>
        <v>&gt; 6 months</v>
      </c>
    </row>
    <row r="3577" spans="1:46">
      <c r="A3577" s="33" t="str">
        <f t="shared" si="1066"/>
        <v>FY 24/25</v>
      </c>
      <c r="B3577" s="23">
        <v>2024</v>
      </c>
      <c r="C3577" s="152">
        <v>4</v>
      </c>
      <c r="D3577" s="202" t="str">
        <f t="shared" si="1078"/>
        <v>Q1</v>
      </c>
      <c r="E3577" s="33" t="str">
        <f t="shared" si="1064"/>
        <v>FY 24/25</v>
      </c>
      <c r="F3577" s="23">
        <v>2024</v>
      </c>
      <c r="G3577" s="23">
        <v>11</v>
      </c>
      <c r="H3577" s="29"/>
      <c r="I3577" s="204" t="str">
        <f t="shared" si="1067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68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80"/>
        <v>1</v>
      </c>
      <c r="Z3577" s="196">
        <f t="shared" si="1079"/>
        <v>7000000</v>
      </c>
      <c r="AA3577" s="22">
        <v>5.5599999999999997E-2</v>
      </c>
      <c r="AB3577" s="197">
        <f t="shared" si="1077"/>
        <v>389200</v>
      </c>
      <c r="AC3577" s="198">
        <f t="shared" si="1069"/>
        <v>46704</v>
      </c>
      <c r="AD3577" s="169">
        <v>0.12</v>
      </c>
      <c r="AE3577" s="199">
        <f t="shared" si="1070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60"/>
        <v>24129972.828771491</v>
      </c>
      <c r="AJ3577" s="200">
        <f t="shared" si="1061"/>
        <v>2880955.0890193055</v>
      </c>
      <c r="AK3577" s="201">
        <f t="shared" si="1071"/>
        <v>0.11939321728469518</v>
      </c>
      <c r="AL3577" s="22"/>
      <c r="AM3577" s="22"/>
      <c r="AN3577" s="22"/>
      <c r="AO3577" s="22"/>
      <c r="AP3577" s="95" t="str">
        <f t="shared" si="1072"/>
        <v>202411</v>
      </c>
      <c r="AQ3577" s="203" t="str">
        <f t="shared" si="1073"/>
        <v>202411JPY</v>
      </c>
      <c r="AR3577" s="206" t="str">
        <f t="shared" si="1074"/>
        <v>YAMAHA_Mounter</v>
      </c>
      <c r="AS3577" s="22">
        <f t="shared" si="1075"/>
        <v>7</v>
      </c>
      <c r="AT3577" s="24" t="str">
        <f t="shared" si="1076"/>
        <v>&gt; 6 months</v>
      </c>
    </row>
    <row r="3578" spans="1:46">
      <c r="A3578" s="33" t="str">
        <f t="shared" si="1066"/>
        <v>FY 24/25</v>
      </c>
      <c r="B3578" s="23">
        <v>2024</v>
      </c>
      <c r="C3578" s="152">
        <v>5</v>
      </c>
      <c r="D3578" s="202" t="str">
        <f t="shared" si="1078"/>
        <v>Q1</v>
      </c>
      <c r="E3578" s="33" t="s">
        <v>3173</v>
      </c>
      <c r="F3578" s="152">
        <v>2024</v>
      </c>
      <c r="G3578" s="23">
        <v>8</v>
      </c>
      <c r="H3578" s="29"/>
      <c r="I3578" s="204" t="str">
        <f t="shared" si="1067"/>
        <v>Q2</v>
      </c>
      <c r="J3578" s="188" t="s">
        <v>3440</v>
      </c>
      <c r="K3578" s="29" t="s">
        <v>3443</v>
      </c>
      <c r="L3578" s="17" t="s">
        <v>68</v>
      </c>
      <c r="M3578" s="22" t="s">
        <v>61</v>
      </c>
      <c r="N3578" s="22">
        <v>1</v>
      </c>
      <c r="O3578" s="22"/>
      <c r="P3578" s="33" t="str">
        <f t="shared" si="1068"/>
        <v>MAIN UNIT</v>
      </c>
      <c r="Q3578" s="22" t="s">
        <v>69</v>
      </c>
      <c r="R3578" s="22" t="s">
        <v>63</v>
      </c>
      <c r="S3578" s="22" t="s">
        <v>51</v>
      </c>
      <c r="T3578" s="22" t="s">
        <v>326</v>
      </c>
      <c r="U3578" s="22" t="s">
        <v>71</v>
      </c>
      <c r="V3578" s="22" t="s">
        <v>1011</v>
      </c>
      <c r="W3578" s="22" t="s">
        <v>65</v>
      </c>
      <c r="X3578" s="104">
        <v>411888</v>
      </c>
      <c r="Y3578" s="195" t="str">
        <f t="shared" si="1080"/>
        <v>1.13</v>
      </c>
      <c r="Z3578" s="196">
        <f t="shared" si="1079"/>
        <v>411888</v>
      </c>
      <c r="AA3578" s="22">
        <v>1.08</v>
      </c>
      <c r="AB3578" s="197">
        <f t="shared" si="1077"/>
        <v>393662.86725663726</v>
      </c>
      <c r="AC3578" s="198">
        <f t="shared" si="1069"/>
        <v>33185.779709734517</v>
      </c>
      <c r="AD3578" s="170">
        <v>8.43E-2</v>
      </c>
      <c r="AE3578" s="199">
        <f t="shared" si="1070"/>
        <v>1</v>
      </c>
      <c r="AF3578" s="199">
        <f>IF(AND(COUNTIFS($J$18:J3578,J3578)=1,AE3578=1),1,"")</f>
        <v>1</v>
      </c>
      <c r="AG3578" s="199">
        <f>IF(C3578="","",IF(AND(COUNTIFS($J$18:J3578,J3578)=1,C3578&lt;&gt;""),1,""))</f>
        <v>1</v>
      </c>
      <c r="AH3578" s="199">
        <f>IF(G3578="","",IF(AND(COUNTIFS($J$18:J3578,J3578)=1,G3578&lt;&gt;""),1,""))</f>
        <v>1</v>
      </c>
      <c r="AI3578" s="200">
        <f t="shared" si="1060"/>
        <v>25354039.366920356</v>
      </c>
      <c r="AJ3578" s="200">
        <f t="shared" si="1061"/>
        <v>3027878.5311884549</v>
      </c>
      <c r="AK3578" s="201">
        <f t="shared" si="1071"/>
        <v>0.11942391061910851</v>
      </c>
      <c r="AL3578" s="24"/>
      <c r="AM3578" s="24"/>
      <c r="AN3578" s="24"/>
      <c r="AO3578" s="24"/>
      <c r="AP3578" s="165" t="str">
        <f t="shared" si="1072"/>
        <v>20248</v>
      </c>
      <c r="AQ3578" s="203" t="str">
        <f t="shared" si="1073"/>
        <v>20248RMB</v>
      </c>
      <c r="AR3578" s="206" t="str">
        <f t="shared" si="1074"/>
        <v>YAMAHA_Mounter</v>
      </c>
      <c r="AS3578" s="22">
        <f t="shared" si="1075"/>
        <v>3</v>
      </c>
      <c r="AT3578" s="24" t="str">
        <f t="shared" si="1076"/>
        <v>0-3 months</v>
      </c>
    </row>
    <row r="3579" spans="1:46">
      <c r="A3579" s="33" t="str">
        <f t="shared" si="1066"/>
        <v>FY 24/25</v>
      </c>
      <c r="B3579" s="23">
        <v>2024</v>
      </c>
      <c r="C3579" s="152">
        <v>4</v>
      </c>
      <c r="D3579" s="33" t="str">
        <f t="shared" si="1078"/>
        <v>Q1</v>
      </c>
      <c r="E3579" s="33" t="str">
        <f t="shared" ref="E3579:E3584" si="108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67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68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80"/>
        <v>1</v>
      </c>
      <c r="Z3579" s="18">
        <f t="shared" si="1079"/>
        <v>12000000</v>
      </c>
      <c r="AA3579" s="22">
        <v>5.5599999999999997E-2</v>
      </c>
      <c r="AB3579" s="21">
        <f t="shared" si="1077"/>
        <v>667200</v>
      </c>
      <c r="AC3579" s="25">
        <f t="shared" si="1069"/>
        <v>80064</v>
      </c>
      <c r="AD3579" s="169">
        <v>0.12</v>
      </c>
      <c r="AE3579" s="26">
        <f t="shared" si="1070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60"/>
        <v>22399988.308672566</v>
      </c>
      <c r="AJ3579" s="27">
        <f t="shared" si="1061"/>
        <v>2687998.5970407082</v>
      </c>
      <c r="AK3579" s="28">
        <f t="shared" si="1071"/>
        <v>0.12000000000000001</v>
      </c>
      <c r="AL3579" s="24"/>
      <c r="AM3579" s="24"/>
      <c r="AN3579" s="24"/>
      <c r="AO3579" s="24"/>
      <c r="AP3579" s="95" t="str">
        <f t="shared" si="1072"/>
        <v>202412</v>
      </c>
      <c r="AQ3579" s="203" t="str">
        <f t="shared" si="1073"/>
        <v>202412JPY</v>
      </c>
      <c r="AR3579" s="206" t="str">
        <f t="shared" si="1074"/>
        <v>YAMAHA_Mounter</v>
      </c>
      <c r="AS3579" s="22">
        <f t="shared" si="1075"/>
        <v>8</v>
      </c>
      <c r="AT3579" s="24" t="str">
        <f t="shared" si="1076"/>
        <v>&gt; 6 months</v>
      </c>
    </row>
    <row r="3580" spans="1:46">
      <c r="A3580" s="33" t="str">
        <f t="shared" si="1066"/>
        <v>FY 24/25</v>
      </c>
      <c r="B3580" s="23">
        <v>2024</v>
      </c>
      <c r="C3580" s="152">
        <v>4</v>
      </c>
      <c r="D3580" s="33" t="str">
        <f t="shared" si="1078"/>
        <v>Q1</v>
      </c>
      <c r="E3580" s="33" t="str">
        <f t="shared" si="1081"/>
        <v>FY 24/25</v>
      </c>
      <c r="F3580" s="23">
        <v>2024</v>
      </c>
      <c r="G3580" s="23">
        <v>12</v>
      </c>
      <c r="H3580" s="29"/>
      <c r="I3580" s="93" t="str">
        <f t="shared" si="1067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68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80"/>
        <v>1</v>
      </c>
      <c r="Z3580" s="18">
        <f t="shared" si="1079"/>
        <v>12000000</v>
      </c>
      <c r="AA3580" s="22">
        <v>5.5599999999999997E-2</v>
      </c>
      <c r="AB3580" s="21">
        <f t="shared" si="1077"/>
        <v>667200</v>
      </c>
      <c r="AC3580" s="25">
        <f t="shared" si="1069"/>
        <v>80064</v>
      </c>
      <c r="AD3580" s="169">
        <v>0.12</v>
      </c>
      <c r="AE3580" s="26">
        <f t="shared" si="1070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60"/>
        <v>22399988.308672566</v>
      </c>
      <c r="AJ3580" s="27">
        <f t="shared" si="1061"/>
        <v>2687998.5970407082</v>
      </c>
      <c r="AK3580" s="28">
        <f t="shared" si="1071"/>
        <v>0.12000000000000001</v>
      </c>
      <c r="AL3580" s="24"/>
      <c r="AM3580" s="24"/>
      <c r="AN3580" s="24"/>
      <c r="AO3580" s="24"/>
      <c r="AP3580" s="95" t="str">
        <f t="shared" si="1072"/>
        <v>202412</v>
      </c>
      <c r="AQ3580" s="203" t="str">
        <f t="shared" si="1073"/>
        <v>202412JPY</v>
      </c>
      <c r="AR3580" s="206" t="str">
        <f t="shared" si="1074"/>
        <v>YAMAHA_Mounter</v>
      </c>
      <c r="AS3580" s="22">
        <f t="shared" si="1075"/>
        <v>8</v>
      </c>
      <c r="AT3580" s="24" t="str">
        <f t="shared" si="1076"/>
        <v>&gt; 6 months</v>
      </c>
    </row>
    <row r="3581" spans="1:46">
      <c r="A3581" s="33" t="str">
        <f t="shared" si="1066"/>
        <v>FY 24/25</v>
      </c>
      <c r="B3581" s="23">
        <v>2024</v>
      </c>
      <c r="C3581" s="152">
        <v>4</v>
      </c>
      <c r="D3581" s="33" t="str">
        <f t="shared" si="1078"/>
        <v>Q1</v>
      </c>
      <c r="E3581" s="33" t="str">
        <f t="shared" si="1081"/>
        <v>FY 24/25</v>
      </c>
      <c r="F3581" s="23">
        <v>2024</v>
      </c>
      <c r="G3581" s="23">
        <v>12</v>
      </c>
      <c r="H3581" s="29"/>
      <c r="I3581" s="93" t="str">
        <f t="shared" si="1067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68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80"/>
        <v>1</v>
      </c>
      <c r="Z3581" s="18">
        <f t="shared" si="1079"/>
        <v>12000000</v>
      </c>
      <c r="AA3581" s="22">
        <v>5.5599999999999997E-2</v>
      </c>
      <c r="AB3581" s="21">
        <f t="shared" si="1077"/>
        <v>667200</v>
      </c>
      <c r="AC3581" s="25">
        <f t="shared" si="1069"/>
        <v>80064</v>
      </c>
      <c r="AD3581" s="169">
        <v>0.12</v>
      </c>
      <c r="AE3581" s="26">
        <f t="shared" si="1070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60"/>
        <v>22399988.308672566</v>
      </c>
      <c r="AJ3581" s="27">
        <f t="shared" si="1061"/>
        <v>2687998.5970407082</v>
      </c>
      <c r="AK3581" s="28">
        <f t="shared" si="1071"/>
        <v>0.12000000000000001</v>
      </c>
      <c r="AL3581" s="24"/>
      <c r="AM3581" s="24"/>
      <c r="AN3581" s="24"/>
      <c r="AO3581" s="24"/>
      <c r="AP3581" s="95" t="str">
        <f t="shared" si="1072"/>
        <v>202412</v>
      </c>
      <c r="AQ3581" s="203" t="str">
        <f t="shared" si="1073"/>
        <v>202412JPY</v>
      </c>
      <c r="AR3581" s="206" t="str">
        <f t="shared" si="1074"/>
        <v>YAMAHA_Mounter</v>
      </c>
      <c r="AS3581" s="22">
        <f t="shared" si="1075"/>
        <v>8</v>
      </c>
      <c r="AT3581" s="24" t="str">
        <f t="shared" si="1076"/>
        <v>&gt; 6 months</v>
      </c>
    </row>
    <row r="3582" spans="1:46">
      <c r="A3582" s="33" t="str">
        <f t="shared" si="1066"/>
        <v>FY 24/25</v>
      </c>
      <c r="B3582" s="23">
        <v>2024</v>
      </c>
      <c r="C3582" s="152">
        <v>4</v>
      </c>
      <c r="D3582" s="33" t="str">
        <f t="shared" si="1078"/>
        <v>Q1</v>
      </c>
      <c r="E3582" s="33" t="str">
        <f t="shared" si="1081"/>
        <v>FY 24/25</v>
      </c>
      <c r="F3582" s="23">
        <v>2024</v>
      </c>
      <c r="G3582" s="23">
        <v>12</v>
      </c>
      <c r="H3582" s="29"/>
      <c r="I3582" s="93" t="str">
        <f t="shared" si="1067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68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80"/>
        <v>1</v>
      </c>
      <c r="Z3582" s="18">
        <f t="shared" si="1079"/>
        <v>12000000</v>
      </c>
      <c r="AA3582" s="22">
        <v>5.5599999999999997E-2</v>
      </c>
      <c r="AB3582" s="21">
        <f t="shared" si="1077"/>
        <v>667200</v>
      </c>
      <c r="AC3582" s="25">
        <f t="shared" si="1069"/>
        <v>80064</v>
      </c>
      <c r="AD3582" s="169">
        <v>0.12</v>
      </c>
      <c r="AE3582" s="26">
        <f t="shared" si="1070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60"/>
        <v>22399988.308672566</v>
      </c>
      <c r="AJ3582" s="27">
        <f t="shared" si="1061"/>
        <v>2687998.5970407082</v>
      </c>
      <c r="AK3582" s="28">
        <f t="shared" si="1071"/>
        <v>0.12000000000000001</v>
      </c>
      <c r="AL3582" s="24"/>
      <c r="AM3582" s="24"/>
      <c r="AN3582" s="24"/>
      <c r="AO3582" s="24"/>
      <c r="AP3582" s="95" t="str">
        <f t="shared" si="1072"/>
        <v>202412</v>
      </c>
      <c r="AQ3582" s="203" t="str">
        <f t="shared" si="1073"/>
        <v>202412JPY</v>
      </c>
      <c r="AR3582" s="206" t="str">
        <f t="shared" si="1074"/>
        <v>YAMAHA_Mounter</v>
      </c>
      <c r="AS3582" s="22">
        <f t="shared" si="1075"/>
        <v>8</v>
      </c>
      <c r="AT3582" s="24" t="str">
        <f t="shared" si="1076"/>
        <v>&gt; 6 months</v>
      </c>
    </row>
    <row r="3583" spans="1:46">
      <c r="A3583" s="33" t="str">
        <f t="shared" si="1066"/>
        <v>FY 24/25</v>
      </c>
      <c r="B3583" s="23">
        <v>2024</v>
      </c>
      <c r="C3583" s="152">
        <v>4</v>
      </c>
      <c r="D3583" s="33" t="str">
        <f t="shared" si="1078"/>
        <v>Q1</v>
      </c>
      <c r="E3583" s="33" t="str">
        <f t="shared" si="1081"/>
        <v>FY 24/25</v>
      </c>
      <c r="F3583" s="23">
        <v>2024</v>
      </c>
      <c r="G3583" s="23">
        <v>12</v>
      </c>
      <c r="H3583" s="29"/>
      <c r="I3583" s="93" t="str">
        <f t="shared" si="1067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68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80"/>
        <v>1</v>
      </c>
      <c r="Z3583" s="18">
        <f t="shared" si="1079"/>
        <v>7668000</v>
      </c>
      <c r="AA3583" s="22">
        <v>5.5599999999999997E-2</v>
      </c>
      <c r="AB3583" s="21">
        <f t="shared" si="1077"/>
        <v>426340.8</v>
      </c>
      <c r="AC3583" s="25">
        <f t="shared" si="1069"/>
        <v>51160.895999999993</v>
      </c>
      <c r="AD3583" s="169">
        <v>0.12</v>
      </c>
      <c r="AE3583" s="26">
        <f t="shared" si="1070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60"/>
        <v>22399988.308672566</v>
      </c>
      <c r="AJ3583" s="27">
        <f t="shared" si="1061"/>
        <v>2687998.5970407082</v>
      </c>
      <c r="AK3583" s="28">
        <f t="shared" si="1071"/>
        <v>0.12000000000000001</v>
      </c>
      <c r="AL3583" s="24"/>
      <c r="AM3583" s="24"/>
      <c r="AN3583" s="24"/>
      <c r="AO3583" s="24"/>
      <c r="AP3583" s="95" t="str">
        <f t="shared" si="1072"/>
        <v>202412</v>
      </c>
      <c r="AQ3583" s="203" t="str">
        <f t="shared" si="1073"/>
        <v>202412JPY</v>
      </c>
      <c r="AR3583" s="206" t="str">
        <f t="shared" si="1074"/>
        <v>YAMAHA_Mounter</v>
      </c>
      <c r="AS3583" s="22">
        <f t="shared" si="1075"/>
        <v>8</v>
      </c>
      <c r="AT3583" s="24" t="str">
        <f t="shared" si="1076"/>
        <v>&gt; 6 months</v>
      </c>
    </row>
    <row r="3584" spans="1:46">
      <c r="A3584" s="33" t="str">
        <f t="shared" si="1066"/>
        <v>FY 24/25</v>
      </c>
      <c r="B3584" s="23">
        <v>2024</v>
      </c>
      <c r="C3584" s="152">
        <v>4</v>
      </c>
      <c r="D3584" s="33" t="str">
        <f t="shared" si="1078"/>
        <v>Q1</v>
      </c>
      <c r="E3584" s="33" t="str">
        <f t="shared" si="1081"/>
        <v>FY 24/25</v>
      </c>
      <c r="F3584" s="23">
        <v>2024</v>
      </c>
      <c r="G3584" s="23">
        <v>12</v>
      </c>
      <c r="H3584" s="29"/>
      <c r="I3584" s="93" t="str">
        <f t="shared" si="1067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68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80"/>
        <v>1</v>
      </c>
      <c r="Z3584" s="18">
        <f t="shared" si="1079"/>
        <v>7668000</v>
      </c>
      <c r="AA3584" s="22">
        <v>5.5599999999999997E-2</v>
      </c>
      <c r="AB3584" s="21">
        <f t="shared" si="1077"/>
        <v>426340.8</v>
      </c>
      <c r="AC3584" s="25">
        <f t="shared" si="1069"/>
        <v>51160.895999999993</v>
      </c>
      <c r="AD3584" s="169">
        <v>0.12</v>
      </c>
      <c r="AE3584" s="26">
        <f t="shared" si="1070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60"/>
        <v>22399988.308672566</v>
      </c>
      <c r="AJ3584" s="27">
        <f t="shared" si="1061"/>
        <v>2687998.5970407082</v>
      </c>
      <c r="AK3584" s="28">
        <f t="shared" si="1071"/>
        <v>0.12000000000000001</v>
      </c>
      <c r="AL3584" s="24"/>
      <c r="AM3584" s="24"/>
      <c r="AN3584" s="24"/>
      <c r="AO3584" s="24"/>
      <c r="AP3584" s="95" t="str">
        <f t="shared" si="1072"/>
        <v>202412</v>
      </c>
      <c r="AQ3584" s="203" t="str">
        <f t="shared" si="1073"/>
        <v>202412JPY</v>
      </c>
      <c r="AR3584" s="206" t="str">
        <f t="shared" si="1074"/>
        <v>YAMAHA_Mounter</v>
      </c>
      <c r="AS3584" s="22">
        <f t="shared" si="1075"/>
        <v>8</v>
      </c>
      <c r="AT3584" s="24" t="str">
        <f t="shared" si="1076"/>
        <v>&gt; 6 months</v>
      </c>
    </row>
    <row r="3585" spans="1:46">
      <c r="A3585" s="33" t="str">
        <f t="shared" si="1066"/>
        <v>FY 23/24</v>
      </c>
      <c r="B3585" s="23">
        <v>2024</v>
      </c>
      <c r="C3585" s="152">
        <v>3</v>
      </c>
      <c r="D3585" s="33" t="str">
        <f t="shared" si="1078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67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68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80"/>
        <v>1</v>
      </c>
      <c r="Z3585" s="18">
        <f t="shared" si="1079"/>
        <v>11000000</v>
      </c>
      <c r="AA3585" s="13">
        <v>5.5599999999999997E-2</v>
      </c>
      <c r="AB3585" s="21">
        <f t="shared" si="1077"/>
        <v>611600</v>
      </c>
      <c r="AC3585" s="25">
        <f t="shared" si="1069"/>
        <v>73392</v>
      </c>
      <c r="AD3585" s="169">
        <v>0.12</v>
      </c>
      <c r="AE3585" s="26">
        <f t="shared" si="1070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60"/>
        <v>22399988.308672566</v>
      </c>
      <c r="AJ3585" s="27">
        <f t="shared" si="1061"/>
        <v>2687998.5970407082</v>
      </c>
      <c r="AK3585" s="28">
        <f t="shared" si="1071"/>
        <v>0.12000000000000001</v>
      </c>
      <c r="AL3585" s="24"/>
      <c r="AM3585" s="24"/>
      <c r="AN3585" s="24"/>
      <c r="AO3585" s="24"/>
      <c r="AP3585" s="95" t="str">
        <f t="shared" si="1072"/>
        <v>202412</v>
      </c>
      <c r="AQ3585" s="203" t="str">
        <f t="shared" si="1073"/>
        <v>202412JPY</v>
      </c>
      <c r="AR3585" s="206" t="str">
        <f t="shared" si="1074"/>
        <v>YAMAHA_Mounter</v>
      </c>
      <c r="AS3585" s="22">
        <f t="shared" si="1075"/>
        <v>9</v>
      </c>
      <c r="AT3585" s="24" t="str">
        <f t="shared" si="1076"/>
        <v>&gt; 6 months</v>
      </c>
    </row>
    <row r="3586" spans="1:46">
      <c r="A3586" s="33" t="str">
        <f t="shared" si="1066"/>
        <v>FY 23/24</v>
      </c>
      <c r="B3586" s="23">
        <v>2024</v>
      </c>
      <c r="C3586" s="152">
        <v>3</v>
      </c>
      <c r="D3586" s="33" t="str">
        <f t="shared" si="1078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67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68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80"/>
        <v>1</v>
      </c>
      <c r="Z3586" s="18">
        <f t="shared" si="1079"/>
        <v>11000000</v>
      </c>
      <c r="AA3586" s="13">
        <v>5.5599999999999997E-2</v>
      </c>
      <c r="AB3586" s="21">
        <f t="shared" si="1077"/>
        <v>611600</v>
      </c>
      <c r="AC3586" s="25">
        <f t="shared" si="1069"/>
        <v>73392</v>
      </c>
      <c r="AD3586" s="169">
        <v>0.12</v>
      </c>
      <c r="AE3586" s="26">
        <f t="shared" si="1070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82">IF(P3586="C66 SERVICE","",SUMIFS(AB:AB,F:F,F3586,G:G,G3586,E:E,E3586))</f>
        <v>22399988.308672566</v>
      </c>
      <c r="AJ3586" s="27">
        <f t="shared" ref="AJ3586:AJ3649" si="1083">IF(P3586="C66 SERVICE","",SUMIFS(AC:AC,F:F,F3586,G:G,G3586,E:E,E3586))</f>
        <v>2687998.5970407082</v>
      </c>
      <c r="AK3586" s="28">
        <f t="shared" si="1071"/>
        <v>0.12000000000000001</v>
      </c>
      <c r="AL3586" s="24"/>
      <c r="AM3586" s="24"/>
      <c r="AN3586" s="24"/>
      <c r="AO3586" s="24"/>
      <c r="AP3586" s="95" t="str">
        <f t="shared" si="1072"/>
        <v>202412</v>
      </c>
      <c r="AQ3586" s="203" t="str">
        <f t="shared" si="1073"/>
        <v>202412JPY</v>
      </c>
      <c r="AR3586" s="206" t="str">
        <f t="shared" si="1074"/>
        <v>YAMAHA_Mounter</v>
      </c>
      <c r="AS3586" s="22">
        <f t="shared" si="1075"/>
        <v>9</v>
      </c>
      <c r="AT3586" s="24" t="str">
        <f t="shared" si="1076"/>
        <v>&gt; 6 months</v>
      </c>
    </row>
    <row r="3587" spans="1:46">
      <c r="A3587" s="33" t="str">
        <f t="shared" si="1066"/>
        <v>FY 23/24</v>
      </c>
      <c r="B3587" s="23">
        <v>2024</v>
      </c>
      <c r="C3587" s="152">
        <v>3</v>
      </c>
      <c r="D3587" s="33" t="str">
        <f t="shared" si="1078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67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68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80"/>
        <v>1</v>
      </c>
      <c r="Z3587" s="18">
        <f t="shared" si="1079"/>
        <v>11000000</v>
      </c>
      <c r="AA3587" s="13">
        <v>5.5599999999999997E-2</v>
      </c>
      <c r="AB3587" s="21">
        <f t="shared" si="1077"/>
        <v>611600</v>
      </c>
      <c r="AC3587" s="25">
        <f t="shared" si="1069"/>
        <v>73392</v>
      </c>
      <c r="AD3587" s="169">
        <v>0.12</v>
      </c>
      <c r="AE3587" s="26">
        <f t="shared" si="1070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82"/>
        <v>22399988.308672566</v>
      </c>
      <c r="AJ3587" s="27">
        <f t="shared" si="1083"/>
        <v>2687998.5970407082</v>
      </c>
      <c r="AK3587" s="28">
        <f t="shared" si="1071"/>
        <v>0.12000000000000001</v>
      </c>
      <c r="AL3587" s="24"/>
      <c r="AM3587" s="24"/>
      <c r="AN3587" s="24"/>
      <c r="AO3587" s="24"/>
      <c r="AP3587" s="95" t="str">
        <f t="shared" si="1072"/>
        <v>202412</v>
      </c>
      <c r="AQ3587" s="203" t="str">
        <f t="shared" si="1073"/>
        <v>202412JPY</v>
      </c>
      <c r="AR3587" s="206" t="str">
        <f t="shared" si="1074"/>
        <v>YAMAHA_Mounter</v>
      </c>
      <c r="AS3587" s="22">
        <f t="shared" si="1075"/>
        <v>9</v>
      </c>
      <c r="AT3587" s="24" t="str">
        <f t="shared" si="1076"/>
        <v>&gt; 6 months</v>
      </c>
    </row>
    <row r="3588" spans="1:46">
      <c r="A3588" s="33" t="str">
        <f t="shared" si="1066"/>
        <v>FY 23/24</v>
      </c>
      <c r="B3588" s="23">
        <v>2024</v>
      </c>
      <c r="C3588" s="152">
        <v>3</v>
      </c>
      <c r="D3588" s="33" t="str">
        <f t="shared" si="1078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67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68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80"/>
        <v>1</v>
      </c>
      <c r="Z3588" s="18">
        <f t="shared" si="1079"/>
        <v>11000000</v>
      </c>
      <c r="AA3588" s="13">
        <v>5.5599999999999997E-2</v>
      </c>
      <c r="AB3588" s="21">
        <f t="shared" si="1077"/>
        <v>611600</v>
      </c>
      <c r="AC3588" s="25">
        <f t="shared" si="1069"/>
        <v>73392</v>
      </c>
      <c r="AD3588" s="169">
        <v>0.12</v>
      </c>
      <c r="AE3588" s="26">
        <f t="shared" si="1070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82"/>
        <v>22399988.308672566</v>
      </c>
      <c r="AJ3588" s="27">
        <f t="shared" si="1083"/>
        <v>2687998.5970407082</v>
      </c>
      <c r="AK3588" s="28">
        <f t="shared" si="1071"/>
        <v>0.12000000000000001</v>
      </c>
      <c r="AL3588" s="24"/>
      <c r="AM3588" s="24"/>
      <c r="AN3588" s="24"/>
      <c r="AO3588" s="24"/>
      <c r="AP3588" s="95" t="str">
        <f t="shared" si="1072"/>
        <v>202412</v>
      </c>
      <c r="AQ3588" s="203" t="str">
        <f t="shared" si="1073"/>
        <v>202412JPY</v>
      </c>
      <c r="AR3588" s="206" t="str">
        <f t="shared" si="1074"/>
        <v>YAMAHA_Mounter</v>
      </c>
      <c r="AS3588" s="22">
        <f t="shared" si="1075"/>
        <v>9</v>
      </c>
      <c r="AT3588" s="24" t="str">
        <f t="shared" si="1076"/>
        <v>&gt; 6 months</v>
      </c>
    </row>
    <row r="3589" spans="1:46">
      <c r="A3589" s="33" t="str">
        <f t="shared" si="1066"/>
        <v>FY 23/24</v>
      </c>
      <c r="B3589" s="23">
        <v>2024</v>
      </c>
      <c r="C3589" s="152">
        <v>3</v>
      </c>
      <c r="D3589" s="33" t="str">
        <f t="shared" si="1078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67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68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80"/>
        <v>1</v>
      </c>
      <c r="Z3589" s="18">
        <f t="shared" si="1079"/>
        <v>11000000</v>
      </c>
      <c r="AA3589" s="13">
        <v>5.5599999999999997E-2</v>
      </c>
      <c r="AB3589" s="21">
        <f t="shared" si="1077"/>
        <v>611600</v>
      </c>
      <c r="AC3589" s="25">
        <f t="shared" si="1069"/>
        <v>73392</v>
      </c>
      <c r="AD3589" s="169">
        <v>0.12</v>
      </c>
      <c r="AE3589" s="26">
        <f t="shared" si="1070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82"/>
        <v>22399988.308672566</v>
      </c>
      <c r="AJ3589" s="27">
        <f t="shared" si="1083"/>
        <v>2687998.5970407082</v>
      </c>
      <c r="AK3589" s="28">
        <f t="shared" si="1071"/>
        <v>0.12000000000000001</v>
      </c>
      <c r="AL3589" s="24"/>
      <c r="AM3589" s="24"/>
      <c r="AN3589" s="24"/>
      <c r="AO3589" s="24"/>
      <c r="AP3589" s="95" t="str">
        <f t="shared" si="1072"/>
        <v>202412</v>
      </c>
      <c r="AQ3589" s="203" t="str">
        <f t="shared" si="1073"/>
        <v>202412JPY</v>
      </c>
      <c r="AR3589" s="206" t="str">
        <f t="shared" si="1074"/>
        <v>YAMAHA_Mounter</v>
      </c>
      <c r="AS3589" s="22">
        <f t="shared" si="1075"/>
        <v>9</v>
      </c>
      <c r="AT3589" s="24" t="str">
        <f t="shared" si="1076"/>
        <v>&gt; 6 months</v>
      </c>
    </row>
    <row r="3590" spans="1:46">
      <c r="A3590" s="33" t="str">
        <f t="shared" si="1066"/>
        <v>FY 23/24</v>
      </c>
      <c r="B3590" s="23">
        <v>2024</v>
      </c>
      <c r="C3590" s="152">
        <v>3</v>
      </c>
      <c r="D3590" s="33" t="str">
        <f t="shared" si="1078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si="1067"/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68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80"/>
        <v>1</v>
      </c>
      <c r="Z3590" s="18">
        <f t="shared" si="1079"/>
        <v>11000000</v>
      </c>
      <c r="AA3590" s="13">
        <v>5.5599999999999997E-2</v>
      </c>
      <c r="AB3590" s="21">
        <f t="shared" si="1077"/>
        <v>611600</v>
      </c>
      <c r="AC3590" s="25">
        <f t="shared" si="1069"/>
        <v>73392</v>
      </c>
      <c r="AD3590" s="169">
        <v>0.12</v>
      </c>
      <c r="AE3590" s="26">
        <f t="shared" si="1070"/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82"/>
        <v>22399988.308672566</v>
      </c>
      <c r="AJ3590" s="27">
        <f t="shared" si="1083"/>
        <v>2687998.5970407082</v>
      </c>
      <c r="AK3590" s="28">
        <f t="shared" si="1071"/>
        <v>0.12000000000000001</v>
      </c>
      <c r="AL3590" s="24"/>
      <c r="AM3590" s="24"/>
      <c r="AN3590" s="24"/>
      <c r="AO3590" s="24"/>
      <c r="AP3590" s="95" t="str">
        <f t="shared" si="1072"/>
        <v>202412</v>
      </c>
      <c r="AQ3590" s="203" t="str">
        <f t="shared" si="1073"/>
        <v>202412JPY</v>
      </c>
      <c r="AR3590" s="206" t="str">
        <f t="shared" si="1074"/>
        <v>YAMAHA_Mounter</v>
      </c>
      <c r="AS3590" s="22">
        <f t="shared" si="1075"/>
        <v>9</v>
      </c>
      <c r="AT3590" s="24" t="str">
        <f t="shared" si="1076"/>
        <v>&gt; 6 months</v>
      </c>
    </row>
    <row r="3591" spans="1:46">
      <c r="A3591" s="33" t="str">
        <f t="shared" si="1066"/>
        <v>FY 24/25</v>
      </c>
      <c r="B3591" s="23">
        <v>2024</v>
      </c>
      <c r="C3591" s="23">
        <v>6</v>
      </c>
      <c r="D3591" s="33" t="str">
        <f t="shared" si="1078"/>
        <v>Q1</v>
      </c>
      <c r="E3591" s="33" t="str">
        <f>IF(G3591="Cancel","Cancel",IF(G3591="TBA","TBA",IFERROR(IF(I3591="Q4","FY "&amp;RIGHT(F3591,2)-1&amp;"/"&amp;RIGHT(F3591,2),"FY "&amp;RIGHT(F3591,2)&amp;"/"&amp;RIGHT(F3591,2)+1),"")))</f>
        <v>FY 24/25</v>
      </c>
      <c r="F3591" s="23">
        <v>2024</v>
      </c>
      <c r="G3591" s="23">
        <v>6</v>
      </c>
      <c r="H3591" s="29"/>
      <c r="I3591" s="204" t="str">
        <f t="shared" si="1067"/>
        <v>Q1</v>
      </c>
      <c r="J3591" s="188" t="s">
        <v>3481</v>
      </c>
      <c r="K3591" s="29" t="s">
        <v>3483</v>
      </c>
      <c r="L3591" s="17" t="s">
        <v>93</v>
      </c>
      <c r="M3591" s="13" t="s">
        <v>61</v>
      </c>
      <c r="N3591" s="13">
        <v>1</v>
      </c>
      <c r="O3591" s="22"/>
      <c r="P3591" s="33" t="str">
        <f t="shared" si="1068"/>
        <v>MAIN UNIT</v>
      </c>
      <c r="Q3591" s="22" t="s">
        <v>69</v>
      </c>
      <c r="R3591" s="22" t="s">
        <v>63</v>
      </c>
      <c r="S3591" s="22" t="s">
        <v>51</v>
      </c>
      <c r="T3591" s="22" t="s">
        <v>445</v>
      </c>
      <c r="U3591" s="22" t="s">
        <v>71</v>
      </c>
      <c r="V3591" s="22" t="s">
        <v>1401</v>
      </c>
      <c r="W3591" s="22" t="s">
        <v>65</v>
      </c>
      <c r="X3591" s="104">
        <v>690000</v>
      </c>
      <c r="Y3591" s="195" t="str">
        <f t="shared" si="1080"/>
        <v>1.13</v>
      </c>
      <c r="Z3591" s="196">
        <f t="shared" si="1079"/>
        <v>690000</v>
      </c>
      <c r="AA3591" s="22">
        <v>1.08</v>
      </c>
      <c r="AB3591" s="197">
        <f t="shared" si="1077"/>
        <v>659469.0265486727</v>
      </c>
      <c r="AC3591" s="198">
        <f t="shared" si="1069"/>
        <v>55263.504424778774</v>
      </c>
      <c r="AD3591" s="170">
        <v>8.3799999999999999E-2</v>
      </c>
      <c r="AE3591" s="199">
        <f t="shared" si="1070"/>
        <v>1</v>
      </c>
      <c r="AF3591" s="199">
        <f>IF(AND(COUNTIFS($J$18:J3591,J3591)=1,AE3591=1),1,"")</f>
        <v>1</v>
      </c>
      <c r="AG3591" s="199">
        <f>IF(C3591="","",IF(AND(COUNTIFS($J$18:J3591,J3591)=1,C3591&lt;&gt;""),1,""))</f>
        <v>1</v>
      </c>
      <c r="AH3591" s="199">
        <f>IF(G3591="","",IF(AND(COUNTIFS($J$18:J3591,J3591)=1,G3591&lt;&gt;""),1,""))</f>
        <v>1</v>
      </c>
      <c r="AI3591" s="200">
        <f t="shared" si="1082"/>
        <v>27308925.887079656</v>
      </c>
      <c r="AJ3591" s="200">
        <f t="shared" si="1083"/>
        <v>3319273.860338124</v>
      </c>
      <c r="AK3591" s="201">
        <f t="shared" si="1071"/>
        <v>0.12154538314919709</v>
      </c>
      <c r="AL3591" s="24"/>
      <c r="AM3591" s="24"/>
      <c r="AN3591" s="24"/>
      <c r="AO3591" s="24"/>
      <c r="AP3591" s="165" t="str">
        <f t="shared" si="1072"/>
        <v>20246</v>
      </c>
      <c r="AQ3591" s="203" t="str">
        <f t="shared" si="1073"/>
        <v>20246RMB</v>
      </c>
      <c r="AR3591" s="206" t="str">
        <f t="shared" si="1074"/>
        <v>YAMAHA_Mounter</v>
      </c>
      <c r="AS3591" s="22">
        <f t="shared" si="1075"/>
        <v>0</v>
      </c>
      <c r="AT3591" s="24" t="str">
        <f t="shared" si="1076"/>
        <v>0-3 months</v>
      </c>
    </row>
    <row r="3592" spans="1:46">
      <c r="A3592" s="33" t="str">
        <f t="shared" si="1066"/>
        <v>FY 24/25</v>
      </c>
      <c r="B3592" s="23">
        <v>2024</v>
      </c>
      <c r="C3592" s="23">
        <v>6</v>
      </c>
      <c r="D3592" s="33" t="str">
        <f t="shared" si="1078"/>
        <v>Q1</v>
      </c>
      <c r="E3592" s="33" t="str">
        <f>IF(G3592="Cancel","Cancel",IF(G3592="TBA","TBA",IFERROR(IF(I3592="Q4","FY "&amp;RIGHT(F3592,2)-1&amp;"/"&amp;RIGHT(F3592,2),"FY "&amp;RIGHT(F3592,2)&amp;"/"&amp;RIGHT(F3592,2)+1),"")))</f>
        <v>FY 24/25</v>
      </c>
      <c r="F3592" s="23">
        <v>2024</v>
      </c>
      <c r="G3592" s="23">
        <v>6</v>
      </c>
      <c r="H3592" s="29"/>
      <c r="I3592" s="204" t="str">
        <f t="shared" si="1067"/>
        <v>Q1</v>
      </c>
      <c r="J3592" s="188" t="s">
        <v>3481</v>
      </c>
      <c r="K3592" s="29" t="s">
        <v>3483</v>
      </c>
      <c r="L3592" s="17" t="s">
        <v>68</v>
      </c>
      <c r="M3592" s="13" t="s">
        <v>61</v>
      </c>
      <c r="N3592" s="13">
        <v>1</v>
      </c>
      <c r="O3592" s="22"/>
      <c r="P3592" s="33" t="str">
        <f t="shared" si="1068"/>
        <v>MAIN UNIT</v>
      </c>
      <c r="Q3592" s="22" t="s">
        <v>69</v>
      </c>
      <c r="R3592" s="22" t="s">
        <v>63</v>
      </c>
      <c r="S3592" s="22" t="s">
        <v>51</v>
      </c>
      <c r="T3592" s="22" t="s">
        <v>445</v>
      </c>
      <c r="U3592" s="22" t="s">
        <v>71</v>
      </c>
      <c r="V3592" s="22" t="s">
        <v>1401</v>
      </c>
      <c r="W3592" s="22" t="s">
        <v>65</v>
      </c>
      <c r="X3592" s="104">
        <v>450000</v>
      </c>
      <c r="Y3592" s="195" t="str">
        <f t="shared" si="1080"/>
        <v>1.13</v>
      </c>
      <c r="Z3592" s="196">
        <f t="shared" si="1079"/>
        <v>450000</v>
      </c>
      <c r="AA3592" s="22">
        <v>1.08</v>
      </c>
      <c r="AB3592" s="197">
        <f t="shared" si="1077"/>
        <v>430088.49557522131</v>
      </c>
      <c r="AC3592" s="198">
        <f t="shared" si="1069"/>
        <v>36041.415929203547</v>
      </c>
      <c r="AD3592" s="170">
        <v>8.3799999999999999E-2</v>
      </c>
      <c r="AE3592" s="199">
        <f t="shared" si="1070"/>
        <v>1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82"/>
        <v>27308925.887079656</v>
      </c>
      <c r="AJ3592" s="200">
        <f t="shared" si="1083"/>
        <v>3319273.860338124</v>
      </c>
      <c r="AK3592" s="201">
        <f t="shared" si="1071"/>
        <v>0.12154538314919709</v>
      </c>
      <c r="AL3592" s="24"/>
      <c r="AM3592" s="24"/>
      <c r="AN3592" s="24"/>
      <c r="AO3592" s="24"/>
      <c r="AP3592" s="165" t="str">
        <f t="shared" si="1072"/>
        <v>20246</v>
      </c>
      <c r="AQ3592" s="203" t="str">
        <f t="shared" si="1073"/>
        <v>20246RMB</v>
      </c>
      <c r="AR3592" s="206" t="str">
        <f t="shared" si="1074"/>
        <v>YAMAHA_Mounter</v>
      </c>
      <c r="AS3592" s="22">
        <f t="shared" si="1075"/>
        <v>0</v>
      </c>
      <c r="AT3592" s="24" t="str">
        <f t="shared" si="1076"/>
        <v>0-3 months</v>
      </c>
    </row>
    <row r="3593" spans="1:46">
      <c r="A3593" s="33" t="str">
        <f t="shared" si="1066"/>
        <v>FY 23/24</v>
      </c>
      <c r="B3593" s="23">
        <v>2024</v>
      </c>
      <c r="C3593" s="152">
        <v>3</v>
      </c>
      <c r="D3593" s="33" t="str">
        <f t="shared" si="1078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7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68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80"/>
        <v>1</v>
      </c>
      <c r="Z3593" s="18">
        <f t="shared" si="1079"/>
        <v>9652900</v>
      </c>
      <c r="AA3593" s="13">
        <v>5.5599999999999997E-2</v>
      </c>
      <c r="AB3593" s="21">
        <f t="shared" si="1077"/>
        <v>536701.24</v>
      </c>
      <c r="AC3593" s="25">
        <f t="shared" si="1069"/>
        <v>64404.148799999995</v>
      </c>
      <c r="AD3593" s="169">
        <v>0.12</v>
      </c>
      <c r="AE3593" s="26">
        <f t="shared" si="1070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82"/>
        <v>22399988.308672566</v>
      </c>
      <c r="AJ3593" s="27">
        <f t="shared" si="1083"/>
        <v>2687998.5970407082</v>
      </c>
      <c r="AK3593" s="28">
        <f t="shared" si="1071"/>
        <v>0.12000000000000001</v>
      </c>
      <c r="AL3593" s="24"/>
      <c r="AM3593" s="24"/>
      <c r="AN3593" s="24"/>
      <c r="AO3593" s="24"/>
      <c r="AP3593" s="95" t="str">
        <f t="shared" si="1072"/>
        <v>202412</v>
      </c>
      <c r="AQ3593" s="203" t="str">
        <f t="shared" si="1073"/>
        <v>202412JPY</v>
      </c>
      <c r="AR3593" s="206" t="str">
        <f t="shared" si="1074"/>
        <v>YAMAHA_Mounter</v>
      </c>
      <c r="AS3593" s="22">
        <f t="shared" si="1075"/>
        <v>9</v>
      </c>
      <c r="AT3593" s="24" t="str">
        <f t="shared" si="1076"/>
        <v>&gt; 6 months</v>
      </c>
    </row>
    <row r="3594" spans="1:46">
      <c r="A3594" s="33" t="str">
        <f t="shared" si="1066"/>
        <v>FY 23/24</v>
      </c>
      <c r="B3594" s="23">
        <v>2024</v>
      </c>
      <c r="C3594" s="152">
        <v>3</v>
      </c>
      <c r="D3594" s="33" t="str">
        <f t="shared" si="1078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7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68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80"/>
        <v>1</v>
      </c>
      <c r="Z3594" s="18">
        <f t="shared" si="1079"/>
        <v>9652900</v>
      </c>
      <c r="AA3594" s="13">
        <v>5.5599999999999997E-2</v>
      </c>
      <c r="AB3594" s="21">
        <f t="shared" si="1077"/>
        <v>536701.24</v>
      </c>
      <c r="AC3594" s="25">
        <f t="shared" si="1069"/>
        <v>64404.148799999995</v>
      </c>
      <c r="AD3594" s="169">
        <v>0.12</v>
      </c>
      <c r="AE3594" s="26">
        <f t="shared" si="1070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82"/>
        <v>22399988.308672566</v>
      </c>
      <c r="AJ3594" s="27">
        <f t="shared" si="1083"/>
        <v>2687998.5970407082</v>
      </c>
      <c r="AK3594" s="28">
        <f t="shared" si="1071"/>
        <v>0.12000000000000001</v>
      </c>
      <c r="AL3594" s="24"/>
      <c r="AM3594" s="24"/>
      <c r="AN3594" s="24"/>
      <c r="AO3594" s="24"/>
      <c r="AP3594" s="95" t="str">
        <f t="shared" si="1072"/>
        <v>202412</v>
      </c>
      <c r="AQ3594" s="203" t="str">
        <f t="shared" si="1073"/>
        <v>202412JPY</v>
      </c>
      <c r="AR3594" s="206" t="str">
        <f t="shared" si="1074"/>
        <v>YAMAHA_Mounter</v>
      </c>
      <c r="AS3594" s="22">
        <f t="shared" si="1075"/>
        <v>9</v>
      </c>
      <c r="AT3594" s="24" t="str">
        <f t="shared" si="1076"/>
        <v>&gt; 6 months</v>
      </c>
    </row>
    <row r="3595" spans="1:46">
      <c r="A3595" s="33" t="str">
        <f t="shared" si="1066"/>
        <v>FY 23/24</v>
      </c>
      <c r="B3595" s="23">
        <v>2024</v>
      </c>
      <c r="C3595" s="152">
        <v>3</v>
      </c>
      <c r="D3595" s="33" t="str">
        <f t="shared" si="1078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7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68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80"/>
        <v>1</v>
      </c>
      <c r="Z3595" s="18">
        <f t="shared" si="1079"/>
        <v>9652900</v>
      </c>
      <c r="AA3595" s="13">
        <v>5.5599999999999997E-2</v>
      </c>
      <c r="AB3595" s="21">
        <f t="shared" si="1077"/>
        <v>536701.24</v>
      </c>
      <c r="AC3595" s="25">
        <f t="shared" si="1069"/>
        <v>64404.148799999995</v>
      </c>
      <c r="AD3595" s="169">
        <v>0.12</v>
      </c>
      <c r="AE3595" s="26">
        <f t="shared" si="1070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82"/>
        <v>22399988.308672566</v>
      </c>
      <c r="AJ3595" s="27">
        <f t="shared" si="1083"/>
        <v>2687998.5970407082</v>
      </c>
      <c r="AK3595" s="28">
        <f t="shared" si="1071"/>
        <v>0.12000000000000001</v>
      </c>
      <c r="AL3595" s="24"/>
      <c r="AM3595" s="24"/>
      <c r="AN3595" s="24"/>
      <c r="AO3595" s="24"/>
      <c r="AP3595" s="95" t="str">
        <f t="shared" si="1072"/>
        <v>202412</v>
      </c>
      <c r="AQ3595" s="203" t="str">
        <f t="shared" si="1073"/>
        <v>202412JPY</v>
      </c>
      <c r="AR3595" s="206" t="str">
        <f t="shared" si="1074"/>
        <v>YAMAHA_Mounter</v>
      </c>
      <c r="AS3595" s="22">
        <f t="shared" si="1075"/>
        <v>9</v>
      </c>
      <c r="AT3595" s="24" t="str">
        <f t="shared" si="1076"/>
        <v>&gt; 6 months</v>
      </c>
    </row>
    <row r="3596" spans="1:46">
      <c r="A3596" s="33" t="str">
        <f t="shared" si="1066"/>
        <v>FY 23/24</v>
      </c>
      <c r="B3596" s="23">
        <v>2024</v>
      </c>
      <c r="C3596" s="152">
        <v>3</v>
      </c>
      <c r="D3596" s="33" t="str">
        <f t="shared" si="1078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7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68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80"/>
        <v>1</v>
      </c>
      <c r="Z3596" s="18">
        <f t="shared" si="1079"/>
        <v>9652900</v>
      </c>
      <c r="AA3596" s="13">
        <v>5.5599999999999997E-2</v>
      </c>
      <c r="AB3596" s="21">
        <f t="shared" si="1077"/>
        <v>536701.24</v>
      </c>
      <c r="AC3596" s="25">
        <f t="shared" si="1069"/>
        <v>64404.148799999995</v>
      </c>
      <c r="AD3596" s="169">
        <v>0.12</v>
      </c>
      <c r="AE3596" s="26">
        <f t="shared" si="1070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82"/>
        <v>22399988.308672566</v>
      </c>
      <c r="AJ3596" s="27">
        <f t="shared" si="1083"/>
        <v>2687998.5970407082</v>
      </c>
      <c r="AK3596" s="28">
        <f t="shared" si="1071"/>
        <v>0.12000000000000001</v>
      </c>
      <c r="AL3596" s="24"/>
      <c r="AM3596" s="24"/>
      <c r="AN3596" s="24"/>
      <c r="AO3596" s="24"/>
      <c r="AP3596" s="95" t="str">
        <f t="shared" si="1072"/>
        <v>202412</v>
      </c>
      <c r="AQ3596" s="203" t="str">
        <f t="shared" si="1073"/>
        <v>202412JPY</v>
      </c>
      <c r="AR3596" s="206" t="str">
        <f t="shared" si="1074"/>
        <v>YAMAHA_Mounter</v>
      </c>
      <c r="AS3596" s="22">
        <f t="shared" si="1075"/>
        <v>9</v>
      </c>
      <c r="AT3596" s="24" t="str">
        <f t="shared" si="1076"/>
        <v>&gt; 6 months</v>
      </c>
    </row>
    <row r="3597" spans="1:46">
      <c r="A3597" s="33" t="str">
        <f t="shared" si="1066"/>
        <v>FY 23/24</v>
      </c>
      <c r="B3597" s="152">
        <v>2023</v>
      </c>
      <c r="C3597" s="152">
        <v>11</v>
      </c>
      <c r="D3597" s="33" t="str">
        <f t="shared" si="1078"/>
        <v>Q3</v>
      </c>
      <c r="E3597" s="33" t="str">
        <f>IF(G3597="Cancel","Cancel",IF(G3597="TBA","TBA",IFERROR(IF(I3597="Q4","FY "&amp;RIGHT(F3597,2)-1&amp;"/"&amp;RIGHT(F3597,2),"FY "&amp;RIGHT(F3597,2)&amp;"/"&amp;RIGHT(F3597,2)+1),"")))</f>
        <v>FY 24/25</v>
      </c>
      <c r="F3597" s="152">
        <v>2024</v>
      </c>
      <c r="G3597" s="152">
        <v>9</v>
      </c>
      <c r="H3597" s="155"/>
      <c r="I3597" s="93" t="str">
        <f t="shared" si="1067"/>
        <v>Q2</v>
      </c>
      <c r="J3597" s="186" t="s">
        <v>3158</v>
      </c>
      <c r="K3597" s="155" t="s">
        <v>3159</v>
      </c>
      <c r="L3597" s="17" t="s">
        <v>93</v>
      </c>
      <c r="M3597" s="13" t="s">
        <v>61</v>
      </c>
      <c r="N3597" s="13">
        <v>1</v>
      </c>
      <c r="O3597" s="13"/>
      <c r="P3597" s="33" t="str">
        <f t="shared" si="1068"/>
        <v>MAIN UNIT</v>
      </c>
      <c r="Q3597" s="13" t="s">
        <v>62</v>
      </c>
      <c r="R3597" s="13" t="s">
        <v>63</v>
      </c>
      <c r="S3597" s="13" t="s">
        <v>50</v>
      </c>
      <c r="T3597" s="13" t="s">
        <v>79</v>
      </c>
      <c r="U3597" s="13" t="s">
        <v>2111</v>
      </c>
      <c r="V3597" s="13" t="s">
        <v>127</v>
      </c>
      <c r="W3597" s="13" t="s">
        <v>110</v>
      </c>
      <c r="X3597" s="135">
        <v>11900000</v>
      </c>
      <c r="Y3597" s="157" t="str">
        <f t="shared" si="1080"/>
        <v>1</v>
      </c>
      <c r="Z3597" s="18">
        <f t="shared" si="1079"/>
        <v>11900000</v>
      </c>
      <c r="AA3597" s="13">
        <v>5.5100000000000003E-2</v>
      </c>
      <c r="AB3597" s="21">
        <f t="shared" si="1077"/>
        <v>655690</v>
      </c>
      <c r="AC3597" s="130">
        <f t="shared" si="1069"/>
        <v>63864.205999999998</v>
      </c>
      <c r="AD3597" s="170">
        <v>9.74E-2</v>
      </c>
      <c r="AE3597" s="154">
        <f t="shared" si="1070"/>
        <v>0</v>
      </c>
      <c r="AF3597" s="154" t="str">
        <f>IF(AND(COUNTIFS($J$18:J3597,J3597)=1,AE3597=1),1,"")</f>
        <v/>
      </c>
      <c r="AG3597" s="154">
        <f>IF(C3597="","",IF(AND(COUNTIFS($J$18:J3597,J3597)=1,C3597&lt;&gt;""),1,""))</f>
        <v>1</v>
      </c>
      <c r="AH3597" s="154">
        <f>IF(G3597="","",IF(AND(COUNTIFS($J$18:J3597,J3597)=1,G3597&lt;&gt;""),1,""))</f>
        <v>1</v>
      </c>
      <c r="AI3597" s="19">
        <f t="shared" si="1082"/>
        <v>35931087.732566379</v>
      </c>
      <c r="AJ3597" s="19">
        <f t="shared" si="1083"/>
        <v>4346699.6584161064</v>
      </c>
      <c r="AK3597" s="20">
        <f t="shared" si="1071"/>
        <v>0.12097322771769156</v>
      </c>
      <c r="AL3597" s="17"/>
      <c r="AM3597" s="17"/>
      <c r="AN3597" s="17"/>
      <c r="AO3597" s="17"/>
      <c r="AP3597" s="95" t="str">
        <f t="shared" si="1072"/>
        <v>20249</v>
      </c>
      <c r="AQ3597" s="203" t="str">
        <f t="shared" si="1073"/>
        <v>20249JPY</v>
      </c>
      <c r="AR3597" s="206" t="str">
        <f t="shared" si="1074"/>
        <v>YAMAHA_Mounter</v>
      </c>
      <c r="AS3597" s="22">
        <f t="shared" si="1075"/>
        <v>10</v>
      </c>
      <c r="AT3597" s="24" t="str">
        <f t="shared" si="1076"/>
        <v>&gt; 6 months</v>
      </c>
    </row>
    <row r="3598" spans="1:46">
      <c r="A3598" s="33" t="str">
        <f t="shared" si="1066"/>
        <v/>
      </c>
      <c r="B3598" s="23"/>
      <c r="C3598" s="23"/>
      <c r="D3598" s="33" t="str">
        <f t="shared" si="1078"/>
        <v/>
      </c>
      <c r="E3598" s="33" t="s">
        <v>3173</v>
      </c>
      <c r="F3598" s="23">
        <v>2024</v>
      </c>
      <c r="G3598" s="23">
        <v>6</v>
      </c>
      <c r="H3598" s="29"/>
      <c r="I3598" s="204" t="str">
        <f t="shared" si="1067"/>
        <v>Q1</v>
      </c>
      <c r="J3598" s="188"/>
      <c r="K3598" s="29"/>
      <c r="L3598" s="17" t="s">
        <v>44</v>
      </c>
      <c r="M3598" s="22" t="s">
        <v>44</v>
      </c>
      <c r="N3598" s="22">
        <v>0</v>
      </c>
      <c r="O3598" s="22"/>
      <c r="P3598" s="202"/>
      <c r="Q3598" s="22" t="s">
        <v>46</v>
      </c>
      <c r="R3598" s="22" t="s">
        <v>46</v>
      </c>
      <c r="S3598" s="22" t="s">
        <v>53</v>
      </c>
      <c r="T3598" s="22"/>
      <c r="U3598" s="22"/>
      <c r="V3598" s="22"/>
      <c r="W3598" s="22"/>
      <c r="X3598" s="104"/>
      <c r="Y3598" s="195" t="str">
        <f t="shared" si="1080"/>
        <v/>
      </c>
      <c r="Z3598" s="196" t="str">
        <f t="shared" si="1079"/>
        <v/>
      </c>
      <c r="AA3598" s="22"/>
      <c r="AB3598" s="197">
        <v>0</v>
      </c>
      <c r="AC3598" s="198">
        <f t="shared" si="1069"/>
        <v>0</v>
      </c>
      <c r="AD3598" s="162">
        <v>0.3</v>
      </c>
      <c r="AE3598" s="199">
        <f t="shared" si="1070"/>
        <v>0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82"/>
        <v>27308925.887079656</v>
      </c>
      <c r="AJ3598" s="200">
        <f t="shared" si="1083"/>
        <v>3319273.860338124</v>
      </c>
      <c r="AK3598" s="201">
        <f t="shared" si="1071"/>
        <v>0.12154538314919709</v>
      </c>
      <c r="AL3598" s="24"/>
      <c r="AM3598" s="24"/>
      <c r="AN3598" s="24"/>
      <c r="AO3598" s="24"/>
      <c r="AP3598" s="165" t="str">
        <f t="shared" si="1072"/>
        <v>20246</v>
      </c>
      <c r="AQ3598" s="203" t="str">
        <f t="shared" si="1073"/>
        <v/>
      </c>
      <c r="AR3598" s="206" t="str">
        <f t="shared" si="1074"/>
        <v>C66 SERVICE</v>
      </c>
      <c r="AS3598" s="22" t="str">
        <f t="shared" si="1075"/>
        <v/>
      </c>
      <c r="AT3598" s="24" t="str">
        <f t="shared" si="1076"/>
        <v/>
      </c>
    </row>
    <row r="3599" spans="1:46">
      <c r="A3599" s="33" t="str">
        <f t="shared" si="1066"/>
        <v/>
      </c>
      <c r="B3599" s="23"/>
      <c r="C3599" s="23"/>
      <c r="D3599" s="33" t="str">
        <f t="shared" si="1078"/>
        <v/>
      </c>
      <c r="E3599" s="33" t="s">
        <v>3173</v>
      </c>
      <c r="F3599" s="23">
        <v>2024</v>
      </c>
      <c r="G3599" s="23">
        <v>6</v>
      </c>
      <c r="H3599" s="29"/>
      <c r="I3599" s="204" t="str">
        <f t="shared" si="1067"/>
        <v>Q1</v>
      </c>
      <c r="J3599" s="188"/>
      <c r="K3599" s="29"/>
      <c r="L3599" s="17" t="s">
        <v>44</v>
      </c>
      <c r="M3599" s="22" t="s">
        <v>44</v>
      </c>
      <c r="N3599" s="22">
        <v>0</v>
      </c>
      <c r="O3599" s="22"/>
      <c r="P3599" s="202"/>
      <c r="Q3599" s="22" t="s">
        <v>46</v>
      </c>
      <c r="R3599" s="22" t="s">
        <v>46</v>
      </c>
      <c r="S3599" s="22" t="s">
        <v>52</v>
      </c>
      <c r="T3599" s="22"/>
      <c r="U3599" s="22"/>
      <c r="V3599" s="22"/>
      <c r="W3599" s="22"/>
      <c r="X3599" s="104"/>
      <c r="Y3599" s="195" t="str">
        <f t="shared" si="1080"/>
        <v/>
      </c>
      <c r="Z3599" s="196" t="str">
        <f t="shared" si="1079"/>
        <v/>
      </c>
      <c r="AA3599" s="22"/>
      <c r="AB3599" s="197">
        <v>369000</v>
      </c>
      <c r="AC3599" s="198">
        <f t="shared" si="1069"/>
        <v>110700</v>
      </c>
      <c r="AD3599" s="162">
        <v>0.3</v>
      </c>
      <c r="AE3599" s="199">
        <f t="shared" si="1070"/>
        <v>0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82"/>
        <v>27308925.887079656</v>
      </c>
      <c r="AJ3599" s="200">
        <f t="shared" si="1083"/>
        <v>3319273.860338124</v>
      </c>
      <c r="AK3599" s="201">
        <f t="shared" si="1071"/>
        <v>0.12154538314919709</v>
      </c>
      <c r="AL3599" s="24"/>
      <c r="AM3599" s="24"/>
      <c r="AN3599" s="24"/>
      <c r="AO3599" s="24"/>
      <c r="AP3599" s="165" t="str">
        <f t="shared" si="1072"/>
        <v>20246</v>
      </c>
      <c r="AQ3599" s="203" t="str">
        <f t="shared" si="1073"/>
        <v/>
      </c>
      <c r="AR3599" s="206" t="str">
        <f t="shared" si="1074"/>
        <v>C66 SERVICE</v>
      </c>
      <c r="AS3599" s="22" t="str">
        <f t="shared" si="1075"/>
        <v/>
      </c>
      <c r="AT3599" s="24" t="str">
        <f t="shared" si="1076"/>
        <v/>
      </c>
    </row>
    <row r="3600" spans="1:46">
      <c r="A3600" s="33" t="str">
        <f t="shared" si="1066"/>
        <v/>
      </c>
      <c r="B3600" s="23"/>
      <c r="C3600" s="23"/>
      <c r="D3600" s="33" t="str">
        <f t="shared" si="1078"/>
        <v/>
      </c>
      <c r="E3600" s="33" t="s">
        <v>3173</v>
      </c>
      <c r="F3600" s="23">
        <v>2024</v>
      </c>
      <c r="G3600" s="23">
        <v>6</v>
      </c>
      <c r="H3600" s="29"/>
      <c r="I3600" s="204" t="str">
        <f t="shared" si="1067"/>
        <v>Q1</v>
      </c>
      <c r="J3600" s="188"/>
      <c r="K3600" s="29"/>
      <c r="L3600" s="17" t="s">
        <v>44</v>
      </c>
      <c r="M3600" s="22" t="s">
        <v>44</v>
      </c>
      <c r="N3600" s="22">
        <v>0</v>
      </c>
      <c r="O3600" s="22"/>
      <c r="P3600" s="202"/>
      <c r="Q3600" s="22" t="s">
        <v>46</v>
      </c>
      <c r="R3600" s="22" t="s">
        <v>46</v>
      </c>
      <c r="S3600" s="22" t="s">
        <v>51</v>
      </c>
      <c r="T3600" s="22"/>
      <c r="U3600" s="22"/>
      <c r="V3600" s="22"/>
      <c r="W3600" s="22"/>
      <c r="X3600" s="104"/>
      <c r="Y3600" s="195" t="str">
        <f t="shared" si="1080"/>
        <v/>
      </c>
      <c r="Z3600" s="196" t="str">
        <f t="shared" si="1079"/>
        <v/>
      </c>
      <c r="AA3600" s="22"/>
      <c r="AB3600" s="197">
        <v>226000</v>
      </c>
      <c r="AC3600" s="198">
        <f t="shared" si="1069"/>
        <v>67800</v>
      </c>
      <c r="AD3600" s="162">
        <v>0.3</v>
      </c>
      <c r="AE3600" s="199">
        <f t="shared" si="1070"/>
        <v>0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82"/>
        <v>27308925.887079656</v>
      </c>
      <c r="AJ3600" s="200">
        <f t="shared" si="1083"/>
        <v>3319273.860338124</v>
      </c>
      <c r="AK3600" s="201">
        <f t="shared" si="1071"/>
        <v>0.12154538314919709</v>
      </c>
      <c r="AL3600" s="24"/>
      <c r="AM3600" s="24"/>
      <c r="AN3600" s="24"/>
      <c r="AO3600" s="24"/>
      <c r="AP3600" s="165" t="str">
        <f t="shared" si="1072"/>
        <v>20246</v>
      </c>
      <c r="AQ3600" s="203" t="str">
        <f t="shared" si="1073"/>
        <v/>
      </c>
      <c r="AR3600" s="206" t="str">
        <f t="shared" si="1074"/>
        <v>C66 SERVICE</v>
      </c>
      <c r="AS3600" s="22" t="str">
        <f t="shared" si="1075"/>
        <v/>
      </c>
      <c r="AT3600" s="24" t="str">
        <f t="shared" si="1076"/>
        <v/>
      </c>
    </row>
    <row r="3601" spans="1:46">
      <c r="A3601" s="33" t="str">
        <f t="shared" si="1066"/>
        <v/>
      </c>
      <c r="B3601" s="23"/>
      <c r="C3601" s="23"/>
      <c r="D3601" s="33" t="str">
        <f t="shared" si="1078"/>
        <v/>
      </c>
      <c r="E3601" s="33" t="s">
        <v>3173</v>
      </c>
      <c r="F3601" s="23">
        <v>2024</v>
      </c>
      <c r="G3601" s="23">
        <v>6</v>
      </c>
      <c r="H3601" s="29"/>
      <c r="I3601" s="204" t="str">
        <f t="shared" si="1067"/>
        <v>Q1</v>
      </c>
      <c r="J3601" s="188"/>
      <c r="K3601" s="29"/>
      <c r="L3601" s="17" t="s">
        <v>44</v>
      </c>
      <c r="M3601" s="22" t="s">
        <v>44</v>
      </c>
      <c r="N3601" s="22">
        <v>0</v>
      </c>
      <c r="O3601" s="22"/>
      <c r="P3601" s="202"/>
      <c r="Q3601" s="22" t="s">
        <v>46</v>
      </c>
      <c r="R3601" s="22" t="s">
        <v>46</v>
      </c>
      <c r="S3601" s="22" t="s">
        <v>50</v>
      </c>
      <c r="T3601" s="22"/>
      <c r="U3601" s="22"/>
      <c r="V3601" s="22"/>
      <c r="W3601" s="22"/>
      <c r="X3601" s="104"/>
      <c r="Y3601" s="195" t="str">
        <f t="shared" si="1080"/>
        <v/>
      </c>
      <c r="Z3601" s="196" t="str">
        <f t="shared" si="1079"/>
        <v/>
      </c>
      <c r="AA3601" s="22"/>
      <c r="AB3601" s="197">
        <v>427000</v>
      </c>
      <c r="AC3601" s="198">
        <f t="shared" si="1069"/>
        <v>128100</v>
      </c>
      <c r="AD3601" s="162">
        <v>0.3</v>
      </c>
      <c r="AE3601" s="199">
        <f t="shared" si="1070"/>
        <v>0</v>
      </c>
      <c r="AF3601" s="199" t="str">
        <f>IF(AND(COUNTIFS($J$18:J3601,J3601)=1,AE3601=1),1,"")</f>
        <v/>
      </c>
      <c r="AG3601" s="199" t="str">
        <f>IF(C3601="","",IF(AND(COUNTIFS($J$18:J3601,J3601)=1,C3601&lt;&gt;""),1,""))</f>
        <v/>
      </c>
      <c r="AH3601" s="199" t="str">
        <f>IF(G3601="","",IF(AND(COUNTIFS($J$18:J3601,J3601)=1,G3601&lt;&gt;""),1,""))</f>
        <v/>
      </c>
      <c r="AI3601" s="200">
        <f t="shared" si="1082"/>
        <v>27308925.887079656</v>
      </c>
      <c r="AJ3601" s="200">
        <f t="shared" si="1083"/>
        <v>3319273.860338124</v>
      </c>
      <c r="AK3601" s="201">
        <f t="shared" si="1071"/>
        <v>0.12154538314919709</v>
      </c>
      <c r="AL3601" s="24"/>
      <c r="AM3601" s="24"/>
      <c r="AN3601" s="24"/>
      <c r="AO3601" s="24"/>
      <c r="AP3601" s="165" t="str">
        <f t="shared" si="1072"/>
        <v>20246</v>
      </c>
      <c r="AQ3601" s="203" t="str">
        <f t="shared" si="1073"/>
        <v/>
      </c>
      <c r="AR3601" s="206" t="str">
        <f t="shared" si="1074"/>
        <v>C66 SERVICE</v>
      </c>
      <c r="AS3601" s="22" t="str">
        <f t="shared" si="1075"/>
        <v/>
      </c>
      <c r="AT3601" s="24" t="str">
        <f t="shared" si="1076"/>
        <v/>
      </c>
    </row>
    <row r="3602" spans="1:46">
      <c r="A3602" s="33" t="str">
        <f t="shared" si="1066"/>
        <v>FY 23/24</v>
      </c>
      <c r="B3602" s="23">
        <v>2024</v>
      </c>
      <c r="C3602" s="152">
        <v>1</v>
      </c>
      <c r="D3602" s="33" t="str">
        <f t="shared" ref="D3602:D3633" si="1084">IF(B3602="","",IF(AND(C3602&gt;=10,C3602&lt;=12),"Q3",IF(AND(C3602&gt;=1,C3602&lt;=3),"Q4",IF(AND(C3602&gt;=7,C3602&lt;=9),"Q2",IF(AND(C3602&gt;=4,C3602&lt;=6),"Q1")))))</f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7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ref="P3602:P3615" si="1085">IF(M3602="","",IF(AND(N3602&gt;0,L3602&lt;&gt;""),"MAIN UNIT",IF(AND(O3602&gt;0,L3602&lt;&gt;""),"SERVICE/ PARTS","C66 SERVICE/OTHERS")))</f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80"/>
        <v>1.13</v>
      </c>
      <c r="Z3602" s="18">
        <f t="shared" ref="Z3602:Z3633" si="1086">IF(X3602="","",X3602*MAX(O3602,N3602))</f>
        <v>770000</v>
      </c>
      <c r="AA3602" s="22">
        <v>1.1080000000000001</v>
      </c>
      <c r="AB3602" s="21">
        <f t="shared" ref="AB3602:AB3640" si="1087">IF(AND(R3602&lt;&gt;"C66",R3602&lt;&gt;""),Z3602/Y3602*AA3602,"")</f>
        <v>755008.84955752222</v>
      </c>
      <c r="AC3602" s="25">
        <f t="shared" si="1069"/>
        <v>90601.061946902657</v>
      </c>
      <c r="AD3602" s="169">
        <v>0.12</v>
      </c>
      <c r="AE3602" s="26">
        <f t="shared" si="1070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82"/>
        <v>24129972.828771491</v>
      </c>
      <c r="AJ3602" s="27">
        <f t="shared" si="1083"/>
        <v>2880955.0890193055</v>
      </c>
      <c r="AK3602" s="28">
        <f t="shared" si="1071"/>
        <v>0.11939321728469518</v>
      </c>
      <c r="AL3602" s="24"/>
      <c r="AM3602" s="24"/>
      <c r="AN3602" s="24"/>
      <c r="AO3602" s="24"/>
      <c r="AP3602" s="95" t="str">
        <f t="shared" si="1072"/>
        <v>202411</v>
      </c>
      <c r="AQ3602" s="203" t="str">
        <f t="shared" si="1073"/>
        <v>202411RMB</v>
      </c>
      <c r="AR3602" s="206" t="str">
        <f t="shared" si="1074"/>
        <v>YAMAHA_Mounter</v>
      </c>
      <c r="AS3602" s="22">
        <f t="shared" si="1075"/>
        <v>10</v>
      </c>
      <c r="AT3602" s="24" t="str">
        <f t="shared" si="1076"/>
        <v>&gt; 6 months</v>
      </c>
    </row>
    <row r="3603" spans="1:46">
      <c r="A3603" s="33" t="str">
        <f t="shared" si="1066"/>
        <v>FY 24/25</v>
      </c>
      <c r="B3603" s="23">
        <v>2024</v>
      </c>
      <c r="C3603" s="152">
        <v>6</v>
      </c>
      <c r="D3603" s="202" t="str">
        <f t="shared" si="1084"/>
        <v>Q1</v>
      </c>
      <c r="E3603" s="33" t="s">
        <v>3173</v>
      </c>
      <c r="F3603" s="152">
        <v>2024</v>
      </c>
      <c r="G3603" s="23">
        <v>8</v>
      </c>
      <c r="H3603" s="29"/>
      <c r="I3603" s="204" t="str">
        <f t="shared" si="1067"/>
        <v>Q2</v>
      </c>
      <c r="J3603" s="188" t="s">
        <v>3471</v>
      </c>
      <c r="K3603" s="29" t="s">
        <v>821</v>
      </c>
      <c r="L3603" s="17" t="s">
        <v>93</v>
      </c>
      <c r="M3603" s="22" t="s">
        <v>61</v>
      </c>
      <c r="N3603" s="22">
        <v>1</v>
      </c>
      <c r="O3603" s="22"/>
      <c r="P3603" s="33" t="str">
        <f t="shared" si="1085"/>
        <v>MAIN UNIT</v>
      </c>
      <c r="Q3603" s="22" t="s">
        <v>62</v>
      </c>
      <c r="R3603" s="22" t="s">
        <v>63</v>
      </c>
      <c r="S3603" s="22" t="s">
        <v>50</v>
      </c>
      <c r="T3603" s="22" t="s">
        <v>79</v>
      </c>
      <c r="U3603" s="22" t="s">
        <v>79</v>
      </c>
      <c r="V3603" s="22" t="s">
        <v>113</v>
      </c>
      <c r="W3603" s="22" t="s">
        <v>110</v>
      </c>
      <c r="X3603" s="104">
        <v>11900000</v>
      </c>
      <c r="Y3603" s="195" t="str">
        <f t="shared" si="1080"/>
        <v>1</v>
      </c>
      <c r="Z3603" s="196">
        <f t="shared" si="1086"/>
        <v>11900000</v>
      </c>
      <c r="AA3603" s="22">
        <v>5.2299999999999999E-2</v>
      </c>
      <c r="AB3603" s="197">
        <f t="shared" si="1087"/>
        <v>622370</v>
      </c>
      <c r="AC3603" s="198">
        <f t="shared" si="1069"/>
        <v>77485.065000000002</v>
      </c>
      <c r="AD3603" s="170">
        <v>0.1245</v>
      </c>
      <c r="AE3603" s="199">
        <f t="shared" si="1070"/>
        <v>0</v>
      </c>
      <c r="AF3603" s="199" t="str">
        <f>IF(AND(COUNTIFS($J$18:J3603,J3603)=1,AE3603=1),1,"")</f>
        <v/>
      </c>
      <c r="AG3603" s="199">
        <f>IF(C3603="","",IF(AND(COUNTIFS($J$18:J3603,J3603)=1,C3603&lt;&gt;""),1,""))</f>
        <v>1</v>
      </c>
      <c r="AH3603" s="199">
        <f>IF(G3603="","",IF(AND(COUNTIFS($J$18:J3603,J3603)=1,G3603&lt;&gt;""),1,""))</f>
        <v>1</v>
      </c>
      <c r="AI3603" s="200">
        <f t="shared" si="1082"/>
        <v>25354039.366920356</v>
      </c>
      <c r="AJ3603" s="200">
        <f t="shared" si="1083"/>
        <v>3027878.5311884549</v>
      </c>
      <c r="AK3603" s="201">
        <f t="shared" si="1071"/>
        <v>0.11942391061910851</v>
      </c>
      <c r="AL3603" s="24"/>
      <c r="AM3603" s="24"/>
      <c r="AN3603" s="24"/>
      <c r="AO3603" s="24"/>
      <c r="AP3603" s="165" t="str">
        <f t="shared" si="1072"/>
        <v>20248</v>
      </c>
      <c r="AQ3603" s="203" t="str">
        <f t="shared" si="1073"/>
        <v>20248JPY</v>
      </c>
      <c r="AR3603" s="206" t="str">
        <f t="shared" si="1074"/>
        <v>YAMAHA_Mounter</v>
      </c>
      <c r="AS3603" s="22">
        <f t="shared" si="1075"/>
        <v>2</v>
      </c>
      <c r="AT3603" s="24" t="str">
        <f t="shared" si="1076"/>
        <v>0-3 months</v>
      </c>
    </row>
    <row r="3604" spans="1:46">
      <c r="A3604" s="33" t="str">
        <f t="shared" si="1066"/>
        <v>FY 24/25</v>
      </c>
      <c r="B3604" s="23">
        <v>2024</v>
      </c>
      <c r="C3604" s="152">
        <v>6</v>
      </c>
      <c r="D3604" s="202" t="str">
        <f t="shared" si="1084"/>
        <v>Q1</v>
      </c>
      <c r="E3604" s="33" t="s">
        <v>3173</v>
      </c>
      <c r="F3604" s="152">
        <v>2024</v>
      </c>
      <c r="G3604" s="23">
        <v>8</v>
      </c>
      <c r="H3604" s="29"/>
      <c r="I3604" s="204" t="str">
        <f t="shared" si="1067"/>
        <v>Q2</v>
      </c>
      <c r="J3604" s="188" t="s">
        <v>3471</v>
      </c>
      <c r="K3604" s="29" t="s">
        <v>821</v>
      </c>
      <c r="L3604" s="17" t="s">
        <v>93</v>
      </c>
      <c r="M3604" s="22" t="s">
        <v>61</v>
      </c>
      <c r="N3604" s="22">
        <v>1</v>
      </c>
      <c r="O3604" s="22"/>
      <c r="P3604" s="33" t="str">
        <f t="shared" si="1085"/>
        <v>MAIN UNIT</v>
      </c>
      <c r="Q3604" s="22" t="s">
        <v>62</v>
      </c>
      <c r="R3604" s="22" t="s">
        <v>63</v>
      </c>
      <c r="S3604" s="22" t="s">
        <v>50</v>
      </c>
      <c r="T3604" s="22" t="s">
        <v>79</v>
      </c>
      <c r="U3604" s="22" t="s">
        <v>79</v>
      </c>
      <c r="V3604" s="22" t="s">
        <v>113</v>
      </c>
      <c r="W3604" s="22" t="s">
        <v>110</v>
      </c>
      <c r="X3604" s="104">
        <v>11900000</v>
      </c>
      <c r="Y3604" s="195" t="str">
        <f t="shared" ref="Y3604:Y3635" si="1088">IF(W3604="","",IF(W3604="RMB","1.13", "1"))</f>
        <v>1</v>
      </c>
      <c r="Z3604" s="196">
        <f t="shared" si="1086"/>
        <v>11900000</v>
      </c>
      <c r="AA3604" s="22">
        <v>5.2299999999999999E-2</v>
      </c>
      <c r="AB3604" s="197">
        <f t="shared" si="1087"/>
        <v>622370</v>
      </c>
      <c r="AC3604" s="198">
        <f t="shared" si="1069"/>
        <v>77485.065000000002</v>
      </c>
      <c r="AD3604" s="170">
        <v>0.1245</v>
      </c>
      <c r="AE3604" s="199">
        <f t="shared" si="1070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82"/>
        <v>25354039.366920356</v>
      </c>
      <c r="AJ3604" s="200">
        <f t="shared" si="1083"/>
        <v>3027878.5311884549</v>
      </c>
      <c r="AK3604" s="201">
        <f t="shared" si="1071"/>
        <v>0.11942391061910851</v>
      </c>
      <c r="AL3604" s="24"/>
      <c r="AM3604" s="24"/>
      <c r="AN3604" s="24"/>
      <c r="AO3604" s="24"/>
      <c r="AP3604" s="165" t="str">
        <f t="shared" si="1072"/>
        <v>20248</v>
      </c>
      <c r="AQ3604" s="203" t="str">
        <f t="shared" si="1073"/>
        <v>20248JPY</v>
      </c>
      <c r="AR3604" s="206" t="str">
        <f t="shared" si="1074"/>
        <v>YAMAHA_Mounter</v>
      </c>
      <c r="AS3604" s="22">
        <f t="shared" si="1075"/>
        <v>2</v>
      </c>
      <c r="AT3604" s="24" t="str">
        <f t="shared" si="1076"/>
        <v>0-3 months</v>
      </c>
    </row>
    <row r="3605" spans="1:46">
      <c r="A3605" s="33" t="str">
        <f t="shared" si="1066"/>
        <v>FY 24/25</v>
      </c>
      <c r="B3605" s="23">
        <v>2024</v>
      </c>
      <c r="C3605" s="152">
        <v>5</v>
      </c>
      <c r="D3605" s="202" t="str">
        <f t="shared" si="1084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7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85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88"/>
        <v>1</v>
      </c>
      <c r="Z3605" s="196">
        <f t="shared" si="1086"/>
        <v>13235000</v>
      </c>
      <c r="AA3605" s="22">
        <v>5.5599999999999997E-2</v>
      </c>
      <c r="AB3605" s="197">
        <f t="shared" si="1087"/>
        <v>735866</v>
      </c>
      <c r="AC3605" s="198">
        <f t="shared" si="1069"/>
        <v>88303.92</v>
      </c>
      <c r="AD3605" s="169">
        <v>0.12</v>
      </c>
      <c r="AE3605" s="199">
        <f t="shared" si="1070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82"/>
        <v>24129972.828771491</v>
      </c>
      <c r="AJ3605" s="200">
        <f t="shared" si="1083"/>
        <v>2880955.0890193055</v>
      </c>
      <c r="AK3605" s="201">
        <f t="shared" si="1071"/>
        <v>0.11939321728469518</v>
      </c>
      <c r="AL3605" s="24"/>
      <c r="AM3605" s="24"/>
      <c r="AN3605" s="24"/>
      <c r="AO3605" s="24"/>
      <c r="AP3605" s="165" t="str">
        <f t="shared" si="1072"/>
        <v>202411</v>
      </c>
      <c r="AQ3605" s="203" t="str">
        <f t="shared" si="1073"/>
        <v>202411JPY</v>
      </c>
      <c r="AR3605" s="206" t="str">
        <f t="shared" si="1074"/>
        <v>YAMAHA_Mounter</v>
      </c>
      <c r="AS3605" s="22">
        <f t="shared" si="1075"/>
        <v>6</v>
      </c>
      <c r="AT3605" s="24" t="str">
        <f t="shared" si="1076"/>
        <v>4-6 months</v>
      </c>
    </row>
    <row r="3606" spans="1:46">
      <c r="A3606" s="33" t="str">
        <f t="shared" si="1066"/>
        <v>FY 24/25</v>
      </c>
      <c r="B3606" s="23">
        <v>2024</v>
      </c>
      <c r="C3606" s="152">
        <v>5</v>
      </c>
      <c r="D3606" s="202" t="str">
        <f t="shared" si="1084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7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si="1085"/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88"/>
        <v>1</v>
      </c>
      <c r="Z3606" s="196">
        <f t="shared" si="1086"/>
        <v>13750000</v>
      </c>
      <c r="AA3606" s="22">
        <v>5.5599999999999997E-2</v>
      </c>
      <c r="AB3606" s="197">
        <f t="shared" si="1087"/>
        <v>764500</v>
      </c>
      <c r="AC3606" s="198">
        <f t="shared" si="1069"/>
        <v>91740</v>
      </c>
      <c r="AD3606" s="169">
        <v>0.12</v>
      </c>
      <c r="AE3606" s="199">
        <f t="shared" si="1070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82"/>
        <v>24129972.828771491</v>
      </c>
      <c r="AJ3606" s="200">
        <f t="shared" si="1083"/>
        <v>2880955.0890193055</v>
      </c>
      <c r="AK3606" s="201">
        <f t="shared" si="1071"/>
        <v>0.11939321728469518</v>
      </c>
      <c r="AL3606" s="24"/>
      <c r="AM3606" s="24"/>
      <c r="AN3606" s="24"/>
      <c r="AO3606" s="24"/>
      <c r="AP3606" s="165" t="str">
        <f t="shared" si="1072"/>
        <v>202411</v>
      </c>
      <c r="AQ3606" s="203" t="str">
        <f t="shared" si="1073"/>
        <v>202411JPY</v>
      </c>
      <c r="AR3606" s="206" t="str">
        <f t="shared" si="1074"/>
        <v>YAMAHA_Mounter</v>
      </c>
      <c r="AS3606" s="22">
        <f t="shared" si="1075"/>
        <v>6</v>
      </c>
      <c r="AT3606" s="24" t="str">
        <f t="shared" si="1076"/>
        <v>4-6 months</v>
      </c>
    </row>
    <row r="3607" spans="1:46">
      <c r="A3607" s="33" t="str">
        <f t="shared" si="1066"/>
        <v>FY 24/25</v>
      </c>
      <c r="B3607" s="23">
        <v>2024</v>
      </c>
      <c r="C3607" s="152">
        <v>5</v>
      </c>
      <c r="D3607" s="202" t="str">
        <f t="shared" si="1084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7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85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88"/>
        <v>1</v>
      </c>
      <c r="Z3607" s="196">
        <f t="shared" si="1086"/>
        <v>13750000</v>
      </c>
      <c r="AA3607" s="22">
        <v>5.5599999999999997E-2</v>
      </c>
      <c r="AB3607" s="197">
        <f t="shared" si="1087"/>
        <v>764500</v>
      </c>
      <c r="AC3607" s="198">
        <f t="shared" si="1069"/>
        <v>91740</v>
      </c>
      <c r="AD3607" s="169">
        <v>0.12</v>
      </c>
      <c r="AE3607" s="199">
        <f t="shared" si="1070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82"/>
        <v>24129972.828771491</v>
      </c>
      <c r="AJ3607" s="200">
        <f t="shared" si="1083"/>
        <v>2880955.0890193055</v>
      </c>
      <c r="AK3607" s="201">
        <f t="shared" si="1071"/>
        <v>0.11939321728469518</v>
      </c>
      <c r="AL3607" s="24"/>
      <c r="AM3607" s="24"/>
      <c r="AN3607" s="24"/>
      <c r="AO3607" s="24"/>
      <c r="AP3607" s="165" t="str">
        <f t="shared" si="1072"/>
        <v>202411</v>
      </c>
      <c r="AQ3607" s="203" t="str">
        <f t="shared" si="1073"/>
        <v>202411JPY</v>
      </c>
      <c r="AR3607" s="206" t="str">
        <f t="shared" si="1074"/>
        <v>YAMAHA_Mounter</v>
      </c>
      <c r="AS3607" s="22">
        <f t="shared" si="1075"/>
        <v>6</v>
      </c>
      <c r="AT3607" s="24" t="str">
        <f t="shared" si="1076"/>
        <v>4-6 months</v>
      </c>
    </row>
    <row r="3608" spans="1:46">
      <c r="A3608" s="33" t="str">
        <f t="shared" si="1066"/>
        <v>FY 24/25</v>
      </c>
      <c r="B3608" s="23">
        <v>2024</v>
      </c>
      <c r="C3608" s="23">
        <v>6</v>
      </c>
      <c r="D3608" s="33" t="str">
        <f t="shared" si="1084"/>
        <v>Q1</v>
      </c>
      <c r="E3608" s="33" t="str">
        <f t="shared" ref="E3608:E3639" si="1089">IF(G3608="Cancel","Cancel",IF(G3608="TBA","TBA",IFERROR(IF(I3608="Q4","FY "&amp;RIGHT(F3608,2)-1&amp;"/"&amp;RIGHT(F3608,2),"FY "&amp;RIGHT(F3608,2)&amp;"/"&amp;RIGHT(F3608,2)+1),"")))</f>
        <v>FY 24/25</v>
      </c>
      <c r="F3608" s="23">
        <v>2024</v>
      </c>
      <c r="G3608" s="23">
        <v>9</v>
      </c>
      <c r="H3608" s="29"/>
      <c r="I3608" s="204" t="str">
        <f t="shared" si="1067"/>
        <v>Q2</v>
      </c>
      <c r="J3608" s="188" t="s">
        <v>3478</v>
      </c>
      <c r="K3608" s="29" t="s">
        <v>3479</v>
      </c>
      <c r="L3608" s="17" t="s">
        <v>93</v>
      </c>
      <c r="M3608" s="13" t="s">
        <v>61</v>
      </c>
      <c r="N3608" s="13">
        <v>1</v>
      </c>
      <c r="O3608" s="22"/>
      <c r="P3608" s="33" t="str">
        <f t="shared" si="1085"/>
        <v>MAIN UNIT</v>
      </c>
      <c r="Q3608" s="22" t="s">
        <v>62</v>
      </c>
      <c r="R3608" s="22" t="s">
        <v>63</v>
      </c>
      <c r="S3608" s="22" t="s">
        <v>50</v>
      </c>
      <c r="T3608" s="22" t="s">
        <v>79</v>
      </c>
      <c r="U3608" s="22" t="s">
        <v>79</v>
      </c>
      <c r="V3608" s="22" t="s">
        <v>132</v>
      </c>
      <c r="W3608" s="22" t="s">
        <v>110</v>
      </c>
      <c r="X3608" s="104">
        <v>16164500</v>
      </c>
      <c r="Y3608" s="195" t="str">
        <f t="shared" si="1088"/>
        <v>1</v>
      </c>
      <c r="Z3608" s="196">
        <f t="shared" si="1086"/>
        <v>16164500</v>
      </c>
      <c r="AA3608" s="22">
        <v>5.5100000000000003E-2</v>
      </c>
      <c r="AB3608" s="197">
        <f t="shared" si="1087"/>
        <v>890663.95000000007</v>
      </c>
      <c r="AC3608" s="198">
        <f t="shared" si="1069"/>
        <v>106256.20923500002</v>
      </c>
      <c r="AD3608" s="170">
        <v>0.1193</v>
      </c>
      <c r="AE3608" s="199">
        <f t="shared" si="1070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82"/>
        <v>35931087.732566379</v>
      </c>
      <c r="AJ3608" s="200">
        <f t="shared" si="1083"/>
        <v>4346699.6584161064</v>
      </c>
      <c r="AK3608" s="201">
        <f t="shared" si="1071"/>
        <v>0.12097322771769156</v>
      </c>
      <c r="AL3608" s="24"/>
      <c r="AM3608" s="24"/>
      <c r="AN3608" s="24"/>
      <c r="AO3608" s="24"/>
      <c r="AP3608" s="165" t="str">
        <f t="shared" si="1072"/>
        <v>20249</v>
      </c>
      <c r="AQ3608" s="203" t="str">
        <f t="shared" si="1073"/>
        <v>20249JPY</v>
      </c>
      <c r="AR3608" s="206" t="str">
        <f t="shared" si="1074"/>
        <v>YAMAHA_Mounter</v>
      </c>
      <c r="AS3608" s="22">
        <f t="shared" si="1075"/>
        <v>3</v>
      </c>
      <c r="AT3608" s="24" t="str">
        <f t="shared" si="1076"/>
        <v>0-3 months</v>
      </c>
    </row>
    <row r="3609" spans="1:46">
      <c r="A3609" s="33" t="str">
        <f t="shared" si="1066"/>
        <v>FY 24/25</v>
      </c>
      <c r="B3609" s="23">
        <v>2024</v>
      </c>
      <c r="C3609" s="23">
        <v>6</v>
      </c>
      <c r="D3609" s="33" t="str">
        <f t="shared" si="1084"/>
        <v>Q1</v>
      </c>
      <c r="E3609" s="33" t="str">
        <f t="shared" si="1089"/>
        <v>FY 24/25</v>
      </c>
      <c r="F3609" s="23">
        <v>2024</v>
      </c>
      <c r="G3609" s="23">
        <v>9</v>
      </c>
      <c r="H3609" s="29"/>
      <c r="I3609" s="204" t="str">
        <f t="shared" si="1067"/>
        <v>Q2</v>
      </c>
      <c r="J3609" s="188" t="s">
        <v>3478</v>
      </c>
      <c r="K3609" s="29" t="s">
        <v>3479</v>
      </c>
      <c r="L3609" s="17" t="s">
        <v>93</v>
      </c>
      <c r="M3609" s="13" t="s">
        <v>61</v>
      </c>
      <c r="N3609" s="13">
        <v>1</v>
      </c>
      <c r="O3609" s="22"/>
      <c r="P3609" s="33" t="str">
        <f t="shared" si="1085"/>
        <v>MAIN UNIT</v>
      </c>
      <c r="Q3609" s="22" t="s">
        <v>62</v>
      </c>
      <c r="R3609" s="22" t="s">
        <v>63</v>
      </c>
      <c r="S3609" s="22" t="s">
        <v>50</v>
      </c>
      <c r="T3609" s="22" t="s">
        <v>79</v>
      </c>
      <c r="U3609" s="22" t="s">
        <v>79</v>
      </c>
      <c r="V3609" s="22" t="s">
        <v>132</v>
      </c>
      <c r="W3609" s="22" t="s">
        <v>110</v>
      </c>
      <c r="X3609" s="104">
        <v>16164500</v>
      </c>
      <c r="Y3609" s="195" t="str">
        <f t="shared" si="1088"/>
        <v>1</v>
      </c>
      <c r="Z3609" s="196">
        <f t="shared" si="1086"/>
        <v>16164500</v>
      </c>
      <c r="AA3609" s="22">
        <v>5.5100000000000003E-2</v>
      </c>
      <c r="AB3609" s="197">
        <f t="shared" si="1087"/>
        <v>890663.95000000007</v>
      </c>
      <c r="AC3609" s="198">
        <f t="shared" si="1069"/>
        <v>106256.20923500002</v>
      </c>
      <c r="AD3609" s="170">
        <v>0.1193</v>
      </c>
      <c r="AE3609" s="199">
        <f t="shared" si="1070"/>
        <v>0</v>
      </c>
      <c r="AF3609" s="199" t="str">
        <f>IF(AND(COUNTIFS($J$18:J3609,J3609)=1,AE3609=1),1,"")</f>
        <v/>
      </c>
      <c r="AG3609" s="199" t="str">
        <f>IF(C3609="","",IF(AND(COUNTIFS($J$18:J3609,J3609)=1,C3609&lt;&gt;""),1,""))</f>
        <v/>
      </c>
      <c r="AH3609" s="199" t="str">
        <f>IF(G3609="","",IF(AND(COUNTIFS($J$18:J3609,J3609)=1,G3609&lt;&gt;""),1,""))</f>
        <v/>
      </c>
      <c r="AI3609" s="200">
        <f t="shared" si="1082"/>
        <v>35931087.732566379</v>
      </c>
      <c r="AJ3609" s="200">
        <f t="shared" si="1083"/>
        <v>4346699.6584161064</v>
      </c>
      <c r="AK3609" s="201">
        <f t="shared" si="1071"/>
        <v>0.12097322771769156</v>
      </c>
      <c r="AL3609" s="24"/>
      <c r="AM3609" s="24"/>
      <c r="AN3609" s="24"/>
      <c r="AO3609" s="24"/>
      <c r="AP3609" s="165" t="str">
        <f t="shared" si="1072"/>
        <v>20249</v>
      </c>
      <c r="AQ3609" s="203" t="str">
        <f t="shared" si="1073"/>
        <v>20249JPY</v>
      </c>
      <c r="AR3609" s="206" t="str">
        <f t="shared" si="1074"/>
        <v>YAMAHA_Mounter</v>
      </c>
      <c r="AS3609" s="22">
        <f t="shared" si="1075"/>
        <v>3</v>
      </c>
      <c r="AT3609" s="24" t="str">
        <f t="shared" si="1076"/>
        <v>0-3 months</v>
      </c>
    </row>
    <row r="3610" spans="1:46">
      <c r="A3610" s="33" t="str">
        <f t="shared" si="1066"/>
        <v>FY 24/25</v>
      </c>
      <c r="B3610" s="23">
        <v>2024</v>
      </c>
      <c r="C3610" s="23">
        <v>6</v>
      </c>
      <c r="D3610" s="33" t="str">
        <f t="shared" si="1084"/>
        <v>Q1</v>
      </c>
      <c r="E3610" s="33" t="str">
        <f t="shared" si="1089"/>
        <v>FY 24/25</v>
      </c>
      <c r="F3610" s="23">
        <v>2024</v>
      </c>
      <c r="G3610" s="23">
        <v>9</v>
      </c>
      <c r="H3610" s="29"/>
      <c r="I3610" s="204" t="str">
        <f t="shared" si="1067"/>
        <v>Q2</v>
      </c>
      <c r="J3610" s="188" t="s">
        <v>3478</v>
      </c>
      <c r="K3610" s="29" t="s">
        <v>3479</v>
      </c>
      <c r="L3610" s="17" t="s">
        <v>93</v>
      </c>
      <c r="M3610" s="13" t="s">
        <v>61</v>
      </c>
      <c r="N3610" s="13">
        <v>1</v>
      </c>
      <c r="O3610" s="22"/>
      <c r="P3610" s="33" t="str">
        <f t="shared" si="1085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132</v>
      </c>
      <c r="W3610" s="22" t="s">
        <v>110</v>
      </c>
      <c r="X3610" s="104">
        <v>16164500</v>
      </c>
      <c r="Y3610" s="195" t="str">
        <f t="shared" si="1088"/>
        <v>1</v>
      </c>
      <c r="Z3610" s="196">
        <f t="shared" si="1086"/>
        <v>16164500</v>
      </c>
      <c r="AA3610" s="22">
        <v>5.5100000000000003E-2</v>
      </c>
      <c r="AB3610" s="197">
        <f t="shared" si="1087"/>
        <v>890663.95000000007</v>
      </c>
      <c r="AC3610" s="198">
        <f t="shared" si="1069"/>
        <v>106256.20923500002</v>
      </c>
      <c r="AD3610" s="170">
        <v>0.1193</v>
      </c>
      <c r="AE3610" s="199">
        <f t="shared" si="1070"/>
        <v>0</v>
      </c>
      <c r="AF3610" s="199" t="str">
        <f>IF(AND(COUNTIFS($J$18:J3610,J3610)=1,AE3610=1),1,"")</f>
        <v/>
      </c>
      <c r="AG3610" s="199" t="str">
        <f>IF(C3610="","",IF(AND(COUNTIFS($J$18:J3610,J3610)=1,C3610&lt;&gt;""),1,""))</f>
        <v/>
      </c>
      <c r="AH3610" s="199" t="str">
        <f>IF(G3610="","",IF(AND(COUNTIFS($J$18:J3610,J3610)=1,G3610&lt;&gt;""),1,""))</f>
        <v/>
      </c>
      <c r="AI3610" s="200">
        <f t="shared" si="1082"/>
        <v>35931087.732566379</v>
      </c>
      <c r="AJ3610" s="200">
        <f t="shared" si="1083"/>
        <v>4346699.6584161064</v>
      </c>
      <c r="AK3610" s="201">
        <f t="shared" si="1071"/>
        <v>0.12097322771769156</v>
      </c>
      <c r="AL3610" s="24"/>
      <c r="AM3610" s="24"/>
      <c r="AN3610" s="24"/>
      <c r="AO3610" s="24"/>
      <c r="AP3610" s="165" t="str">
        <f t="shared" si="1072"/>
        <v>20249</v>
      </c>
      <c r="AQ3610" s="203" t="str">
        <f t="shared" si="1073"/>
        <v>20249JPY</v>
      </c>
      <c r="AR3610" s="206" t="str">
        <f t="shared" si="1074"/>
        <v>YAMAHA_Mounter</v>
      </c>
      <c r="AS3610" s="22">
        <f t="shared" si="1075"/>
        <v>3</v>
      </c>
      <c r="AT3610" s="24" t="str">
        <f t="shared" si="1076"/>
        <v>0-3 months</v>
      </c>
    </row>
    <row r="3611" spans="1:46">
      <c r="A3611" s="33" t="str">
        <f t="shared" si="1066"/>
        <v>FY 24/25</v>
      </c>
      <c r="B3611" s="23">
        <v>2024</v>
      </c>
      <c r="C3611" s="23">
        <v>6</v>
      </c>
      <c r="D3611" s="33" t="str">
        <f t="shared" si="1084"/>
        <v>Q1</v>
      </c>
      <c r="E3611" s="33" t="str">
        <f t="shared" si="1089"/>
        <v>FY 24/25</v>
      </c>
      <c r="F3611" s="23">
        <v>2024</v>
      </c>
      <c r="G3611" s="23">
        <v>9</v>
      </c>
      <c r="H3611" s="29"/>
      <c r="I3611" s="204" t="str">
        <f t="shared" si="1067"/>
        <v>Q2</v>
      </c>
      <c r="J3611" s="188" t="s">
        <v>3478</v>
      </c>
      <c r="K3611" s="29" t="s">
        <v>3479</v>
      </c>
      <c r="L3611" s="17" t="s">
        <v>93</v>
      </c>
      <c r="M3611" s="13" t="s">
        <v>61</v>
      </c>
      <c r="N3611" s="13">
        <v>1</v>
      </c>
      <c r="O3611" s="22"/>
      <c r="P3611" s="33" t="str">
        <f t="shared" si="1085"/>
        <v>MAIN UNIT</v>
      </c>
      <c r="Q3611" s="22" t="s">
        <v>62</v>
      </c>
      <c r="R3611" s="22" t="s">
        <v>63</v>
      </c>
      <c r="S3611" s="22" t="s">
        <v>50</v>
      </c>
      <c r="T3611" s="22" t="s">
        <v>79</v>
      </c>
      <c r="U3611" s="22" t="s">
        <v>79</v>
      </c>
      <c r="V3611" s="22" t="s">
        <v>132</v>
      </c>
      <c r="W3611" s="22" t="s">
        <v>110</v>
      </c>
      <c r="X3611" s="104">
        <v>16164500</v>
      </c>
      <c r="Y3611" s="195" t="str">
        <f t="shared" si="1088"/>
        <v>1</v>
      </c>
      <c r="Z3611" s="196">
        <f t="shared" si="1086"/>
        <v>16164500</v>
      </c>
      <c r="AA3611" s="22">
        <v>5.5100000000000003E-2</v>
      </c>
      <c r="AB3611" s="197">
        <f t="shared" si="1087"/>
        <v>890663.95000000007</v>
      </c>
      <c r="AC3611" s="198">
        <f t="shared" si="1069"/>
        <v>106256.20923500002</v>
      </c>
      <c r="AD3611" s="170">
        <v>0.1193</v>
      </c>
      <c r="AE3611" s="199">
        <f t="shared" si="1070"/>
        <v>0</v>
      </c>
      <c r="AF3611" s="199" t="str">
        <f>IF(AND(COUNTIFS($J$18:J3611,J3611)=1,AE3611=1),1,"")</f>
        <v/>
      </c>
      <c r="AG3611" s="199" t="str">
        <f>IF(C3611="","",IF(AND(COUNTIFS($J$18:J3611,J3611)=1,C3611&lt;&gt;""),1,""))</f>
        <v/>
      </c>
      <c r="AH3611" s="199" t="str">
        <f>IF(G3611="","",IF(AND(COUNTIFS($J$18:J3611,J3611)=1,G3611&lt;&gt;""),1,""))</f>
        <v/>
      </c>
      <c r="AI3611" s="200">
        <f t="shared" si="1082"/>
        <v>35931087.732566379</v>
      </c>
      <c r="AJ3611" s="200">
        <f t="shared" si="1083"/>
        <v>4346699.6584161064</v>
      </c>
      <c r="AK3611" s="201">
        <f t="shared" si="1071"/>
        <v>0.12097322771769156</v>
      </c>
      <c r="AL3611" s="24"/>
      <c r="AM3611" s="24"/>
      <c r="AN3611" s="24"/>
      <c r="AO3611" s="24"/>
      <c r="AP3611" s="165" t="str">
        <f t="shared" si="1072"/>
        <v>20249</v>
      </c>
      <c r="AQ3611" s="203" t="str">
        <f t="shared" si="1073"/>
        <v>20249JPY</v>
      </c>
      <c r="AR3611" s="206" t="str">
        <f t="shared" si="1074"/>
        <v>YAMAHA_Mounter</v>
      </c>
      <c r="AS3611" s="22">
        <f t="shared" si="1075"/>
        <v>3</v>
      </c>
      <c r="AT3611" s="24" t="str">
        <f t="shared" si="1076"/>
        <v>0-3 months</v>
      </c>
    </row>
    <row r="3612" spans="1:46">
      <c r="A3612" s="33" t="str">
        <f t="shared" si="1066"/>
        <v>FY 24/25</v>
      </c>
      <c r="B3612" s="23">
        <v>2024</v>
      </c>
      <c r="C3612" s="23">
        <v>6</v>
      </c>
      <c r="D3612" s="33" t="str">
        <f t="shared" si="1084"/>
        <v>Q1</v>
      </c>
      <c r="E3612" s="33" t="str">
        <f t="shared" si="1089"/>
        <v>FY 24/25</v>
      </c>
      <c r="F3612" s="23">
        <v>2024</v>
      </c>
      <c r="G3612" s="23">
        <v>9</v>
      </c>
      <c r="H3612" s="29"/>
      <c r="I3612" s="204" t="str">
        <f t="shared" si="1067"/>
        <v>Q2</v>
      </c>
      <c r="J3612" s="188" t="s">
        <v>3478</v>
      </c>
      <c r="K3612" s="29" t="s">
        <v>3479</v>
      </c>
      <c r="L3612" s="17" t="s">
        <v>93</v>
      </c>
      <c r="M3612" s="13" t="s">
        <v>61</v>
      </c>
      <c r="N3612" s="13">
        <v>1</v>
      </c>
      <c r="O3612" s="22"/>
      <c r="P3612" s="33" t="str">
        <f t="shared" si="1085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132</v>
      </c>
      <c r="W3612" s="22" t="s">
        <v>110</v>
      </c>
      <c r="X3612" s="104">
        <v>16164500</v>
      </c>
      <c r="Y3612" s="195" t="str">
        <f t="shared" si="1088"/>
        <v>1</v>
      </c>
      <c r="Z3612" s="196">
        <f t="shared" si="1086"/>
        <v>16164500</v>
      </c>
      <c r="AA3612" s="22">
        <v>5.5100000000000003E-2</v>
      </c>
      <c r="AB3612" s="197">
        <f t="shared" si="1087"/>
        <v>890663.95000000007</v>
      </c>
      <c r="AC3612" s="198">
        <f t="shared" si="1069"/>
        <v>106256.20923500002</v>
      </c>
      <c r="AD3612" s="170">
        <v>0.1193</v>
      </c>
      <c r="AE3612" s="199">
        <f t="shared" si="1070"/>
        <v>0</v>
      </c>
      <c r="AF3612" s="199" t="str">
        <f>IF(AND(COUNTIFS($J$18:J3612,J3612)=1,AE3612=1),1,"")</f>
        <v/>
      </c>
      <c r="AG3612" s="199" t="str">
        <f>IF(C3612="","",IF(AND(COUNTIFS($J$18:J3612,J3612)=1,C3612&lt;&gt;""),1,""))</f>
        <v/>
      </c>
      <c r="AH3612" s="199" t="str">
        <f>IF(G3612="","",IF(AND(COUNTIFS($J$18:J3612,J3612)=1,G3612&lt;&gt;""),1,""))</f>
        <v/>
      </c>
      <c r="AI3612" s="200">
        <f t="shared" si="1082"/>
        <v>35931087.732566379</v>
      </c>
      <c r="AJ3612" s="200">
        <f t="shared" si="1083"/>
        <v>4346699.6584161064</v>
      </c>
      <c r="AK3612" s="201">
        <f t="shared" si="1071"/>
        <v>0.12097322771769156</v>
      </c>
      <c r="AL3612" s="24"/>
      <c r="AM3612" s="24"/>
      <c r="AN3612" s="24"/>
      <c r="AO3612" s="24"/>
      <c r="AP3612" s="165" t="str">
        <f t="shared" si="1072"/>
        <v>20249</v>
      </c>
      <c r="AQ3612" s="203" t="str">
        <f t="shared" si="1073"/>
        <v>20249JPY</v>
      </c>
      <c r="AR3612" s="206" t="str">
        <f t="shared" si="1074"/>
        <v>YAMAHA_Mounter</v>
      </c>
      <c r="AS3612" s="22">
        <f t="shared" si="1075"/>
        <v>3</v>
      </c>
      <c r="AT3612" s="24" t="str">
        <f t="shared" si="1076"/>
        <v>0-3 months</v>
      </c>
    </row>
    <row r="3613" spans="1:46">
      <c r="A3613" s="33" t="str">
        <f t="shared" si="1066"/>
        <v>FY 24/25</v>
      </c>
      <c r="B3613" s="23">
        <v>2024</v>
      </c>
      <c r="C3613" s="23">
        <v>6</v>
      </c>
      <c r="D3613" s="33" t="str">
        <f t="shared" si="1084"/>
        <v>Q1</v>
      </c>
      <c r="E3613" s="33" t="str">
        <f t="shared" si="1089"/>
        <v>FY 24/25</v>
      </c>
      <c r="F3613" s="23">
        <v>2024</v>
      </c>
      <c r="G3613" s="23">
        <v>9</v>
      </c>
      <c r="H3613" s="29"/>
      <c r="I3613" s="204" t="str">
        <f t="shared" si="1067"/>
        <v>Q2</v>
      </c>
      <c r="J3613" s="188" t="s">
        <v>3478</v>
      </c>
      <c r="K3613" s="29" t="s">
        <v>3479</v>
      </c>
      <c r="L3613" s="17" t="s">
        <v>93</v>
      </c>
      <c r="M3613" s="13" t="s">
        <v>61</v>
      </c>
      <c r="N3613" s="13">
        <v>1</v>
      </c>
      <c r="O3613" s="22"/>
      <c r="P3613" s="33" t="str">
        <f t="shared" si="1085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132</v>
      </c>
      <c r="W3613" s="22" t="s">
        <v>110</v>
      </c>
      <c r="X3613" s="104">
        <v>16164500</v>
      </c>
      <c r="Y3613" s="195" t="str">
        <f t="shared" si="1088"/>
        <v>1</v>
      </c>
      <c r="Z3613" s="196">
        <f t="shared" si="1086"/>
        <v>16164500</v>
      </c>
      <c r="AA3613" s="22">
        <v>5.5100000000000003E-2</v>
      </c>
      <c r="AB3613" s="197">
        <f t="shared" si="1087"/>
        <v>890663.95000000007</v>
      </c>
      <c r="AC3613" s="198">
        <f t="shared" si="1069"/>
        <v>106256.20923500002</v>
      </c>
      <c r="AD3613" s="170">
        <v>0.1193</v>
      </c>
      <c r="AE3613" s="199">
        <f t="shared" si="1070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82"/>
        <v>35931087.732566379</v>
      </c>
      <c r="AJ3613" s="200">
        <f t="shared" si="1083"/>
        <v>4346699.6584161064</v>
      </c>
      <c r="AK3613" s="201">
        <f t="shared" si="1071"/>
        <v>0.12097322771769156</v>
      </c>
      <c r="AL3613" s="24"/>
      <c r="AM3613" s="24"/>
      <c r="AN3613" s="24"/>
      <c r="AO3613" s="24"/>
      <c r="AP3613" s="165" t="str">
        <f t="shared" si="1072"/>
        <v>20249</v>
      </c>
      <c r="AQ3613" s="203" t="str">
        <f t="shared" si="1073"/>
        <v>20249JPY</v>
      </c>
      <c r="AR3613" s="206" t="str">
        <f t="shared" si="1074"/>
        <v>YAMAHA_Mounter</v>
      </c>
      <c r="AS3613" s="22">
        <f t="shared" si="1075"/>
        <v>3</v>
      </c>
      <c r="AT3613" s="24" t="str">
        <f t="shared" si="1076"/>
        <v>0-3 months</v>
      </c>
    </row>
    <row r="3614" spans="1:46">
      <c r="A3614" s="33" t="str">
        <f t="shared" si="1066"/>
        <v>FY 24/25</v>
      </c>
      <c r="B3614" s="23">
        <v>2024</v>
      </c>
      <c r="C3614" s="23">
        <v>6</v>
      </c>
      <c r="D3614" s="33" t="str">
        <f t="shared" si="1084"/>
        <v>Q1</v>
      </c>
      <c r="E3614" s="33" t="str">
        <f t="shared" si="1089"/>
        <v>FY 24/25</v>
      </c>
      <c r="F3614" s="23">
        <v>2024</v>
      </c>
      <c r="G3614" s="23">
        <v>8</v>
      </c>
      <c r="H3614" s="29"/>
      <c r="I3614" s="204" t="str">
        <f t="shared" si="1067"/>
        <v>Q2</v>
      </c>
      <c r="J3614" s="188" t="s">
        <v>3480</v>
      </c>
      <c r="K3614" s="29" t="s">
        <v>2562</v>
      </c>
      <c r="L3614" s="17" t="s">
        <v>93</v>
      </c>
      <c r="M3614" s="13" t="s">
        <v>61</v>
      </c>
      <c r="N3614" s="13">
        <v>1</v>
      </c>
      <c r="O3614" s="22"/>
      <c r="P3614" s="33" t="str">
        <f t="shared" si="1085"/>
        <v>MAIN UNIT</v>
      </c>
      <c r="Q3614" s="22" t="s">
        <v>62</v>
      </c>
      <c r="R3614" s="22" t="s">
        <v>63</v>
      </c>
      <c r="S3614" s="22" t="s">
        <v>51</v>
      </c>
      <c r="T3614" s="22" t="s">
        <v>326</v>
      </c>
      <c r="U3614" s="22" t="s">
        <v>71</v>
      </c>
      <c r="V3614" s="22" t="s">
        <v>1011</v>
      </c>
      <c r="W3614" s="22" t="s">
        <v>65</v>
      </c>
      <c r="X3614" s="104">
        <v>735998</v>
      </c>
      <c r="Y3614" s="195" t="str">
        <f t="shared" si="1088"/>
        <v>1.13</v>
      </c>
      <c r="Z3614" s="196">
        <f t="shared" si="1086"/>
        <v>735998</v>
      </c>
      <c r="AA3614" s="22">
        <v>1.08</v>
      </c>
      <c r="AB3614" s="197">
        <f t="shared" si="1087"/>
        <v>703431.71681415942</v>
      </c>
      <c r="AC3614" s="198">
        <f t="shared" si="1069"/>
        <v>100309.36281769913</v>
      </c>
      <c r="AD3614" s="170">
        <v>0.1426</v>
      </c>
      <c r="AE3614" s="199">
        <f t="shared" si="1070"/>
        <v>0</v>
      </c>
      <c r="AF3614" s="199" t="str">
        <f>IF(AND(COUNTIFS($J$18:J3614,J3614)=1,AE3614=1),1,"")</f>
        <v/>
      </c>
      <c r="AG3614" s="199">
        <f>IF(C3614="","",IF(AND(COUNTIFS($J$18:J3614,J3614)=1,C3614&lt;&gt;""),1,""))</f>
        <v>1</v>
      </c>
      <c r="AH3614" s="199">
        <f>IF(G3614="","",IF(AND(COUNTIFS($J$18:J3614,J3614)=1,G3614&lt;&gt;""),1,""))</f>
        <v>1</v>
      </c>
      <c r="AI3614" s="200">
        <f t="shared" si="1082"/>
        <v>25354039.366920356</v>
      </c>
      <c r="AJ3614" s="200">
        <f t="shared" si="1083"/>
        <v>3027878.5311884549</v>
      </c>
      <c r="AK3614" s="201">
        <f t="shared" si="1071"/>
        <v>0.11942391061910851</v>
      </c>
      <c r="AL3614" s="24"/>
      <c r="AM3614" s="24"/>
      <c r="AN3614" s="24"/>
      <c r="AO3614" s="24"/>
      <c r="AP3614" s="165" t="str">
        <f t="shared" si="1072"/>
        <v>20248</v>
      </c>
      <c r="AQ3614" s="203" t="str">
        <f t="shared" si="1073"/>
        <v>20248RMB</v>
      </c>
      <c r="AR3614" s="206" t="str">
        <f t="shared" si="1074"/>
        <v>YAMAHA_Mounter</v>
      </c>
      <c r="AS3614" s="22">
        <f t="shared" si="1075"/>
        <v>2</v>
      </c>
      <c r="AT3614" s="24" t="str">
        <f t="shared" si="1076"/>
        <v>0-3 months</v>
      </c>
    </row>
    <row r="3615" spans="1:46">
      <c r="A3615" s="33" t="str">
        <f t="shared" si="1066"/>
        <v>FY 24/25</v>
      </c>
      <c r="B3615" s="23">
        <v>2024</v>
      </c>
      <c r="C3615" s="23">
        <v>6</v>
      </c>
      <c r="D3615" s="33" t="str">
        <f t="shared" si="1084"/>
        <v>Q1</v>
      </c>
      <c r="E3615" s="33" t="str">
        <f t="shared" si="1089"/>
        <v>FY 24/25</v>
      </c>
      <c r="F3615" s="23">
        <v>2024</v>
      </c>
      <c r="G3615" s="23">
        <v>7</v>
      </c>
      <c r="H3615" s="29"/>
      <c r="I3615" s="204" t="str">
        <f t="shared" si="1067"/>
        <v>Q2</v>
      </c>
      <c r="J3615" s="188" t="s">
        <v>3484</v>
      </c>
      <c r="K3615" s="29" t="s">
        <v>3485</v>
      </c>
      <c r="L3615" s="17" t="s">
        <v>2061</v>
      </c>
      <c r="M3615" s="13" t="s">
        <v>2055</v>
      </c>
      <c r="N3615" s="13">
        <v>1</v>
      </c>
      <c r="O3615" s="22"/>
      <c r="P3615" s="33" t="str">
        <f t="shared" si="1085"/>
        <v>MAIN UNIT</v>
      </c>
      <c r="Q3615" s="22" t="s">
        <v>69</v>
      </c>
      <c r="R3615" s="22" t="s">
        <v>2056</v>
      </c>
      <c r="S3615" s="22" t="s">
        <v>52</v>
      </c>
      <c r="T3615" s="22" t="s">
        <v>350</v>
      </c>
      <c r="U3615" s="22" t="s">
        <v>150</v>
      </c>
      <c r="V3615" s="22" t="s">
        <v>2999</v>
      </c>
      <c r="W3615" s="22" t="s">
        <v>65</v>
      </c>
      <c r="X3615" s="104">
        <v>39697</v>
      </c>
      <c r="Y3615" s="195" t="str">
        <f t="shared" si="1088"/>
        <v>1.13</v>
      </c>
      <c r="Z3615" s="196">
        <f t="shared" si="1086"/>
        <v>39697</v>
      </c>
      <c r="AA3615" s="22">
        <v>1.075</v>
      </c>
      <c r="AB3615" s="197">
        <f t="shared" si="1087"/>
        <v>37764.845132743365</v>
      </c>
      <c r="AC3615" s="198">
        <f t="shared" si="1069"/>
        <v>4531.7814159292038</v>
      </c>
      <c r="AD3615" s="169">
        <v>0.12</v>
      </c>
      <c r="AE3615" s="199">
        <f t="shared" si="1070"/>
        <v>1</v>
      </c>
      <c r="AF3615" s="199">
        <f>IF(AND(COUNTIFS($J$18:J3615,J3615)=1,AE3615=1),1,"")</f>
        <v>1</v>
      </c>
      <c r="AG3615" s="199">
        <f>IF(C3615="","",IF(AND(COUNTIFS($J$18:J3615,J3615)=1,C3615&lt;&gt;""),1,""))</f>
        <v>1</v>
      </c>
      <c r="AH3615" s="199">
        <f>IF(G3615="","",IF(AND(COUNTIFS($J$18:J3615,J3615)=1,G3615&lt;&gt;""),1,""))</f>
        <v>1</v>
      </c>
      <c r="AI3615" s="200">
        <f t="shared" si="1082"/>
        <v>25458266.694690265</v>
      </c>
      <c r="AJ3615" s="200">
        <f t="shared" si="1083"/>
        <v>4116526.778578762</v>
      </c>
      <c r="AK3615" s="201">
        <f t="shared" si="1071"/>
        <v>0.16169705612508689</v>
      </c>
      <c r="AL3615" s="24"/>
      <c r="AM3615" s="24"/>
      <c r="AN3615" s="24"/>
      <c r="AO3615" s="24"/>
      <c r="AP3615" s="165" t="str">
        <f t="shared" si="1072"/>
        <v>20247</v>
      </c>
      <c r="AQ3615" s="203" t="str">
        <f t="shared" si="1073"/>
        <v>20247RMB</v>
      </c>
      <c r="AR3615" s="206" t="str">
        <f t="shared" si="1074"/>
        <v>SOLDERSTAR</v>
      </c>
      <c r="AS3615" s="22">
        <f t="shared" si="1075"/>
        <v>1</v>
      </c>
      <c r="AT3615" s="24" t="str">
        <f t="shared" si="1076"/>
        <v>0-3 months</v>
      </c>
    </row>
    <row r="3616" spans="1:46">
      <c r="A3616" s="33" t="str">
        <f t="shared" si="1066"/>
        <v>FY 24/25</v>
      </c>
      <c r="B3616" s="23">
        <v>2024</v>
      </c>
      <c r="C3616" s="23">
        <v>6</v>
      </c>
      <c r="D3616" s="33" t="str">
        <f t="shared" si="1084"/>
        <v>Q1</v>
      </c>
      <c r="E3616" s="33" t="str">
        <f t="shared" si="1089"/>
        <v>FY 24/25</v>
      </c>
      <c r="F3616" s="23">
        <v>2024</v>
      </c>
      <c r="G3616" s="23">
        <v>9</v>
      </c>
      <c r="H3616" s="29"/>
      <c r="I3616" s="204" t="str">
        <f t="shared" si="1067"/>
        <v>Q2</v>
      </c>
      <c r="J3616" s="188" t="s">
        <v>3486</v>
      </c>
      <c r="K3616" s="29" t="s">
        <v>3487</v>
      </c>
      <c r="L3616" s="17" t="s">
        <v>68</v>
      </c>
      <c r="M3616" s="13" t="s">
        <v>61</v>
      </c>
      <c r="N3616" s="13">
        <v>1</v>
      </c>
      <c r="O3616" s="22"/>
      <c r="P3616" s="202"/>
      <c r="Q3616" s="22" t="s">
        <v>69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113</v>
      </c>
      <c r="W3616" s="22" t="s">
        <v>110</v>
      </c>
      <c r="X3616" s="104">
        <v>7500000</v>
      </c>
      <c r="Y3616" s="195" t="str">
        <f t="shared" si="1088"/>
        <v>1</v>
      </c>
      <c r="Z3616" s="196">
        <f t="shared" si="1086"/>
        <v>7500000</v>
      </c>
      <c r="AA3616" s="22">
        <v>5.5100000000000003E-2</v>
      </c>
      <c r="AB3616" s="197">
        <f t="shared" si="1087"/>
        <v>413250</v>
      </c>
      <c r="AC3616" s="198">
        <f t="shared" si="1069"/>
        <v>42316.800000000003</v>
      </c>
      <c r="AD3616" s="170">
        <v>0.1024</v>
      </c>
      <c r="AE3616" s="199">
        <f t="shared" si="1070"/>
        <v>1</v>
      </c>
      <c r="AF3616" s="199">
        <f>IF(AND(COUNTIFS($J$18:J3616,J3616)=1,AE3616=1),1,"")</f>
        <v>1</v>
      </c>
      <c r="AG3616" s="199">
        <f>IF(C3616="","",IF(AND(COUNTIFS($J$18:J3616,J3616)=1,C3616&lt;&gt;""),1,""))</f>
        <v>1</v>
      </c>
      <c r="AH3616" s="199">
        <f>IF(G3616="","",IF(AND(COUNTIFS($J$18:J3616,J3616)=1,G3616&lt;&gt;""),1,""))</f>
        <v>1</v>
      </c>
      <c r="AI3616" s="200">
        <f t="shared" si="1082"/>
        <v>35931087.732566379</v>
      </c>
      <c r="AJ3616" s="200">
        <f t="shared" si="1083"/>
        <v>4346699.6584161064</v>
      </c>
      <c r="AK3616" s="201">
        <f t="shared" si="1071"/>
        <v>0.12097322771769156</v>
      </c>
      <c r="AL3616" s="24"/>
      <c r="AM3616" s="24"/>
      <c r="AN3616" s="24"/>
      <c r="AO3616" s="24"/>
      <c r="AP3616" s="165" t="str">
        <f t="shared" si="1072"/>
        <v>20249</v>
      </c>
      <c r="AQ3616" s="203" t="str">
        <f t="shared" si="1073"/>
        <v>20249JPY</v>
      </c>
      <c r="AR3616" s="206" t="str">
        <f t="shared" si="1074"/>
        <v>YAMAHA_Mounter</v>
      </c>
      <c r="AS3616" s="22">
        <f t="shared" si="1075"/>
        <v>3</v>
      </c>
      <c r="AT3616" s="24" t="str">
        <f t="shared" si="1076"/>
        <v>0-3 months</v>
      </c>
    </row>
    <row r="3617" spans="1:46">
      <c r="A3617" s="33" t="str">
        <f t="shared" si="1066"/>
        <v>FY 24/25</v>
      </c>
      <c r="B3617" s="23">
        <v>2024</v>
      </c>
      <c r="C3617" s="23">
        <v>7</v>
      </c>
      <c r="D3617" s="33" t="str">
        <f t="shared" si="1084"/>
        <v>Q2</v>
      </c>
      <c r="E3617" s="33" t="str">
        <f t="shared" si="1089"/>
        <v>FY 24/25</v>
      </c>
      <c r="F3617" s="23">
        <v>2024</v>
      </c>
      <c r="G3617" s="23">
        <v>9</v>
      </c>
      <c r="H3617" s="29"/>
      <c r="I3617" s="204" t="str">
        <f t="shared" si="1067"/>
        <v>Q2</v>
      </c>
      <c r="J3617" s="188" t="s">
        <v>3488</v>
      </c>
      <c r="K3617" s="29" t="s">
        <v>3489</v>
      </c>
      <c r="L3617" s="17" t="s">
        <v>93</v>
      </c>
      <c r="M3617" s="13" t="s">
        <v>61</v>
      </c>
      <c r="N3617" s="13">
        <v>1</v>
      </c>
      <c r="O3617" s="22"/>
      <c r="P3617" s="202" t="str">
        <f t="shared" ref="P3617:P3648" si="1090">IF(M3617="","",IF(AND(N3617&gt;0,L3617&lt;&gt;""),"MAIN UNIT",IF(AND(O3617&gt;0,L3617&lt;&gt;""),"SERVICE/ PARTS","C66 SERVICE/OTHERS")))</f>
        <v>MAIN UNIT</v>
      </c>
      <c r="Q3617" s="22" t="s">
        <v>69</v>
      </c>
      <c r="R3617" s="22" t="s">
        <v>63</v>
      </c>
      <c r="S3617" s="22" t="s">
        <v>52</v>
      </c>
      <c r="T3617" s="22" t="s">
        <v>350</v>
      </c>
      <c r="U3617" s="22" t="s">
        <v>150</v>
      </c>
      <c r="V3617" s="22" t="s">
        <v>955</v>
      </c>
      <c r="W3617" s="22" t="s">
        <v>65</v>
      </c>
      <c r="X3617" s="104">
        <v>760000</v>
      </c>
      <c r="Y3617" s="195" t="str">
        <f t="shared" si="1088"/>
        <v>1.13</v>
      </c>
      <c r="Z3617" s="196">
        <f t="shared" si="1086"/>
        <v>760000</v>
      </c>
      <c r="AA3617" s="22">
        <v>1.0980000000000001</v>
      </c>
      <c r="AB3617" s="197">
        <f t="shared" si="1087"/>
        <v>738477.8761061948</v>
      </c>
      <c r="AC3617" s="198">
        <f t="shared" si="1069"/>
        <v>38327.001769911512</v>
      </c>
      <c r="AD3617" s="170">
        <v>5.1900000000000002E-2</v>
      </c>
      <c r="AE3617" s="199">
        <f t="shared" si="1070"/>
        <v>1</v>
      </c>
      <c r="AF3617" s="199">
        <f>IF(AND(COUNTIFS($J$18:J3617,J3617)=1,AE3617=1),1,"")</f>
        <v>1</v>
      </c>
      <c r="AG3617" s="199">
        <f>IF(C3617="","",IF(AND(COUNTIFS($J$18:J3617,J3617)=1,C3617&lt;&gt;""),1,""))</f>
        <v>1</v>
      </c>
      <c r="AH3617" s="199">
        <f>IF(G3617="","",IF(AND(COUNTIFS($J$18:J3617,J3617)=1,G3617&lt;&gt;""),1,""))</f>
        <v>1</v>
      </c>
      <c r="AI3617" s="200">
        <f t="shared" si="1082"/>
        <v>35931087.732566379</v>
      </c>
      <c r="AJ3617" s="200">
        <f t="shared" si="1083"/>
        <v>4346699.6584161064</v>
      </c>
      <c r="AK3617" s="201">
        <f t="shared" si="1071"/>
        <v>0.12097322771769156</v>
      </c>
      <c r="AL3617" s="24"/>
      <c r="AM3617" s="24"/>
      <c r="AN3617" s="24"/>
      <c r="AO3617" s="24"/>
      <c r="AP3617" s="165" t="str">
        <f t="shared" si="1072"/>
        <v>20249</v>
      </c>
      <c r="AQ3617" s="203" t="str">
        <f t="shared" si="1073"/>
        <v>20249RMB</v>
      </c>
      <c r="AR3617" s="206" t="str">
        <f t="shared" si="1074"/>
        <v>YAMAHA_Mounter</v>
      </c>
      <c r="AS3617" s="22">
        <f t="shared" si="1075"/>
        <v>2</v>
      </c>
      <c r="AT3617" s="24" t="str">
        <f t="shared" si="1076"/>
        <v>0-3 months</v>
      </c>
    </row>
    <row r="3618" spans="1:46">
      <c r="A3618" s="33" t="str">
        <f t="shared" si="1066"/>
        <v>FY 24/25</v>
      </c>
      <c r="B3618" s="23">
        <v>2024</v>
      </c>
      <c r="C3618" s="23">
        <v>7</v>
      </c>
      <c r="D3618" s="33" t="str">
        <f t="shared" si="1084"/>
        <v>Q2</v>
      </c>
      <c r="E3618" s="33" t="str">
        <f t="shared" si="1089"/>
        <v>FY 24/25</v>
      </c>
      <c r="F3618" s="23">
        <v>2024</v>
      </c>
      <c r="G3618" s="23">
        <v>9</v>
      </c>
      <c r="H3618" s="29"/>
      <c r="I3618" s="204" t="str">
        <f t="shared" si="1067"/>
        <v>Q2</v>
      </c>
      <c r="J3618" s="188" t="s">
        <v>3488</v>
      </c>
      <c r="K3618" s="29" t="s">
        <v>3489</v>
      </c>
      <c r="L3618" s="17" t="s">
        <v>68</v>
      </c>
      <c r="M3618" s="13" t="s">
        <v>61</v>
      </c>
      <c r="N3618" s="13">
        <v>1</v>
      </c>
      <c r="O3618" s="22"/>
      <c r="P3618" s="202" t="str">
        <f t="shared" si="1090"/>
        <v>MAIN UNIT</v>
      </c>
      <c r="Q3618" s="22" t="s">
        <v>69</v>
      </c>
      <c r="R3618" s="22" t="s">
        <v>63</v>
      </c>
      <c r="S3618" s="22" t="s">
        <v>52</v>
      </c>
      <c r="T3618" s="22" t="s">
        <v>350</v>
      </c>
      <c r="U3618" s="22" t="s">
        <v>150</v>
      </c>
      <c r="V3618" s="22" t="s">
        <v>955</v>
      </c>
      <c r="W3618" s="22" t="s">
        <v>65</v>
      </c>
      <c r="X3618" s="104">
        <v>550000</v>
      </c>
      <c r="Y3618" s="195" t="str">
        <f t="shared" si="1088"/>
        <v>1.13</v>
      </c>
      <c r="Z3618" s="196">
        <f t="shared" si="1086"/>
        <v>550000</v>
      </c>
      <c r="AA3618" s="22">
        <v>1.0980000000000001</v>
      </c>
      <c r="AB3618" s="197">
        <f t="shared" si="1087"/>
        <v>534424.77876106207</v>
      </c>
      <c r="AC3618" s="198">
        <f t="shared" si="1069"/>
        <v>27736.646017699124</v>
      </c>
      <c r="AD3618" s="170">
        <v>5.1900000000000002E-2</v>
      </c>
      <c r="AE3618" s="199">
        <f t="shared" si="1070"/>
        <v>1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82"/>
        <v>35931087.732566379</v>
      </c>
      <c r="AJ3618" s="200">
        <f t="shared" si="1083"/>
        <v>4346699.6584161064</v>
      </c>
      <c r="AK3618" s="201">
        <f t="shared" si="1071"/>
        <v>0.12097322771769156</v>
      </c>
      <c r="AL3618" s="24"/>
      <c r="AM3618" s="24"/>
      <c r="AN3618" s="24"/>
      <c r="AO3618" s="24"/>
      <c r="AP3618" s="165" t="str">
        <f t="shared" si="1072"/>
        <v>20249</v>
      </c>
      <c r="AQ3618" s="203" t="str">
        <f t="shared" si="1073"/>
        <v>20249RMB</v>
      </c>
      <c r="AR3618" s="206" t="str">
        <f t="shared" si="1074"/>
        <v>YAMAHA_Mounter</v>
      </c>
      <c r="AS3618" s="22">
        <f t="shared" si="1075"/>
        <v>2</v>
      </c>
      <c r="AT3618" s="24" t="str">
        <f t="shared" si="1076"/>
        <v>0-3 months</v>
      </c>
    </row>
    <row r="3619" spans="1:46">
      <c r="A3619" s="33" t="str">
        <f t="shared" si="1066"/>
        <v>FY 24/25</v>
      </c>
      <c r="B3619" s="23">
        <v>2024</v>
      </c>
      <c r="C3619" s="23">
        <v>7</v>
      </c>
      <c r="D3619" s="33" t="str">
        <f t="shared" si="1084"/>
        <v>Q2</v>
      </c>
      <c r="E3619" s="33" t="str">
        <f t="shared" si="1089"/>
        <v>FY 24/25</v>
      </c>
      <c r="F3619" s="23">
        <v>2024</v>
      </c>
      <c r="G3619" s="23">
        <v>9</v>
      </c>
      <c r="H3619" s="29"/>
      <c r="I3619" s="204" t="str">
        <f t="shared" si="1067"/>
        <v>Q2</v>
      </c>
      <c r="J3619" s="188" t="s">
        <v>3488</v>
      </c>
      <c r="K3619" s="29" t="s">
        <v>3489</v>
      </c>
      <c r="L3619" s="17" t="s">
        <v>68</v>
      </c>
      <c r="M3619" s="13" t="s">
        <v>61</v>
      </c>
      <c r="N3619" s="13">
        <v>1</v>
      </c>
      <c r="O3619" s="22"/>
      <c r="P3619" s="202" t="str">
        <f t="shared" si="1090"/>
        <v>MAIN UNIT</v>
      </c>
      <c r="Q3619" s="22" t="s">
        <v>69</v>
      </c>
      <c r="R3619" s="22" t="s">
        <v>63</v>
      </c>
      <c r="S3619" s="22" t="s">
        <v>52</v>
      </c>
      <c r="T3619" s="22" t="s">
        <v>350</v>
      </c>
      <c r="U3619" s="22" t="s">
        <v>150</v>
      </c>
      <c r="V3619" s="22" t="s">
        <v>955</v>
      </c>
      <c r="W3619" s="22" t="s">
        <v>65</v>
      </c>
      <c r="X3619" s="104">
        <v>550000</v>
      </c>
      <c r="Y3619" s="195" t="str">
        <f t="shared" si="1088"/>
        <v>1.13</v>
      </c>
      <c r="Z3619" s="196">
        <f t="shared" si="1086"/>
        <v>550000</v>
      </c>
      <c r="AA3619" s="22">
        <v>1.0980000000000001</v>
      </c>
      <c r="AB3619" s="197">
        <f t="shared" si="1087"/>
        <v>534424.77876106207</v>
      </c>
      <c r="AC3619" s="198">
        <f t="shared" si="1069"/>
        <v>27736.646017699124</v>
      </c>
      <c r="AD3619" s="170">
        <v>5.1900000000000002E-2</v>
      </c>
      <c r="AE3619" s="199">
        <f t="shared" si="1070"/>
        <v>1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82"/>
        <v>35931087.732566379</v>
      </c>
      <c r="AJ3619" s="200">
        <f t="shared" si="1083"/>
        <v>4346699.6584161064</v>
      </c>
      <c r="AK3619" s="201">
        <f t="shared" si="1071"/>
        <v>0.12097322771769156</v>
      </c>
      <c r="AL3619" s="24"/>
      <c r="AM3619" s="24"/>
      <c r="AN3619" s="24"/>
      <c r="AO3619" s="24"/>
      <c r="AP3619" s="165" t="str">
        <f t="shared" si="1072"/>
        <v>20249</v>
      </c>
      <c r="AQ3619" s="203" t="str">
        <f t="shared" si="1073"/>
        <v>20249RMB</v>
      </c>
      <c r="AR3619" s="206" t="str">
        <f t="shared" si="1074"/>
        <v>YAMAHA_Mounter</v>
      </c>
      <c r="AS3619" s="22">
        <f t="shared" si="1075"/>
        <v>2</v>
      </c>
      <c r="AT3619" s="24" t="str">
        <f t="shared" si="1076"/>
        <v>0-3 months</v>
      </c>
    </row>
    <row r="3620" spans="1:46">
      <c r="A3620" s="33" t="str">
        <f t="shared" si="1066"/>
        <v>FY 24/25</v>
      </c>
      <c r="B3620" s="23">
        <v>2024</v>
      </c>
      <c r="C3620" s="23">
        <v>7</v>
      </c>
      <c r="D3620" s="33" t="str">
        <f t="shared" si="1084"/>
        <v>Q2</v>
      </c>
      <c r="E3620" s="33" t="str">
        <f t="shared" si="1089"/>
        <v>FY 24/25</v>
      </c>
      <c r="F3620" s="23">
        <v>2024</v>
      </c>
      <c r="G3620" s="23">
        <v>9</v>
      </c>
      <c r="H3620" s="29"/>
      <c r="I3620" s="204" t="str">
        <f t="shared" si="1067"/>
        <v>Q2</v>
      </c>
      <c r="J3620" s="188" t="s">
        <v>3488</v>
      </c>
      <c r="K3620" s="29" t="s">
        <v>3489</v>
      </c>
      <c r="L3620" s="17" t="s">
        <v>68</v>
      </c>
      <c r="M3620" s="13" t="s">
        <v>61</v>
      </c>
      <c r="N3620" s="13">
        <v>1</v>
      </c>
      <c r="O3620" s="22"/>
      <c r="P3620" s="202" t="str">
        <f t="shared" si="1090"/>
        <v>MAIN UNIT</v>
      </c>
      <c r="Q3620" s="22" t="s">
        <v>69</v>
      </c>
      <c r="R3620" s="22" t="s">
        <v>63</v>
      </c>
      <c r="S3620" s="22" t="s">
        <v>52</v>
      </c>
      <c r="T3620" s="22" t="s">
        <v>350</v>
      </c>
      <c r="U3620" s="22" t="s">
        <v>150</v>
      </c>
      <c r="V3620" s="22" t="s">
        <v>955</v>
      </c>
      <c r="W3620" s="22" t="s">
        <v>65</v>
      </c>
      <c r="X3620" s="104">
        <v>550000</v>
      </c>
      <c r="Y3620" s="195" t="str">
        <f t="shared" si="1088"/>
        <v>1.13</v>
      </c>
      <c r="Z3620" s="196">
        <f t="shared" si="1086"/>
        <v>550000</v>
      </c>
      <c r="AA3620" s="22">
        <v>1.0980000000000001</v>
      </c>
      <c r="AB3620" s="197">
        <f t="shared" si="1087"/>
        <v>534424.77876106207</v>
      </c>
      <c r="AC3620" s="198">
        <f t="shared" si="1069"/>
        <v>27736.646017699124</v>
      </c>
      <c r="AD3620" s="170">
        <v>5.1900000000000002E-2</v>
      </c>
      <c r="AE3620" s="199">
        <f t="shared" si="1070"/>
        <v>1</v>
      </c>
      <c r="AF3620" s="199" t="str">
        <f>IF(AND(COUNTIFS($J$18:J3620,J3620)=1,AE3620=1),1,"")</f>
        <v/>
      </c>
      <c r="AG3620" s="199" t="str">
        <f>IF(C3620="","",IF(AND(COUNTIFS($J$18:J3620,J3620)=1,C3620&lt;&gt;""),1,""))</f>
        <v/>
      </c>
      <c r="AH3620" s="199" t="str">
        <f>IF(G3620="","",IF(AND(COUNTIFS($J$18:J3620,J3620)=1,G3620&lt;&gt;""),1,""))</f>
        <v/>
      </c>
      <c r="AI3620" s="200">
        <f t="shared" si="1082"/>
        <v>35931087.732566379</v>
      </c>
      <c r="AJ3620" s="200">
        <f t="shared" si="1083"/>
        <v>4346699.6584161064</v>
      </c>
      <c r="AK3620" s="201">
        <f t="shared" si="1071"/>
        <v>0.12097322771769156</v>
      </c>
      <c r="AL3620" s="24"/>
      <c r="AM3620" s="24"/>
      <c r="AN3620" s="24"/>
      <c r="AO3620" s="24"/>
      <c r="AP3620" s="165" t="str">
        <f t="shared" si="1072"/>
        <v>20249</v>
      </c>
      <c r="AQ3620" s="203" t="str">
        <f t="shared" si="1073"/>
        <v>20249RMB</v>
      </c>
      <c r="AR3620" s="206" t="str">
        <f t="shared" si="1074"/>
        <v>YAMAHA_Mounter</v>
      </c>
      <c r="AS3620" s="22">
        <f t="shared" si="1075"/>
        <v>2</v>
      </c>
      <c r="AT3620" s="24" t="str">
        <f t="shared" si="1076"/>
        <v>0-3 months</v>
      </c>
    </row>
    <row r="3621" spans="1:46">
      <c r="A3621" s="33" t="str">
        <f t="shared" si="1066"/>
        <v>FY 24/25</v>
      </c>
      <c r="B3621" s="23">
        <v>2024</v>
      </c>
      <c r="C3621" s="23">
        <v>7</v>
      </c>
      <c r="D3621" s="202" t="str">
        <f t="shared" si="1084"/>
        <v>Q2</v>
      </c>
      <c r="E3621" s="33" t="str">
        <f t="shared" si="1089"/>
        <v>FY 24/25</v>
      </c>
      <c r="F3621" s="23">
        <v>2024</v>
      </c>
      <c r="G3621" s="23">
        <v>11</v>
      </c>
      <c r="H3621" s="29"/>
      <c r="I3621" s="204" t="str">
        <f t="shared" si="1067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90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88"/>
        <v>1</v>
      </c>
      <c r="Z3621" s="196">
        <f t="shared" si="1086"/>
        <v>80750</v>
      </c>
      <c r="AA3621" s="22">
        <v>7.8</v>
      </c>
      <c r="AB3621" s="197">
        <f t="shared" si="1087"/>
        <v>629850</v>
      </c>
      <c r="AC3621" s="198">
        <f t="shared" si="1069"/>
        <v>75582</v>
      </c>
      <c r="AD3621" s="169">
        <v>0.12</v>
      </c>
      <c r="AE3621" s="199">
        <f t="shared" si="1070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82"/>
        <v>24129972.828771491</v>
      </c>
      <c r="AJ3621" s="200">
        <f t="shared" si="1083"/>
        <v>2880955.0890193055</v>
      </c>
      <c r="AK3621" s="201">
        <f t="shared" si="1071"/>
        <v>0.11939321728469518</v>
      </c>
      <c r="AL3621" s="24"/>
      <c r="AM3621" s="24"/>
      <c r="AN3621" s="24"/>
      <c r="AO3621" s="24"/>
      <c r="AP3621" s="165" t="str">
        <f t="shared" si="1072"/>
        <v>202411</v>
      </c>
      <c r="AQ3621" s="203" t="str">
        <f t="shared" si="1073"/>
        <v>202411USD</v>
      </c>
      <c r="AR3621" s="206" t="str">
        <f t="shared" si="1074"/>
        <v>YAMAHA_Mounter</v>
      </c>
      <c r="AS3621" s="22">
        <f t="shared" si="1075"/>
        <v>4</v>
      </c>
      <c r="AT3621" s="24" t="str">
        <f t="shared" si="1076"/>
        <v>4-6 months</v>
      </c>
    </row>
    <row r="3622" spans="1:46">
      <c r="A3622" s="33" t="str">
        <f t="shared" si="1066"/>
        <v>FY 24/25</v>
      </c>
      <c r="B3622" s="23">
        <v>2024</v>
      </c>
      <c r="C3622" s="23">
        <v>8</v>
      </c>
      <c r="D3622" s="202" t="str">
        <f t="shared" si="1084"/>
        <v>Q2</v>
      </c>
      <c r="E3622" s="33" t="str">
        <f t="shared" si="1089"/>
        <v>FY 24/25</v>
      </c>
      <c r="F3622" s="23">
        <v>2024</v>
      </c>
      <c r="G3622" s="23">
        <v>9</v>
      </c>
      <c r="H3622" s="29"/>
      <c r="I3622" s="204" t="str">
        <f t="shared" si="1067"/>
        <v>Q2</v>
      </c>
      <c r="J3622" s="188" t="s">
        <v>3520</v>
      </c>
      <c r="K3622" s="29" t="s">
        <v>3521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90"/>
        <v>MAIN UNIT</v>
      </c>
      <c r="Q3622" s="22" t="s">
        <v>69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81</v>
      </c>
      <c r="W3622" s="22" t="s">
        <v>65</v>
      </c>
      <c r="X3622" s="104">
        <v>1587500.2749999999</v>
      </c>
      <c r="Y3622" s="195" t="str">
        <f t="shared" si="1088"/>
        <v>1.13</v>
      </c>
      <c r="Z3622" s="196">
        <f t="shared" si="1086"/>
        <v>1587500.2749999999</v>
      </c>
      <c r="AA3622" s="22">
        <v>1.0980000000000001</v>
      </c>
      <c r="AB3622" s="197">
        <f t="shared" si="1087"/>
        <v>1542544.5150000001</v>
      </c>
      <c r="AC3622" s="198">
        <f t="shared" si="1069"/>
        <v>185105.34179999999</v>
      </c>
      <c r="AD3622" s="169">
        <v>0.12</v>
      </c>
      <c r="AE3622" s="199">
        <f t="shared" si="1070"/>
        <v>1</v>
      </c>
      <c r="AF3622" s="199">
        <f>IF(AND(COUNTIFS($J$18:J3622,J3622)=1,AE3622=1),1,"")</f>
        <v>1</v>
      </c>
      <c r="AG3622" s="199">
        <f>IF(C3622="","",IF(AND(COUNTIFS($J$18:J3622,J3622)=1,C3622&lt;&gt;""),1,""))</f>
        <v>1</v>
      </c>
      <c r="AH3622" s="199">
        <f>IF(G3622="","",IF(AND(COUNTIFS($J$18:J3622,J3622)=1,G3622&lt;&gt;""),1,""))</f>
        <v>1</v>
      </c>
      <c r="AI3622" s="200">
        <f t="shared" si="1082"/>
        <v>35931087.732566379</v>
      </c>
      <c r="AJ3622" s="200">
        <f t="shared" si="1083"/>
        <v>4346699.6584161064</v>
      </c>
      <c r="AK3622" s="201">
        <f t="shared" si="1071"/>
        <v>0.12097322771769156</v>
      </c>
      <c r="AL3622" s="24"/>
      <c r="AM3622" s="24"/>
      <c r="AN3622" s="24"/>
      <c r="AO3622" s="24"/>
      <c r="AP3622" s="165" t="str">
        <f t="shared" si="1072"/>
        <v>20249</v>
      </c>
      <c r="AQ3622" s="203" t="str">
        <f t="shared" si="1073"/>
        <v>20249RMB</v>
      </c>
      <c r="AR3622" s="206" t="str">
        <f t="shared" si="1074"/>
        <v>YAMAHA_Mounter</v>
      </c>
      <c r="AS3622" s="22">
        <f t="shared" si="1075"/>
        <v>1</v>
      </c>
      <c r="AT3622" s="24" t="str">
        <f t="shared" si="1076"/>
        <v>0-3 months</v>
      </c>
    </row>
    <row r="3623" spans="1:46">
      <c r="A3623" s="33" t="str">
        <f t="shared" si="1066"/>
        <v>FY 24/25</v>
      </c>
      <c r="B3623" s="23">
        <v>2024</v>
      </c>
      <c r="C3623" s="23">
        <v>8</v>
      </c>
      <c r="D3623" s="202" t="str">
        <f t="shared" si="1084"/>
        <v>Q2</v>
      </c>
      <c r="E3623" s="33" t="str">
        <f t="shared" si="1089"/>
        <v>FY 24/25</v>
      </c>
      <c r="F3623" s="23">
        <v>2024</v>
      </c>
      <c r="G3623" s="23">
        <v>9</v>
      </c>
      <c r="H3623" s="29"/>
      <c r="I3623" s="204" t="str">
        <f t="shared" si="1067"/>
        <v>Q2</v>
      </c>
      <c r="J3623" s="188" t="s">
        <v>3520</v>
      </c>
      <c r="K3623" s="29" t="s">
        <v>3521</v>
      </c>
      <c r="L3623" s="17" t="s">
        <v>93</v>
      </c>
      <c r="M3623" s="13" t="s">
        <v>61</v>
      </c>
      <c r="N3623" s="13">
        <v>1</v>
      </c>
      <c r="O3623" s="22"/>
      <c r="P3623" s="202" t="str">
        <f t="shared" si="1090"/>
        <v>MAIN UNIT</v>
      </c>
      <c r="Q3623" s="22" t="s">
        <v>69</v>
      </c>
      <c r="R3623" s="22" t="s">
        <v>63</v>
      </c>
      <c r="S3623" s="22" t="s">
        <v>50</v>
      </c>
      <c r="T3623" s="22" t="s">
        <v>79</v>
      </c>
      <c r="U3623" s="22" t="s">
        <v>121</v>
      </c>
      <c r="V3623" s="22" t="s">
        <v>81</v>
      </c>
      <c r="W3623" s="22" t="s">
        <v>65</v>
      </c>
      <c r="X3623" s="104">
        <v>1587500.2749999999</v>
      </c>
      <c r="Y3623" s="195" t="str">
        <f t="shared" si="1088"/>
        <v>1.13</v>
      </c>
      <c r="Z3623" s="196">
        <f t="shared" si="1086"/>
        <v>1587500.2749999999</v>
      </c>
      <c r="AA3623" s="22">
        <v>1.0980000000000001</v>
      </c>
      <c r="AB3623" s="197">
        <f t="shared" si="1087"/>
        <v>1542544.5150000001</v>
      </c>
      <c r="AC3623" s="198">
        <f t="shared" si="1069"/>
        <v>185105.34179999999</v>
      </c>
      <c r="AD3623" s="169">
        <v>0.12</v>
      </c>
      <c r="AE3623" s="199">
        <f t="shared" si="1070"/>
        <v>1</v>
      </c>
      <c r="AF3623" s="199" t="str">
        <f>IF(AND(COUNTIFS($J$18:J3623,J3623)=1,AE3623=1),1,"")</f>
        <v/>
      </c>
      <c r="AG3623" s="199" t="str">
        <f>IF(C3623="","",IF(AND(COUNTIFS($J$18:J3623,J3623)=1,C3623&lt;&gt;""),1,""))</f>
        <v/>
      </c>
      <c r="AH3623" s="199" t="str">
        <f>IF(G3623="","",IF(AND(COUNTIFS($J$18:J3623,J3623)=1,G3623&lt;&gt;""),1,""))</f>
        <v/>
      </c>
      <c r="AI3623" s="200">
        <f t="shared" si="1082"/>
        <v>35931087.732566379</v>
      </c>
      <c r="AJ3623" s="200">
        <f t="shared" si="1083"/>
        <v>4346699.6584161064</v>
      </c>
      <c r="AK3623" s="201">
        <f t="shared" si="1071"/>
        <v>0.12097322771769156</v>
      </c>
      <c r="AL3623" s="24"/>
      <c r="AM3623" s="24"/>
      <c r="AN3623" s="24"/>
      <c r="AO3623" s="24"/>
      <c r="AP3623" s="165" t="str">
        <f t="shared" si="1072"/>
        <v>20249</v>
      </c>
      <c r="AQ3623" s="203" t="str">
        <f t="shared" si="1073"/>
        <v>20249RMB</v>
      </c>
      <c r="AR3623" s="206" t="str">
        <f t="shared" si="1074"/>
        <v>YAMAHA_Mounter</v>
      </c>
      <c r="AS3623" s="22">
        <f t="shared" si="1075"/>
        <v>1</v>
      </c>
      <c r="AT3623" s="24" t="str">
        <f t="shared" si="1076"/>
        <v>0-3 months</v>
      </c>
    </row>
    <row r="3624" spans="1:46">
      <c r="A3624" s="33" t="str">
        <f t="shared" si="1066"/>
        <v>FY 24/25</v>
      </c>
      <c r="B3624" s="23">
        <v>2024</v>
      </c>
      <c r="C3624" s="23">
        <v>8</v>
      </c>
      <c r="D3624" s="202" t="str">
        <f t="shared" si="1084"/>
        <v>Q2</v>
      </c>
      <c r="E3624" s="33" t="str">
        <f t="shared" si="1089"/>
        <v>FY 24/25</v>
      </c>
      <c r="F3624" s="23">
        <v>2024</v>
      </c>
      <c r="G3624" s="23">
        <v>9</v>
      </c>
      <c r="H3624" s="29"/>
      <c r="I3624" s="204" t="str">
        <f t="shared" si="1067"/>
        <v>Q2</v>
      </c>
      <c r="J3624" s="188" t="s">
        <v>3520</v>
      </c>
      <c r="K3624" s="29" t="s">
        <v>3521</v>
      </c>
      <c r="L3624" s="17" t="s">
        <v>93</v>
      </c>
      <c r="M3624" s="13" t="s">
        <v>61</v>
      </c>
      <c r="N3624" s="13">
        <v>1</v>
      </c>
      <c r="O3624" s="22"/>
      <c r="P3624" s="202" t="str">
        <f t="shared" si="1090"/>
        <v>MAIN UNIT</v>
      </c>
      <c r="Q3624" s="22" t="s">
        <v>69</v>
      </c>
      <c r="R3624" s="22" t="s">
        <v>63</v>
      </c>
      <c r="S3624" s="22" t="s">
        <v>50</v>
      </c>
      <c r="T3624" s="22" t="s">
        <v>79</v>
      </c>
      <c r="U3624" s="22" t="s">
        <v>121</v>
      </c>
      <c r="V3624" s="22" t="s">
        <v>81</v>
      </c>
      <c r="W3624" s="22" t="s">
        <v>65</v>
      </c>
      <c r="X3624" s="104">
        <v>1587500.2749999999</v>
      </c>
      <c r="Y3624" s="195" t="str">
        <f t="shared" si="1088"/>
        <v>1.13</v>
      </c>
      <c r="Z3624" s="196">
        <f t="shared" si="1086"/>
        <v>1587500.2749999999</v>
      </c>
      <c r="AA3624" s="22">
        <v>1.0980000000000001</v>
      </c>
      <c r="AB3624" s="197">
        <f t="shared" si="1087"/>
        <v>1542544.5150000001</v>
      </c>
      <c r="AC3624" s="198">
        <f t="shared" si="1069"/>
        <v>185105.34179999999</v>
      </c>
      <c r="AD3624" s="169">
        <v>0.12</v>
      </c>
      <c r="AE3624" s="199">
        <f t="shared" si="1070"/>
        <v>1</v>
      </c>
      <c r="AF3624" s="199" t="str">
        <f>IF(AND(COUNTIFS($J$18:J3624,J3624)=1,AE3624=1),1,"")</f>
        <v/>
      </c>
      <c r="AG3624" s="199" t="str">
        <f>IF(C3624="","",IF(AND(COUNTIFS($J$18:J3624,J3624)=1,C3624&lt;&gt;""),1,""))</f>
        <v/>
      </c>
      <c r="AH3624" s="199" t="str">
        <f>IF(G3624="","",IF(AND(COUNTIFS($J$18:J3624,J3624)=1,G3624&lt;&gt;""),1,""))</f>
        <v/>
      </c>
      <c r="AI3624" s="200">
        <f t="shared" si="1082"/>
        <v>35931087.732566379</v>
      </c>
      <c r="AJ3624" s="200">
        <f t="shared" si="1083"/>
        <v>4346699.6584161064</v>
      </c>
      <c r="AK3624" s="201">
        <f t="shared" si="1071"/>
        <v>0.12097322771769156</v>
      </c>
      <c r="AL3624" s="24"/>
      <c r="AM3624" s="24"/>
      <c r="AN3624" s="24"/>
      <c r="AO3624" s="24"/>
      <c r="AP3624" s="165" t="str">
        <f t="shared" si="1072"/>
        <v>20249</v>
      </c>
      <c r="AQ3624" s="203" t="str">
        <f t="shared" si="1073"/>
        <v>20249RMB</v>
      </c>
      <c r="AR3624" s="206" t="str">
        <f t="shared" si="1074"/>
        <v>YAMAHA_Mounter</v>
      </c>
      <c r="AS3624" s="22">
        <f t="shared" si="1075"/>
        <v>1</v>
      </c>
      <c r="AT3624" s="24" t="str">
        <f t="shared" si="1076"/>
        <v>0-3 months</v>
      </c>
    </row>
    <row r="3625" spans="1:46">
      <c r="A3625" s="33" t="str">
        <f t="shared" si="1066"/>
        <v>FY 24/25</v>
      </c>
      <c r="B3625" s="23">
        <v>2024</v>
      </c>
      <c r="C3625" s="23">
        <v>8</v>
      </c>
      <c r="D3625" s="202" t="str">
        <f t="shared" si="1084"/>
        <v>Q2</v>
      </c>
      <c r="E3625" s="33" t="str">
        <f t="shared" si="1089"/>
        <v>FY 24/25</v>
      </c>
      <c r="F3625" s="23">
        <v>2024</v>
      </c>
      <c r="G3625" s="23">
        <v>9</v>
      </c>
      <c r="H3625" s="29"/>
      <c r="I3625" s="204" t="str">
        <f t="shared" si="1067"/>
        <v>Q2</v>
      </c>
      <c r="J3625" s="188" t="s">
        <v>3520</v>
      </c>
      <c r="K3625" s="29" t="s">
        <v>3521</v>
      </c>
      <c r="L3625" s="17" t="s">
        <v>93</v>
      </c>
      <c r="M3625" s="13" t="s">
        <v>61</v>
      </c>
      <c r="N3625" s="13">
        <v>1</v>
      </c>
      <c r="O3625" s="22"/>
      <c r="P3625" s="202" t="str">
        <f t="shared" si="1090"/>
        <v>MAIN UNIT</v>
      </c>
      <c r="Q3625" s="22" t="s">
        <v>69</v>
      </c>
      <c r="R3625" s="22" t="s">
        <v>63</v>
      </c>
      <c r="S3625" s="22" t="s">
        <v>50</v>
      </c>
      <c r="T3625" s="22" t="s">
        <v>79</v>
      </c>
      <c r="U3625" s="22" t="s">
        <v>121</v>
      </c>
      <c r="V3625" s="22" t="s">
        <v>81</v>
      </c>
      <c r="W3625" s="22" t="s">
        <v>65</v>
      </c>
      <c r="X3625" s="104">
        <v>1587500.2749999999</v>
      </c>
      <c r="Y3625" s="195" t="str">
        <f t="shared" si="1088"/>
        <v>1.13</v>
      </c>
      <c r="Z3625" s="196">
        <f t="shared" si="1086"/>
        <v>1587500.2749999999</v>
      </c>
      <c r="AA3625" s="22">
        <v>1.0980000000000001</v>
      </c>
      <c r="AB3625" s="197">
        <f t="shared" si="1087"/>
        <v>1542544.5150000001</v>
      </c>
      <c r="AC3625" s="198">
        <f t="shared" si="1069"/>
        <v>185105.34179999999</v>
      </c>
      <c r="AD3625" s="169">
        <v>0.12</v>
      </c>
      <c r="AE3625" s="199">
        <f t="shared" si="1070"/>
        <v>1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82"/>
        <v>35931087.732566379</v>
      </c>
      <c r="AJ3625" s="200">
        <f t="shared" si="1083"/>
        <v>4346699.6584161064</v>
      </c>
      <c r="AK3625" s="201">
        <f t="shared" si="1071"/>
        <v>0.12097322771769156</v>
      </c>
      <c r="AL3625" s="24"/>
      <c r="AM3625" s="24"/>
      <c r="AN3625" s="24"/>
      <c r="AO3625" s="24"/>
      <c r="AP3625" s="165" t="str">
        <f t="shared" si="1072"/>
        <v>20249</v>
      </c>
      <c r="AQ3625" s="203" t="str">
        <f t="shared" si="1073"/>
        <v>20249RMB</v>
      </c>
      <c r="AR3625" s="206" t="str">
        <f t="shared" si="1074"/>
        <v>YAMAHA_Mounter</v>
      </c>
      <c r="AS3625" s="22">
        <f t="shared" si="1075"/>
        <v>1</v>
      </c>
      <c r="AT3625" s="24" t="str">
        <f t="shared" si="1076"/>
        <v>0-3 months</v>
      </c>
    </row>
    <row r="3626" spans="1:46">
      <c r="A3626" s="33" t="str">
        <f t="shared" si="1066"/>
        <v>FY 24/25</v>
      </c>
      <c r="B3626" s="23">
        <v>2024</v>
      </c>
      <c r="C3626" s="23">
        <v>7</v>
      </c>
      <c r="D3626" s="202" t="str">
        <f t="shared" si="1084"/>
        <v>Q2</v>
      </c>
      <c r="E3626" s="33" t="str">
        <f t="shared" si="1089"/>
        <v>FY 24/25</v>
      </c>
      <c r="F3626" s="23">
        <v>2024</v>
      </c>
      <c r="G3626" s="23">
        <v>9</v>
      </c>
      <c r="H3626" s="29"/>
      <c r="I3626" s="204" t="str">
        <f t="shared" si="1067"/>
        <v>Q2</v>
      </c>
      <c r="J3626" s="188" t="s">
        <v>3525</v>
      </c>
      <c r="K3626" s="29" t="s">
        <v>3526</v>
      </c>
      <c r="L3626" s="17" t="s">
        <v>93</v>
      </c>
      <c r="M3626" s="13" t="s">
        <v>61</v>
      </c>
      <c r="N3626" s="13">
        <v>1</v>
      </c>
      <c r="O3626" s="22"/>
      <c r="P3626" s="202" t="str">
        <f t="shared" si="1090"/>
        <v>MAIN UNIT</v>
      </c>
      <c r="Q3626" s="22" t="s">
        <v>69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2012</v>
      </c>
      <c r="W3626" s="22" t="s">
        <v>110</v>
      </c>
      <c r="X3626" s="104">
        <v>12280000</v>
      </c>
      <c r="Y3626" s="195" t="str">
        <f t="shared" si="1088"/>
        <v>1</v>
      </c>
      <c r="Z3626" s="196">
        <f t="shared" si="1086"/>
        <v>12280000</v>
      </c>
      <c r="AA3626" s="22">
        <v>5.5100000000000003E-2</v>
      </c>
      <c r="AB3626" s="197">
        <f t="shared" si="1087"/>
        <v>676628</v>
      </c>
      <c r="AC3626" s="198">
        <f t="shared" si="1069"/>
        <v>75173.370800000004</v>
      </c>
      <c r="AD3626" s="170">
        <v>0.1111</v>
      </c>
      <c r="AE3626" s="199">
        <f t="shared" si="1070"/>
        <v>1</v>
      </c>
      <c r="AF3626" s="199">
        <f>IF(AND(COUNTIFS($J$18:J3626,J3626)=1,AE3626=1),1,"")</f>
        <v>1</v>
      </c>
      <c r="AG3626" s="199">
        <f>IF(C3626="","",IF(AND(COUNTIFS($J$18:J3626,J3626)=1,C3626&lt;&gt;""),1,""))</f>
        <v>1</v>
      </c>
      <c r="AH3626" s="199">
        <f>IF(G3626="","",IF(AND(COUNTIFS($J$18:J3626,J3626)=1,G3626&lt;&gt;""),1,""))</f>
        <v>1</v>
      </c>
      <c r="AI3626" s="200">
        <f t="shared" si="1082"/>
        <v>35931087.732566379</v>
      </c>
      <c r="AJ3626" s="200">
        <f t="shared" si="1083"/>
        <v>4346699.6584161064</v>
      </c>
      <c r="AK3626" s="201">
        <f t="shared" si="1071"/>
        <v>0.12097322771769156</v>
      </c>
      <c r="AL3626" s="24"/>
      <c r="AM3626" s="24"/>
      <c r="AN3626" s="24"/>
      <c r="AO3626" s="24"/>
      <c r="AP3626" s="165" t="str">
        <f t="shared" si="1072"/>
        <v>20249</v>
      </c>
      <c r="AQ3626" s="203" t="str">
        <f t="shared" si="1073"/>
        <v>20249JPY</v>
      </c>
      <c r="AR3626" s="206" t="str">
        <f t="shared" si="1074"/>
        <v>YAMAHA_Mounter</v>
      </c>
      <c r="AS3626" s="22">
        <f t="shared" si="1075"/>
        <v>2</v>
      </c>
      <c r="AT3626" s="24" t="str">
        <f t="shared" si="1076"/>
        <v>0-3 months</v>
      </c>
    </row>
    <row r="3627" spans="1:46">
      <c r="A3627" s="33" t="str">
        <f t="shared" si="1066"/>
        <v>FY 24/25</v>
      </c>
      <c r="B3627" s="23">
        <v>2024</v>
      </c>
      <c r="C3627" s="23">
        <v>7</v>
      </c>
      <c r="D3627" s="202" t="str">
        <f t="shared" si="1084"/>
        <v>Q2</v>
      </c>
      <c r="E3627" s="33" t="str">
        <f t="shared" si="1089"/>
        <v>FY 24/25</v>
      </c>
      <c r="F3627" s="23">
        <v>2024</v>
      </c>
      <c r="G3627" s="23">
        <v>12</v>
      </c>
      <c r="H3627" s="29"/>
      <c r="I3627" s="204" t="str">
        <f t="shared" si="1067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90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88"/>
        <v>1</v>
      </c>
      <c r="Z3627" s="196">
        <f t="shared" si="1086"/>
        <v>12300000</v>
      </c>
      <c r="AA3627" s="22">
        <v>5.5599999999999997E-2</v>
      </c>
      <c r="AB3627" s="197">
        <f t="shared" si="1087"/>
        <v>683880</v>
      </c>
      <c r="AC3627" s="198">
        <f t="shared" si="1069"/>
        <v>82065.599999999991</v>
      </c>
      <c r="AD3627" s="169">
        <v>0.12</v>
      </c>
      <c r="AE3627" s="199">
        <f t="shared" si="1070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82"/>
        <v>22399988.308672566</v>
      </c>
      <c r="AJ3627" s="200">
        <f t="shared" si="1083"/>
        <v>2687998.5970407082</v>
      </c>
      <c r="AK3627" s="201">
        <f t="shared" si="1071"/>
        <v>0.12000000000000001</v>
      </c>
      <c r="AL3627" s="24"/>
      <c r="AM3627" s="24"/>
      <c r="AN3627" s="24"/>
      <c r="AO3627" s="24"/>
      <c r="AP3627" s="165" t="str">
        <f t="shared" si="1072"/>
        <v>202412</v>
      </c>
      <c r="AQ3627" s="203" t="str">
        <f t="shared" si="1073"/>
        <v>202412JPY</v>
      </c>
      <c r="AR3627" s="206" t="str">
        <f t="shared" si="1074"/>
        <v>YAMAHA_Mounter</v>
      </c>
      <c r="AS3627" s="22">
        <f t="shared" si="1075"/>
        <v>5</v>
      </c>
      <c r="AT3627" s="24" t="str">
        <f t="shared" si="1076"/>
        <v>4-6 months</v>
      </c>
    </row>
    <row r="3628" spans="1:46">
      <c r="A3628" s="33" t="str">
        <f t="shared" ref="A3628:A3674" si="1091">IF(C3628="cancel","cancel",IFERROR(IF(D3628="Q4","FY "&amp;RIGHT(B3628,2)-1&amp;"/"&amp;RIGHT(B3628,2),"FY "&amp;RIGHT(B3628,2)&amp;"/"&amp;RIGHT(B3628,2)+1),""))</f>
        <v>FY 24/25</v>
      </c>
      <c r="B3628" s="23">
        <v>2024</v>
      </c>
      <c r="C3628" s="23">
        <v>7</v>
      </c>
      <c r="D3628" s="202" t="str">
        <f t="shared" si="1084"/>
        <v>Q2</v>
      </c>
      <c r="E3628" s="33" t="str">
        <f t="shared" si="1089"/>
        <v>FY 24/25</v>
      </c>
      <c r="F3628" s="23">
        <v>2024</v>
      </c>
      <c r="G3628" s="23">
        <v>12</v>
      </c>
      <c r="H3628" s="29"/>
      <c r="I3628" s="204" t="str">
        <f t="shared" ref="I3628:I3674" si="1092">IFERROR(IF(F3628="","",IF(F3628="TBA","TBA",IF(F3628="Cancel","Cancel",IF(AND(G3628&gt;=10,G3628&lt;=12),"Q3",IF(AND(G3628&gt;=1,G3628&lt;=3),"Q4",IF(AND(G3628&gt;=7,G3628&lt;=9),"Q2",IF(AND(G3628&gt;=4,G3628&lt;=6),"Q1"))))))),"")</f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90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88"/>
        <v>1</v>
      </c>
      <c r="Z3628" s="196">
        <f t="shared" si="1086"/>
        <v>12300000</v>
      </c>
      <c r="AA3628" s="22">
        <v>5.5599999999999997E-2</v>
      </c>
      <c r="AB3628" s="197">
        <f t="shared" si="1087"/>
        <v>683880</v>
      </c>
      <c r="AC3628" s="198">
        <f t="shared" ref="AC3628:AC3674" si="1093">IF(R3628&lt;&gt;"",AB3628*AD3628,"")</f>
        <v>82065.599999999991</v>
      </c>
      <c r="AD3628" s="169">
        <v>0.12</v>
      </c>
      <c r="AE3628" s="199">
        <f t="shared" ref="AE3628:AE3674" si="1094">IF(Q3628="","",IF(Q3628="Yes",1,0))</f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82"/>
        <v>22399988.308672566</v>
      </c>
      <c r="AJ3628" s="200">
        <f t="shared" si="1083"/>
        <v>2687998.5970407082</v>
      </c>
      <c r="AK3628" s="201">
        <f t="shared" ref="AK3628:AK3674" si="1095">IF(AJ3628&gt;0,AJ3628/AI3628,"")</f>
        <v>0.12000000000000001</v>
      </c>
      <c r="AL3628" s="24"/>
      <c r="AM3628" s="24"/>
      <c r="AN3628" s="24"/>
      <c r="AO3628" s="24"/>
      <c r="AP3628" s="165" t="str">
        <f t="shared" ref="AP3628:AP3674" si="1096">IF(F3628="","",F3628&amp;G3628)</f>
        <v>202412</v>
      </c>
      <c r="AQ3628" s="203" t="str">
        <f t="shared" ref="AQ3628:AQ3674" si="1097">IF(W3628="","",F3628&amp;G3628&amp;W3628)</f>
        <v>202412JPY</v>
      </c>
      <c r="AR3628" s="206" t="str">
        <f t="shared" ref="AR3628:AR3674" si="1098">IFERROR(IF(AND(M3628="YAMAHA", R3628="C28"), "YAMAHA_Non_Mounter", IF(AND(M3628="YAMAHA", R3628="C49"), "YAMAHA_Mounter", M3628)),"")</f>
        <v>YAMAHA_Mounter</v>
      </c>
      <c r="AS3628" s="22">
        <f t="shared" ref="AS3628:AS3674" si="1099">IFERROR(IF(OR(G3628="TBA", G3628=""), "", DATEDIF(DATE(B3628, C3628, 1), DATE(F3628, G3628, 1), "M")),"")</f>
        <v>5</v>
      </c>
      <c r="AT3628" s="24" t="str">
        <f t="shared" ref="AT3628:AT3674" si="1100">IF(ISNUMBER(AS3628), IF(AS3628&gt;=0, IF(AS3628&lt;=3, "0-3 months", IF(AS3628&lt;=6, "4-6 months", "&gt; 6 months"))), "")</f>
        <v>4-6 months</v>
      </c>
    </row>
    <row r="3629" spans="1:46">
      <c r="A3629" s="33" t="str">
        <f t="shared" si="1091"/>
        <v>FY 24/25</v>
      </c>
      <c r="B3629" s="23">
        <v>2024</v>
      </c>
      <c r="C3629" s="23">
        <v>7</v>
      </c>
      <c r="D3629" s="202" t="str">
        <f t="shared" si="1084"/>
        <v>Q2</v>
      </c>
      <c r="E3629" s="33" t="str">
        <f t="shared" si="1089"/>
        <v>FY 24/25</v>
      </c>
      <c r="F3629" s="23">
        <v>2024</v>
      </c>
      <c r="G3629" s="23">
        <v>12</v>
      </c>
      <c r="H3629" s="29"/>
      <c r="I3629" s="204" t="str">
        <f t="shared" si="1092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90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88"/>
        <v>1</v>
      </c>
      <c r="Z3629" s="196">
        <f t="shared" si="1086"/>
        <v>12300000</v>
      </c>
      <c r="AA3629" s="22">
        <v>5.5599999999999997E-2</v>
      </c>
      <c r="AB3629" s="197">
        <f t="shared" si="1087"/>
        <v>683880</v>
      </c>
      <c r="AC3629" s="198">
        <f t="shared" si="1093"/>
        <v>82065.599999999991</v>
      </c>
      <c r="AD3629" s="169">
        <v>0.12</v>
      </c>
      <c r="AE3629" s="199">
        <f t="shared" si="1094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82"/>
        <v>22399988.308672566</v>
      </c>
      <c r="AJ3629" s="200">
        <f t="shared" si="1083"/>
        <v>2687998.5970407082</v>
      </c>
      <c r="AK3629" s="201">
        <f t="shared" si="1095"/>
        <v>0.12000000000000001</v>
      </c>
      <c r="AL3629" s="24"/>
      <c r="AM3629" s="24"/>
      <c r="AN3629" s="24"/>
      <c r="AO3629" s="24"/>
      <c r="AP3629" s="165" t="str">
        <f t="shared" si="1096"/>
        <v>202412</v>
      </c>
      <c r="AQ3629" s="203" t="str">
        <f t="shared" si="1097"/>
        <v>202412JPY</v>
      </c>
      <c r="AR3629" s="206" t="str">
        <f t="shared" si="1098"/>
        <v>YAMAHA_Mounter</v>
      </c>
      <c r="AS3629" s="22">
        <f t="shared" si="1099"/>
        <v>5</v>
      </c>
      <c r="AT3629" s="24" t="str">
        <f t="shared" si="1100"/>
        <v>4-6 months</v>
      </c>
    </row>
    <row r="3630" spans="1:46">
      <c r="A3630" s="33" t="str">
        <f t="shared" si="1091"/>
        <v>FY 24/25</v>
      </c>
      <c r="B3630" s="23">
        <v>2024</v>
      </c>
      <c r="C3630" s="23">
        <v>7</v>
      </c>
      <c r="D3630" s="202" t="str">
        <f t="shared" si="1084"/>
        <v>Q2</v>
      </c>
      <c r="E3630" s="33" t="str">
        <f t="shared" si="1089"/>
        <v>FY 24/25</v>
      </c>
      <c r="F3630" s="23">
        <v>2024</v>
      </c>
      <c r="G3630" s="23">
        <v>12</v>
      </c>
      <c r="H3630" s="29"/>
      <c r="I3630" s="204" t="str">
        <f t="shared" si="1092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90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88"/>
        <v>1</v>
      </c>
      <c r="Z3630" s="196">
        <f t="shared" si="1086"/>
        <v>12300000</v>
      </c>
      <c r="AA3630" s="22">
        <v>5.5599999999999997E-2</v>
      </c>
      <c r="AB3630" s="197">
        <f t="shared" si="1087"/>
        <v>683880</v>
      </c>
      <c r="AC3630" s="198">
        <f t="shared" si="1093"/>
        <v>82065.599999999991</v>
      </c>
      <c r="AD3630" s="169">
        <v>0.12</v>
      </c>
      <c r="AE3630" s="199">
        <f t="shared" si="1094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82"/>
        <v>22399988.308672566</v>
      </c>
      <c r="AJ3630" s="200">
        <f t="shared" si="1083"/>
        <v>2687998.5970407082</v>
      </c>
      <c r="AK3630" s="201">
        <f t="shared" si="1095"/>
        <v>0.12000000000000001</v>
      </c>
      <c r="AL3630" s="24"/>
      <c r="AM3630" s="24"/>
      <c r="AN3630" s="24"/>
      <c r="AO3630" s="24"/>
      <c r="AP3630" s="165" t="str">
        <f t="shared" si="1096"/>
        <v>202412</v>
      </c>
      <c r="AQ3630" s="203" t="str">
        <f t="shared" si="1097"/>
        <v>202412JPY</v>
      </c>
      <c r="AR3630" s="206" t="str">
        <f t="shared" si="1098"/>
        <v>YAMAHA_Mounter</v>
      </c>
      <c r="AS3630" s="22">
        <f t="shared" si="1099"/>
        <v>5</v>
      </c>
      <c r="AT3630" s="24" t="str">
        <f t="shared" si="1100"/>
        <v>4-6 months</v>
      </c>
    </row>
    <row r="3631" spans="1:46">
      <c r="A3631" s="33" t="str">
        <f t="shared" si="1091"/>
        <v>FY 24/25</v>
      </c>
      <c r="B3631" s="23">
        <v>2024</v>
      </c>
      <c r="C3631" s="23">
        <v>7</v>
      </c>
      <c r="D3631" s="202" t="str">
        <f t="shared" si="1084"/>
        <v>Q2</v>
      </c>
      <c r="E3631" s="33" t="str">
        <f t="shared" si="1089"/>
        <v>FY 24/25</v>
      </c>
      <c r="F3631" s="23">
        <v>2024</v>
      </c>
      <c r="G3631" s="23">
        <v>11</v>
      </c>
      <c r="H3631" s="29"/>
      <c r="I3631" s="204" t="str">
        <f t="shared" si="1092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90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88"/>
        <v>1.13</v>
      </c>
      <c r="Z3631" s="196">
        <f t="shared" si="1086"/>
        <v>455000</v>
      </c>
      <c r="AA3631" s="22">
        <v>1.1080000000000001</v>
      </c>
      <c r="AB3631" s="197">
        <f t="shared" si="1087"/>
        <v>446141.59292035404</v>
      </c>
      <c r="AC3631" s="198">
        <f t="shared" si="1093"/>
        <v>53536.991150442482</v>
      </c>
      <c r="AD3631" s="169">
        <v>0.12</v>
      </c>
      <c r="AE3631" s="199">
        <f t="shared" si="1094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82"/>
        <v>24129972.828771491</v>
      </c>
      <c r="AJ3631" s="200">
        <f t="shared" si="1083"/>
        <v>2880955.0890193055</v>
      </c>
      <c r="AK3631" s="201">
        <f t="shared" si="1095"/>
        <v>0.11939321728469518</v>
      </c>
      <c r="AL3631" s="24"/>
      <c r="AM3631" s="24"/>
      <c r="AN3631" s="24"/>
      <c r="AO3631" s="24"/>
      <c r="AP3631" s="165" t="str">
        <f t="shared" si="1096"/>
        <v>202411</v>
      </c>
      <c r="AQ3631" s="203" t="str">
        <f t="shared" si="1097"/>
        <v>202411RMB</v>
      </c>
      <c r="AR3631" s="206" t="str">
        <f t="shared" si="1098"/>
        <v>YAMAHA_Mounter</v>
      </c>
      <c r="AS3631" s="22">
        <f t="shared" si="1099"/>
        <v>4</v>
      </c>
      <c r="AT3631" s="24" t="str">
        <f t="shared" si="1100"/>
        <v>4-6 months</v>
      </c>
    </row>
    <row r="3632" spans="1:46">
      <c r="A3632" s="33" t="str">
        <f t="shared" si="1091"/>
        <v>FY 24/25</v>
      </c>
      <c r="B3632" s="23">
        <v>2024</v>
      </c>
      <c r="C3632" s="23">
        <v>7</v>
      </c>
      <c r="D3632" s="202" t="str">
        <f t="shared" si="1084"/>
        <v>Q2</v>
      </c>
      <c r="E3632" s="33" t="str">
        <f t="shared" si="1089"/>
        <v>FY 24/25</v>
      </c>
      <c r="F3632" s="23">
        <v>2024</v>
      </c>
      <c r="G3632" s="23">
        <v>11</v>
      </c>
      <c r="H3632" s="29"/>
      <c r="I3632" s="204" t="str">
        <f t="shared" si="1092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90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88"/>
        <v>1</v>
      </c>
      <c r="Z3632" s="196">
        <f t="shared" si="1086"/>
        <v>166000</v>
      </c>
      <c r="AA3632" s="22">
        <v>7.8</v>
      </c>
      <c r="AB3632" s="197">
        <f t="shared" si="1087"/>
        <v>1294800</v>
      </c>
      <c r="AC3632" s="198">
        <f t="shared" si="1093"/>
        <v>155376</v>
      </c>
      <c r="AD3632" s="169">
        <v>0.12</v>
      </c>
      <c r="AE3632" s="199">
        <f t="shared" si="1094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82"/>
        <v>24129972.828771491</v>
      </c>
      <c r="AJ3632" s="200">
        <f t="shared" si="1083"/>
        <v>2880955.0890193055</v>
      </c>
      <c r="AK3632" s="201">
        <f t="shared" si="1095"/>
        <v>0.11939321728469518</v>
      </c>
      <c r="AL3632" s="24"/>
      <c r="AM3632" s="24"/>
      <c r="AN3632" s="24"/>
      <c r="AO3632" s="24"/>
      <c r="AP3632" s="165" t="str">
        <f t="shared" si="1096"/>
        <v>202411</v>
      </c>
      <c r="AQ3632" s="203" t="str">
        <f t="shared" si="1097"/>
        <v>202411USD</v>
      </c>
      <c r="AR3632" s="206" t="str">
        <f t="shared" si="1098"/>
        <v>YAMAHA_Mounter</v>
      </c>
      <c r="AS3632" s="22">
        <f t="shared" si="1099"/>
        <v>4</v>
      </c>
      <c r="AT3632" s="24" t="str">
        <f t="shared" si="1100"/>
        <v>4-6 months</v>
      </c>
    </row>
    <row r="3633" spans="1:46">
      <c r="A3633" s="33" t="str">
        <f t="shared" si="1091"/>
        <v>FY 24/25</v>
      </c>
      <c r="B3633" s="23">
        <v>2024</v>
      </c>
      <c r="C3633" s="23">
        <v>7</v>
      </c>
      <c r="D3633" s="202" t="str">
        <f t="shared" si="1084"/>
        <v>Q2</v>
      </c>
      <c r="E3633" s="33" t="str">
        <f t="shared" si="1089"/>
        <v>FY 24/25</v>
      </c>
      <c r="F3633" s="23">
        <v>2024</v>
      </c>
      <c r="G3633" s="23">
        <v>9</v>
      </c>
      <c r="H3633" s="29"/>
      <c r="I3633" s="204" t="str">
        <f t="shared" si="1092"/>
        <v>Q2</v>
      </c>
      <c r="J3633" s="188" t="s">
        <v>3503</v>
      </c>
      <c r="K3633" s="29" t="s">
        <v>3506</v>
      </c>
      <c r="L3633" s="17" t="s">
        <v>68</v>
      </c>
      <c r="M3633" s="13" t="s">
        <v>61</v>
      </c>
      <c r="N3633" s="13">
        <v>1</v>
      </c>
      <c r="O3633" s="22"/>
      <c r="P3633" s="202" t="str">
        <f t="shared" si="1090"/>
        <v>MAIN UNIT</v>
      </c>
      <c r="Q3633" s="22" t="s">
        <v>69</v>
      </c>
      <c r="R3633" s="22" t="s">
        <v>63</v>
      </c>
      <c r="S3633" s="22" t="s">
        <v>51</v>
      </c>
      <c r="T3633" s="22" t="s">
        <v>89</v>
      </c>
      <c r="U3633" s="22" t="s">
        <v>71</v>
      </c>
      <c r="V3633" s="22" t="s">
        <v>1011</v>
      </c>
      <c r="W3633" s="22" t="s">
        <v>65</v>
      </c>
      <c r="X3633" s="104">
        <v>432999</v>
      </c>
      <c r="Y3633" s="195" t="str">
        <f t="shared" si="1088"/>
        <v>1.13</v>
      </c>
      <c r="Z3633" s="196">
        <f t="shared" si="1086"/>
        <v>432999</v>
      </c>
      <c r="AA3633" s="22">
        <v>1.0980000000000001</v>
      </c>
      <c r="AB3633" s="197">
        <f t="shared" si="1087"/>
        <v>420737.08141592931</v>
      </c>
      <c r="AC3633" s="198">
        <f t="shared" si="1093"/>
        <v>35846.799336637174</v>
      </c>
      <c r="AD3633" s="170">
        <v>8.5199999999999998E-2</v>
      </c>
      <c r="AE3633" s="199">
        <f t="shared" si="1094"/>
        <v>1</v>
      </c>
      <c r="AF3633" s="199">
        <f>IF(AND(COUNTIFS($J$18:J3633,J3633)=1,AE3633=1),1,"")</f>
        <v>1</v>
      </c>
      <c r="AG3633" s="199">
        <f>IF(C3633="","",IF(AND(COUNTIFS($J$18:J3633,J3633)=1,C3633&lt;&gt;""),1,""))</f>
        <v>1</v>
      </c>
      <c r="AH3633" s="199">
        <f>IF(G3633="","",IF(AND(COUNTIFS($J$18:J3633,J3633)=1,G3633&lt;&gt;""),1,""))</f>
        <v>1</v>
      </c>
      <c r="AI3633" s="200">
        <f t="shared" si="1082"/>
        <v>35931087.732566379</v>
      </c>
      <c r="AJ3633" s="200">
        <f t="shared" si="1083"/>
        <v>4346699.6584161064</v>
      </c>
      <c r="AK3633" s="201">
        <f t="shared" si="1095"/>
        <v>0.12097322771769156</v>
      </c>
      <c r="AL3633" s="24"/>
      <c r="AM3633" s="24"/>
      <c r="AN3633" s="24"/>
      <c r="AO3633" s="24"/>
      <c r="AP3633" s="165" t="str">
        <f t="shared" si="1096"/>
        <v>20249</v>
      </c>
      <c r="AQ3633" s="203" t="str">
        <f t="shared" si="1097"/>
        <v>20249RMB</v>
      </c>
      <c r="AR3633" s="206" t="str">
        <f t="shared" si="1098"/>
        <v>YAMAHA_Mounter</v>
      </c>
      <c r="AS3633" s="22">
        <f t="shared" si="1099"/>
        <v>2</v>
      </c>
      <c r="AT3633" s="24" t="str">
        <f t="shared" si="1100"/>
        <v>0-3 months</v>
      </c>
    </row>
    <row r="3634" spans="1:46">
      <c r="A3634" s="33" t="str">
        <f t="shared" si="1091"/>
        <v>FY 24/25</v>
      </c>
      <c r="B3634" s="23">
        <v>2024</v>
      </c>
      <c r="C3634" s="23">
        <v>7</v>
      </c>
      <c r="D3634" s="202" t="str">
        <f t="shared" ref="D3634:D3665" si="1101">IF(B3634="","",IF(AND(C3634&gt;=10,C3634&lt;=12),"Q3",IF(AND(C3634&gt;=1,C3634&lt;=3),"Q4",IF(AND(C3634&gt;=7,C3634&lt;=9),"Q2",IF(AND(C3634&gt;=4,C3634&lt;=6),"Q1")))))</f>
        <v>Q2</v>
      </c>
      <c r="E3634" s="33" t="str">
        <f t="shared" si="1089"/>
        <v>FY 24/25</v>
      </c>
      <c r="F3634" s="23">
        <v>2024</v>
      </c>
      <c r="G3634" s="23">
        <v>11</v>
      </c>
      <c r="H3634" s="29"/>
      <c r="I3634" s="204" t="str">
        <f t="shared" si="1092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90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88"/>
        <v>1.13</v>
      </c>
      <c r="Z3634" s="196">
        <f t="shared" ref="Z3634:Z3665" si="1102">IF(X3634="","",X3634*MAX(O3634,N3634))</f>
        <v>432999</v>
      </c>
      <c r="AA3634" s="22">
        <v>1.0980000000000001</v>
      </c>
      <c r="AB3634" s="197">
        <f t="shared" si="1087"/>
        <v>420737.08141592931</v>
      </c>
      <c r="AC3634" s="198">
        <f t="shared" si="1093"/>
        <v>35846.799336637174</v>
      </c>
      <c r="AD3634" s="170">
        <v>8.5199999999999998E-2</v>
      </c>
      <c r="AE3634" s="199">
        <f t="shared" si="1094"/>
        <v>1</v>
      </c>
      <c r="AF3634" s="199" t="str">
        <f>IF(AND(COUNTIFS($J$18:J3634,J3634)=1,AE3634=1),1,"")</f>
        <v/>
      </c>
      <c r="AG3634" s="199" t="str">
        <f>IF(C3634="","",IF(AND(COUNTIFS($J$18:J3634,J3634)=1,C3634&lt;&gt;""),1,""))</f>
        <v/>
      </c>
      <c r="AH3634" s="199" t="str">
        <f>IF(G3634="","",IF(AND(COUNTIFS($J$18:J3634,J3634)=1,G3634&lt;&gt;""),1,""))</f>
        <v/>
      </c>
      <c r="AI3634" s="200">
        <f t="shared" si="1082"/>
        <v>24129972.828771491</v>
      </c>
      <c r="AJ3634" s="200">
        <f t="shared" si="1083"/>
        <v>2880955.0890193055</v>
      </c>
      <c r="AK3634" s="201">
        <f t="shared" si="1095"/>
        <v>0.11939321728469518</v>
      </c>
      <c r="AL3634" s="24"/>
      <c r="AM3634" s="24"/>
      <c r="AN3634" s="24"/>
      <c r="AO3634" s="24"/>
      <c r="AP3634" s="165" t="str">
        <f t="shared" si="1096"/>
        <v>202411</v>
      </c>
      <c r="AQ3634" s="203" t="str">
        <f t="shared" si="1097"/>
        <v>202411RMB</v>
      </c>
      <c r="AR3634" s="206" t="str">
        <f t="shared" si="1098"/>
        <v>YAMAHA_Mounter</v>
      </c>
      <c r="AS3634" s="22">
        <f t="shared" si="1099"/>
        <v>4</v>
      </c>
      <c r="AT3634" s="24" t="str">
        <f t="shared" si="1100"/>
        <v>4-6 months</v>
      </c>
    </row>
    <row r="3635" spans="1:46">
      <c r="A3635" s="33" t="str">
        <f t="shared" si="1091"/>
        <v>FY 24/25</v>
      </c>
      <c r="B3635" s="23">
        <v>2024</v>
      </c>
      <c r="C3635" s="23">
        <v>7</v>
      </c>
      <c r="D3635" s="202" t="str">
        <f t="shared" si="1101"/>
        <v>Q2</v>
      </c>
      <c r="E3635" s="33" t="str">
        <f t="shared" si="1089"/>
        <v>FY 24/25</v>
      </c>
      <c r="F3635" s="23">
        <v>2024</v>
      </c>
      <c r="G3635" s="23">
        <v>10</v>
      </c>
      <c r="H3635" s="29"/>
      <c r="I3635" s="204" t="str">
        <f t="shared" si="1092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90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88"/>
        <v>1.13</v>
      </c>
      <c r="Z3635" s="196">
        <f t="shared" si="1102"/>
        <v>600000</v>
      </c>
      <c r="AA3635" s="22">
        <v>1.1080000000000001</v>
      </c>
      <c r="AB3635" s="197">
        <f t="shared" si="1087"/>
        <v>588318.58407079661</v>
      </c>
      <c r="AC3635" s="198">
        <f t="shared" si="1093"/>
        <v>70598.230088495591</v>
      </c>
      <c r="AD3635" s="169">
        <v>0.12</v>
      </c>
      <c r="AE3635" s="199">
        <f t="shared" si="1094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82"/>
        <v>25860689.500884958</v>
      </c>
      <c r="AJ3635" s="200">
        <f t="shared" si="1083"/>
        <v>3153620.4547964605</v>
      </c>
      <c r="AK3635" s="201">
        <f t="shared" si="1095"/>
        <v>0.1219464954593938</v>
      </c>
      <c r="AL3635" s="24"/>
      <c r="AM3635" s="24"/>
      <c r="AN3635" s="24"/>
      <c r="AO3635" s="24"/>
      <c r="AP3635" s="165" t="str">
        <f t="shared" si="1096"/>
        <v>202410</v>
      </c>
      <c r="AQ3635" s="203" t="str">
        <f t="shared" si="1097"/>
        <v>202410RMB</v>
      </c>
      <c r="AR3635" s="206" t="str">
        <f t="shared" si="1098"/>
        <v>YAMAHA_Mounter</v>
      </c>
      <c r="AS3635" s="22">
        <f t="shared" si="1099"/>
        <v>3</v>
      </c>
      <c r="AT3635" s="24" t="str">
        <f t="shared" si="1100"/>
        <v>0-3 months</v>
      </c>
    </row>
    <row r="3636" spans="1:46">
      <c r="A3636" s="33" t="str">
        <f t="shared" si="1091"/>
        <v>FY 24/25</v>
      </c>
      <c r="B3636" s="23">
        <v>2024</v>
      </c>
      <c r="C3636" s="23">
        <v>7</v>
      </c>
      <c r="D3636" s="202" t="str">
        <f t="shared" si="1101"/>
        <v>Q2</v>
      </c>
      <c r="E3636" s="33" t="str">
        <f t="shared" si="1089"/>
        <v>FY 24/25</v>
      </c>
      <c r="F3636" s="23">
        <v>2024</v>
      </c>
      <c r="G3636" s="23">
        <v>10</v>
      </c>
      <c r="H3636" s="29"/>
      <c r="I3636" s="204" t="str">
        <f t="shared" si="1092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90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103">IF(W3636="","",IF(W3636="RMB","1.13", "1"))</f>
        <v>1.13</v>
      </c>
      <c r="Z3636" s="196">
        <f t="shared" si="1102"/>
        <v>600000</v>
      </c>
      <c r="AA3636" s="22">
        <v>1.1080000000000001</v>
      </c>
      <c r="AB3636" s="197">
        <f t="shared" si="1087"/>
        <v>588318.58407079661</v>
      </c>
      <c r="AC3636" s="198">
        <f t="shared" si="1093"/>
        <v>70598.230088495591</v>
      </c>
      <c r="AD3636" s="169">
        <v>0.12</v>
      </c>
      <c r="AE3636" s="199">
        <f t="shared" si="1094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82"/>
        <v>25860689.500884958</v>
      </c>
      <c r="AJ3636" s="200">
        <f t="shared" si="1083"/>
        <v>3153620.4547964605</v>
      </c>
      <c r="AK3636" s="201">
        <f t="shared" si="1095"/>
        <v>0.1219464954593938</v>
      </c>
      <c r="AL3636" s="24"/>
      <c r="AM3636" s="24"/>
      <c r="AN3636" s="24"/>
      <c r="AO3636" s="24"/>
      <c r="AP3636" s="165" t="str">
        <f t="shared" si="1096"/>
        <v>202410</v>
      </c>
      <c r="AQ3636" s="203" t="str">
        <f t="shared" si="1097"/>
        <v>202410RMB</v>
      </c>
      <c r="AR3636" s="206" t="str">
        <f t="shared" si="1098"/>
        <v>YAMAHA_Mounter</v>
      </c>
      <c r="AS3636" s="22">
        <f t="shared" si="1099"/>
        <v>3</v>
      </c>
      <c r="AT3636" s="24" t="str">
        <f t="shared" si="1100"/>
        <v>0-3 months</v>
      </c>
    </row>
    <row r="3637" spans="1:46">
      <c r="A3637" s="33" t="str">
        <f t="shared" si="1091"/>
        <v>FY 24/25</v>
      </c>
      <c r="B3637" s="23">
        <v>2024</v>
      </c>
      <c r="C3637" s="23">
        <v>7</v>
      </c>
      <c r="D3637" s="202" t="str">
        <f t="shared" si="1101"/>
        <v>Q2</v>
      </c>
      <c r="E3637" s="33" t="str">
        <f t="shared" si="1089"/>
        <v>FY 24/25</v>
      </c>
      <c r="F3637" s="23">
        <v>2024</v>
      </c>
      <c r="G3637" s="23">
        <v>9</v>
      </c>
      <c r="H3637" s="29"/>
      <c r="I3637" s="204" t="str">
        <f t="shared" si="1092"/>
        <v>Q2</v>
      </c>
      <c r="J3637" s="188" t="s">
        <v>3509</v>
      </c>
      <c r="K3637" s="29" t="s">
        <v>3510</v>
      </c>
      <c r="L3637" s="17" t="s">
        <v>93</v>
      </c>
      <c r="M3637" s="13" t="s">
        <v>61</v>
      </c>
      <c r="N3637" s="13">
        <v>1</v>
      </c>
      <c r="O3637" s="22"/>
      <c r="P3637" s="202" t="str">
        <f t="shared" si="1090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3135</v>
      </c>
      <c r="W3637" s="22" t="s">
        <v>110</v>
      </c>
      <c r="X3637" s="104">
        <v>13210000</v>
      </c>
      <c r="Y3637" s="195" t="str">
        <f t="shared" si="1103"/>
        <v>1</v>
      </c>
      <c r="Z3637" s="196">
        <f t="shared" si="1102"/>
        <v>13210000</v>
      </c>
      <c r="AA3637" s="22">
        <v>5.5100000000000003E-2</v>
      </c>
      <c r="AB3637" s="197">
        <f t="shared" si="1087"/>
        <v>727871</v>
      </c>
      <c r="AC3637" s="198">
        <f t="shared" si="1093"/>
        <v>69875.615999999995</v>
      </c>
      <c r="AD3637" s="170">
        <v>9.6000000000000002E-2</v>
      </c>
      <c r="AE3637" s="199">
        <f t="shared" si="1094"/>
        <v>0</v>
      </c>
      <c r="AF3637" s="199" t="str">
        <f>IF(AND(COUNTIFS($J$18:J3637,J3637)=1,AE3637=1),1,"")</f>
        <v/>
      </c>
      <c r="AG3637" s="199">
        <f>IF(C3637="","",IF(AND(COUNTIFS($J$18:J3637,J3637)=1,C3637&lt;&gt;""),1,""))</f>
        <v>1</v>
      </c>
      <c r="AH3637" s="199">
        <f>IF(G3637="","",IF(AND(COUNTIFS($J$18:J3637,J3637)=1,G3637&lt;&gt;""),1,""))</f>
        <v>1</v>
      </c>
      <c r="AI3637" s="200">
        <f t="shared" si="1082"/>
        <v>35931087.732566379</v>
      </c>
      <c r="AJ3637" s="200">
        <f t="shared" si="1083"/>
        <v>4346699.6584161064</v>
      </c>
      <c r="AK3637" s="201">
        <f t="shared" si="1095"/>
        <v>0.12097322771769156</v>
      </c>
      <c r="AL3637" s="24"/>
      <c r="AM3637" s="24"/>
      <c r="AN3637" s="24"/>
      <c r="AO3637" s="24"/>
      <c r="AP3637" s="165" t="str">
        <f t="shared" si="1096"/>
        <v>20249</v>
      </c>
      <c r="AQ3637" s="203" t="str">
        <f t="shared" si="1097"/>
        <v>20249JPY</v>
      </c>
      <c r="AR3637" s="206" t="str">
        <f t="shared" si="1098"/>
        <v>YAMAHA_Mounter</v>
      </c>
      <c r="AS3637" s="22">
        <f t="shared" si="1099"/>
        <v>2</v>
      </c>
      <c r="AT3637" s="24" t="str">
        <f t="shared" si="1100"/>
        <v>0-3 months</v>
      </c>
    </row>
    <row r="3638" spans="1:46">
      <c r="A3638" s="33" t="str">
        <f t="shared" si="1091"/>
        <v>FY 24/25</v>
      </c>
      <c r="B3638" s="23">
        <v>2024</v>
      </c>
      <c r="C3638" s="23">
        <v>7</v>
      </c>
      <c r="D3638" s="202" t="str">
        <f t="shared" si="1101"/>
        <v>Q2</v>
      </c>
      <c r="E3638" s="33" t="str">
        <f t="shared" si="1089"/>
        <v>FY 24/25</v>
      </c>
      <c r="F3638" s="23">
        <v>2024</v>
      </c>
      <c r="G3638" s="23">
        <v>9</v>
      </c>
      <c r="H3638" s="29"/>
      <c r="I3638" s="204" t="str">
        <f t="shared" si="1092"/>
        <v>Q2</v>
      </c>
      <c r="J3638" s="188" t="s">
        <v>3511</v>
      </c>
      <c r="K3638" s="29" t="s">
        <v>3512</v>
      </c>
      <c r="L3638" s="17" t="s">
        <v>93</v>
      </c>
      <c r="M3638" s="13" t="s">
        <v>61</v>
      </c>
      <c r="N3638" s="13">
        <v>1</v>
      </c>
      <c r="O3638" s="22"/>
      <c r="P3638" s="202" t="str">
        <f t="shared" si="1090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1072</v>
      </c>
      <c r="V3638" s="22" t="s">
        <v>312</v>
      </c>
      <c r="W3638" s="22" t="s">
        <v>65</v>
      </c>
      <c r="X3638" s="104">
        <v>675000</v>
      </c>
      <c r="Y3638" s="195" t="str">
        <f t="shared" si="1103"/>
        <v>1.13</v>
      </c>
      <c r="Z3638" s="196">
        <f t="shared" si="1102"/>
        <v>675000</v>
      </c>
      <c r="AA3638" s="22">
        <v>1.0980000000000001</v>
      </c>
      <c r="AB3638" s="197">
        <f t="shared" si="1087"/>
        <v>655884.95575221255</v>
      </c>
      <c r="AC3638" s="198">
        <f t="shared" si="1093"/>
        <v>84281.216814159314</v>
      </c>
      <c r="AD3638" s="170">
        <v>0.1285</v>
      </c>
      <c r="AE3638" s="199">
        <f t="shared" si="1094"/>
        <v>0</v>
      </c>
      <c r="AF3638" s="199" t="str">
        <f>IF(AND(COUNTIFS($J$18:J3638,J3638)=1,AE3638=1),1,"")</f>
        <v/>
      </c>
      <c r="AG3638" s="199">
        <f>IF(C3638="","",IF(AND(COUNTIFS($J$18:J3638,J3638)=1,C3638&lt;&gt;""),1,""))</f>
        <v>1</v>
      </c>
      <c r="AH3638" s="199">
        <f>IF(G3638="","",IF(AND(COUNTIFS($J$18:J3638,J3638)=1,G3638&lt;&gt;""),1,""))</f>
        <v>1</v>
      </c>
      <c r="AI3638" s="200">
        <f t="shared" si="1082"/>
        <v>35931087.732566379</v>
      </c>
      <c r="AJ3638" s="200">
        <f t="shared" si="1083"/>
        <v>4346699.6584161064</v>
      </c>
      <c r="AK3638" s="201">
        <f t="shared" si="1095"/>
        <v>0.12097322771769156</v>
      </c>
      <c r="AL3638" s="24"/>
      <c r="AM3638" s="24"/>
      <c r="AN3638" s="24"/>
      <c r="AO3638" s="24"/>
      <c r="AP3638" s="165" t="str">
        <f t="shared" si="1096"/>
        <v>20249</v>
      </c>
      <c r="AQ3638" s="203" t="str">
        <f t="shared" si="1097"/>
        <v>20249RMB</v>
      </c>
      <c r="AR3638" s="206" t="str">
        <f t="shared" si="1098"/>
        <v>YAMAHA_Mounter</v>
      </c>
      <c r="AS3638" s="22">
        <f t="shared" si="1099"/>
        <v>2</v>
      </c>
      <c r="AT3638" s="24" t="str">
        <f t="shared" si="1100"/>
        <v>0-3 months</v>
      </c>
    </row>
    <row r="3639" spans="1:46">
      <c r="A3639" s="33" t="str">
        <f t="shared" si="1091"/>
        <v>FY 24/25</v>
      </c>
      <c r="B3639" s="23">
        <v>2024</v>
      </c>
      <c r="C3639" s="23">
        <v>7</v>
      </c>
      <c r="D3639" s="202" t="str">
        <f t="shared" si="1101"/>
        <v>Q2</v>
      </c>
      <c r="E3639" s="33" t="str">
        <f t="shared" si="1089"/>
        <v>FY 24/25</v>
      </c>
      <c r="F3639" s="23">
        <v>2024</v>
      </c>
      <c r="G3639" s="23">
        <v>10</v>
      </c>
      <c r="H3639" s="29"/>
      <c r="I3639" s="204" t="str">
        <f t="shared" si="1092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90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103"/>
        <v>1.13</v>
      </c>
      <c r="Z3639" s="196">
        <f t="shared" si="1102"/>
        <v>446700</v>
      </c>
      <c r="AA3639" s="22">
        <v>1.1080000000000001</v>
      </c>
      <c r="AB3639" s="197">
        <f t="shared" si="1087"/>
        <v>438003.18584070809</v>
      </c>
      <c r="AC3639" s="198">
        <f t="shared" si="1093"/>
        <v>52560.382300884965</v>
      </c>
      <c r="AD3639" s="169">
        <v>0.12</v>
      </c>
      <c r="AE3639" s="199">
        <f t="shared" si="1094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82"/>
        <v>25860689.500884958</v>
      </c>
      <c r="AJ3639" s="200">
        <f t="shared" si="1083"/>
        <v>3153620.4547964605</v>
      </c>
      <c r="AK3639" s="201">
        <f t="shared" si="1095"/>
        <v>0.1219464954593938</v>
      </c>
      <c r="AL3639" s="24"/>
      <c r="AM3639" s="24"/>
      <c r="AN3639" s="24"/>
      <c r="AO3639" s="24"/>
      <c r="AP3639" s="165" t="str">
        <f t="shared" si="1096"/>
        <v>202410</v>
      </c>
      <c r="AQ3639" s="203" t="str">
        <f t="shared" si="1097"/>
        <v>202410RMB</v>
      </c>
      <c r="AR3639" s="206" t="str">
        <f t="shared" si="1098"/>
        <v>YAMAHA_Mounter</v>
      </c>
      <c r="AS3639" s="22">
        <f t="shared" si="1099"/>
        <v>3</v>
      </c>
      <c r="AT3639" s="24" t="str">
        <f t="shared" si="1100"/>
        <v>0-3 months</v>
      </c>
    </row>
    <row r="3640" spans="1:46">
      <c r="A3640" s="33" t="str">
        <f t="shared" si="1091"/>
        <v>FY 24/25</v>
      </c>
      <c r="B3640" s="23">
        <v>2024</v>
      </c>
      <c r="C3640" s="23">
        <v>7</v>
      </c>
      <c r="D3640" s="202" t="str">
        <f t="shared" si="1101"/>
        <v>Q2</v>
      </c>
      <c r="E3640" s="33" t="str">
        <f t="shared" ref="E3640:E3671" si="1104">IF(G3640="Cancel","Cancel",IF(G3640="TBA","TBA",IFERROR(IF(I3640="Q4","FY "&amp;RIGHT(F3640,2)-1&amp;"/"&amp;RIGHT(F3640,2),"FY "&amp;RIGHT(F3640,2)&amp;"/"&amp;RIGHT(F3640,2)+1),"")))</f>
        <v>FY 24/25</v>
      </c>
      <c r="F3640" s="23">
        <v>2024</v>
      </c>
      <c r="G3640" s="23">
        <v>10</v>
      </c>
      <c r="H3640" s="29"/>
      <c r="I3640" s="204" t="str">
        <f t="shared" si="1092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90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103"/>
        <v>1.13</v>
      </c>
      <c r="Z3640" s="196">
        <f t="shared" si="1102"/>
        <v>446700</v>
      </c>
      <c r="AA3640" s="22">
        <v>1.1080000000000001</v>
      </c>
      <c r="AB3640" s="197">
        <f t="shared" si="1087"/>
        <v>438003.18584070809</v>
      </c>
      <c r="AC3640" s="198">
        <f t="shared" si="1093"/>
        <v>52560.382300884965</v>
      </c>
      <c r="AD3640" s="169">
        <v>0.12</v>
      </c>
      <c r="AE3640" s="199">
        <f t="shared" si="1094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82"/>
        <v>25860689.500884958</v>
      </c>
      <c r="AJ3640" s="200">
        <f t="shared" si="1083"/>
        <v>3153620.4547964605</v>
      </c>
      <c r="AK3640" s="201">
        <f t="shared" si="1095"/>
        <v>0.1219464954593938</v>
      </c>
      <c r="AL3640" s="24"/>
      <c r="AM3640" s="24"/>
      <c r="AN3640" s="24"/>
      <c r="AO3640" s="24"/>
      <c r="AP3640" s="165" t="str">
        <f t="shared" si="1096"/>
        <v>202410</v>
      </c>
      <c r="AQ3640" s="203" t="str">
        <f t="shared" si="1097"/>
        <v>202410RMB</v>
      </c>
      <c r="AR3640" s="206" t="str">
        <f t="shared" si="1098"/>
        <v>YAMAHA_Mounter</v>
      </c>
      <c r="AS3640" s="22">
        <f t="shared" si="1099"/>
        <v>3</v>
      </c>
      <c r="AT3640" s="24" t="str">
        <f t="shared" si="1100"/>
        <v>0-3 months</v>
      </c>
    </row>
    <row r="3641" spans="1:46" ht="42">
      <c r="A3641" s="33" t="str">
        <f t="shared" si="1091"/>
        <v/>
      </c>
      <c r="B3641" s="23"/>
      <c r="C3641" s="23"/>
      <c r="D3641" s="202" t="str">
        <f t="shared" si="1101"/>
        <v/>
      </c>
      <c r="E3641" s="33" t="str">
        <f t="shared" si="1104"/>
        <v>FY 24/25</v>
      </c>
      <c r="F3641" s="23">
        <v>2024</v>
      </c>
      <c r="G3641" s="23">
        <v>7</v>
      </c>
      <c r="H3641" s="29"/>
      <c r="I3641" s="204" t="str">
        <f t="shared" si="1092"/>
        <v>Q2</v>
      </c>
      <c r="J3641" s="188"/>
      <c r="K3641" s="29"/>
      <c r="L3641" s="17" t="s">
        <v>44</v>
      </c>
      <c r="M3641" s="22" t="s">
        <v>44</v>
      </c>
      <c r="N3641" s="22">
        <v>0</v>
      </c>
      <c r="O3641" s="22"/>
      <c r="P3641" s="202" t="str">
        <f t="shared" si="1090"/>
        <v>C66 SERVICE/OTHERS</v>
      </c>
      <c r="Q3641" s="22" t="s">
        <v>46</v>
      </c>
      <c r="R3641" s="22" t="s">
        <v>46</v>
      </c>
      <c r="S3641" s="22" t="s">
        <v>53</v>
      </c>
      <c r="T3641" s="22"/>
      <c r="U3641" s="22"/>
      <c r="V3641" s="22"/>
      <c r="W3641" s="22"/>
      <c r="X3641" s="104"/>
      <c r="Y3641" s="195" t="str">
        <f t="shared" si="1103"/>
        <v/>
      </c>
      <c r="Z3641" s="196" t="str">
        <f t="shared" si="1102"/>
        <v/>
      </c>
      <c r="AA3641" s="22"/>
      <c r="AB3641" s="197">
        <v>0</v>
      </c>
      <c r="AC3641" s="198">
        <f t="shared" si="1093"/>
        <v>0</v>
      </c>
      <c r="AD3641" s="162">
        <v>0.3</v>
      </c>
      <c r="AE3641" s="199">
        <f t="shared" si="1094"/>
        <v>0</v>
      </c>
      <c r="AF3641" s="199" t="str">
        <f>IF(AND(COUNTIFS($J$18:J3641,J3641)=1,AE3641=1),1,"")</f>
        <v/>
      </c>
      <c r="AG3641" s="199" t="str">
        <f>IF(C3641="","",IF(AND(COUNTIFS($J$18:J3641,J3641)=1,C3641&lt;&gt;""),1,""))</f>
        <v/>
      </c>
      <c r="AH3641" s="199" t="str">
        <f>IF(G3641="","",IF(AND(COUNTIFS($J$18:J3641,J3641)=1,G3641&lt;&gt;""),1,""))</f>
        <v/>
      </c>
      <c r="AI3641" s="200">
        <f t="shared" si="1082"/>
        <v>25458266.694690265</v>
      </c>
      <c r="AJ3641" s="200">
        <f t="shared" si="1083"/>
        <v>4116526.778578762</v>
      </c>
      <c r="AK3641" s="201">
        <f t="shared" si="1095"/>
        <v>0.16169705612508689</v>
      </c>
      <c r="AL3641" s="24"/>
      <c r="AM3641" s="24"/>
      <c r="AN3641" s="24"/>
      <c r="AO3641" s="24"/>
      <c r="AP3641" s="165" t="str">
        <f t="shared" si="1096"/>
        <v>20247</v>
      </c>
      <c r="AQ3641" s="203" t="str">
        <f t="shared" si="1097"/>
        <v/>
      </c>
      <c r="AR3641" s="206" t="str">
        <f t="shared" si="1098"/>
        <v>C66 SERVICE</v>
      </c>
      <c r="AS3641" s="22" t="str">
        <f t="shared" si="1099"/>
        <v/>
      </c>
      <c r="AT3641" s="24" t="str">
        <f t="shared" si="1100"/>
        <v/>
      </c>
    </row>
    <row r="3642" spans="1:46" ht="42">
      <c r="A3642" s="33" t="str">
        <f t="shared" si="1091"/>
        <v/>
      </c>
      <c r="B3642" s="23"/>
      <c r="C3642" s="23"/>
      <c r="D3642" s="202" t="str">
        <f t="shared" si="1101"/>
        <v/>
      </c>
      <c r="E3642" s="33" t="str">
        <f t="shared" si="1104"/>
        <v>FY 24/25</v>
      </c>
      <c r="F3642" s="23">
        <v>2024</v>
      </c>
      <c r="G3642" s="23">
        <v>7</v>
      </c>
      <c r="H3642" s="29"/>
      <c r="I3642" s="204" t="str">
        <f t="shared" si="1092"/>
        <v>Q2</v>
      </c>
      <c r="J3642" s="188"/>
      <c r="K3642" s="29"/>
      <c r="L3642" s="17" t="s">
        <v>44</v>
      </c>
      <c r="M3642" s="22" t="s">
        <v>44</v>
      </c>
      <c r="N3642" s="22">
        <v>0</v>
      </c>
      <c r="O3642" s="22"/>
      <c r="P3642" s="202" t="str">
        <f t="shared" si="1090"/>
        <v>C66 SERVICE/OTHERS</v>
      </c>
      <c r="Q3642" s="22" t="s">
        <v>46</v>
      </c>
      <c r="R3642" s="22" t="s">
        <v>46</v>
      </c>
      <c r="S3642" s="22" t="s">
        <v>52</v>
      </c>
      <c r="T3642" s="22"/>
      <c r="U3642" s="22"/>
      <c r="V3642" s="22"/>
      <c r="W3642" s="22"/>
      <c r="X3642" s="104"/>
      <c r="Y3642" s="195" t="str">
        <f t="shared" si="1103"/>
        <v/>
      </c>
      <c r="Z3642" s="196" t="str">
        <f t="shared" si="1102"/>
        <v/>
      </c>
      <c r="AA3642" s="22"/>
      <c r="AB3642" s="197">
        <v>69000</v>
      </c>
      <c r="AC3642" s="198">
        <f t="shared" si="1093"/>
        <v>20700</v>
      </c>
      <c r="AD3642" s="162">
        <v>0.3</v>
      </c>
      <c r="AE3642" s="199">
        <f t="shared" si="1094"/>
        <v>0</v>
      </c>
      <c r="AF3642" s="199" t="str">
        <f>IF(AND(COUNTIFS($J$18:J3642,J3642)=1,AE3642=1),1,"")</f>
        <v/>
      </c>
      <c r="AG3642" s="199" t="str">
        <f>IF(C3642="","",IF(AND(COUNTIFS($J$18:J3642,J3642)=1,C3642&lt;&gt;""),1,""))</f>
        <v/>
      </c>
      <c r="AH3642" s="199" t="str">
        <f>IF(G3642="","",IF(AND(COUNTIFS($J$18:J3642,J3642)=1,G3642&lt;&gt;""),1,""))</f>
        <v/>
      </c>
      <c r="AI3642" s="200">
        <f t="shared" si="1082"/>
        <v>25458266.694690265</v>
      </c>
      <c r="AJ3642" s="200">
        <f t="shared" si="1083"/>
        <v>4116526.778578762</v>
      </c>
      <c r="AK3642" s="201">
        <f t="shared" si="1095"/>
        <v>0.16169705612508689</v>
      </c>
      <c r="AL3642" s="24"/>
      <c r="AM3642" s="24"/>
      <c r="AN3642" s="24"/>
      <c r="AO3642" s="24"/>
      <c r="AP3642" s="165" t="str">
        <f t="shared" si="1096"/>
        <v>20247</v>
      </c>
      <c r="AQ3642" s="203" t="str">
        <f t="shared" si="1097"/>
        <v/>
      </c>
      <c r="AR3642" s="206" t="str">
        <f t="shared" si="1098"/>
        <v>C66 SERVICE</v>
      </c>
      <c r="AS3642" s="22" t="str">
        <f t="shared" si="1099"/>
        <v/>
      </c>
      <c r="AT3642" s="24" t="str">
        <f t="shared" si="1100"/>
        <v/>
      </c>
    </row>
    <row r="3643" spans="1:46" ht="42">
      <c r="A3643" s="33" t="str">
        <f t="shared" si="1091"/>
        <v/>
      </c>
      <c r="B3643" s="23"/>
      <c r="C3643" s="23"/>
      <c r="D3643" s="202" t="str">
        <f t="shared" si="1101"/>
        <v/>
      </c>
      <c r="E3643" s="33" t="str">
        <f t="shared" si="1104"/>
        <v>FY 24/25</v>
      </c>
      <c r="F3643" s="23">
        <v>2024</v>
      </c>
      <c r="G3643" s="23">
        <v>7</v>
      </c>
      <c r="H3643" s="29"/>
      <c r="I3643" s="204" t="str">
        <f t="shared" si="1092"/>
        <v>Q2</v>
      </c>
      <c r="J3643" s="188"/>
      <c r="K3643" s="29"/>
      <c r="L3643" s="17" t="s">
        <v>44</v>
      </c>
      <c r="M3643" s="22" t="s">
        <v>44</v>
      </c>
      <c r="N3643" s="22">
        <v>0</v>
      </c>
      <c r="O3643" s="22"/>
      <c r="P3643" s="202" t="str">
        <f t="shared" si="1090"/>
        <v>C66 SERVICE/OTHERS</v>
      </c>
      <c r="Q3643" s="22" t="s">
        <v>46</v>
      </c>
      <c r="R3643" s="22" t="s">
        <v>46</v>
      </c>
      <c r="S3643" s="22" t="s">
        <v>51</v>
      </c>
      <c r="T3643" s="22"/>
      <c r="U3643" s="22"/>
      <c r="V3643" s="22"/>
      <c r="W3643" s="22"/>
      <c r="X3643" s="104"/>
      <c r="Y3643" s="195" t="str">
        <f t="shared" si="1103"/>
        <v/>
      </c>
      <c r="Z3643" s="196" t="str">
        <f t="shared" si="1102"/>
        <v/>
      </c>
      <c r="AA3643" s="22"/>
      <c r="AB3643" s="197">
        <v>259000</v>
      </c>
      <c r="AC3643" s="198">
        <f t="shared" si="1093"/>
        <v>77700</v>
      </c>
      <c r="AD3643" s="162">
        <v>0.3</v>
      </c>
      <c r="AE3643" s="199">
        <f t="shared" si="1094"/>
        <v>0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82"/>
        <v>25458266.694690265</v>
      </c>
      <c r="AJ3643" s="200">
        <f t="shared" si="1083"/>
        <v>4116526.778578762</v>
      </c>
      <c r="AK3643" s="201">
        <f t="shared" si="1095"/>
        <v>0.16169705612508689</v>
      </c>
      <c r="AL3643" s="24"/>
      <c r="AM3643" s="24"/>
      <c r="AN3643" s="24"/>
      <c r="AO3643" s="24"/>
      <c r="AP3643" s="165" t="str">
        <f t="shared" si="1096"/>
        <v>20247</v>
      </c>
      <c r="AQ3643" s="203" t="str">
        <f t="shared" si="1097"/>
        <v/>
      </c>
      <c r="AR3643" s="206" t="str">
        <f t="shared" si="1098"/>
        <v>C66 SERVICE</v>
      </c>
      <c r="AS3643" s="22" t="str">
        <f t="shared" si="1099"/>
        <v/>
      </c>
      <c r="AT3643" s="24" t="str">
        <f t="shared" si="1100"/>
        <v/>
      </c>
    </row>
    <row r="3644" spans="1:46" ht="42">
      <c r="A3644" s="33" t="str">
        <f t="shared" si="1091"/>
        <v/>
      </c>
      <c r="B3644" s="23"/>
      <c r="C3644" s="23"/>
      <c r="D3644" s="202" t="str">
        <f t="shared" si="1101"/>
        <v/>
      </c>
      <c r="E3644" s="33" t="str">
        <f t="shared" si="1104"/>
        <v>FY 24/25</v>
      </c>
      <c r="F3644" s="23">
        <v>2024</v>
      </c>
      <c r="G3644" s="23">
        <v>7</v>
      </c>
      <c r="H3644" s="29"/>
      <c r="I3644" s="204" t="str">
        <f t="shared" si="1092"/>
        <v>Q2</v>
      </c>
      <c r="J3644" s="188"/>
      <c r="K3644" s="29"/>
      <c r="L3644" s="17" t="s">
        <v>44</v>
      </c>
      <c r="M3644" s="22" t="s">
        <v>44</v>
      </c>
      <c r="N3644" s="22">
        <v>0</v>
      </c>
      <c r="O3644" s="22"/>
      <c r="P3644" s="202" t="str">
        <f t="shared" si="1090"/>
        <v>C66 SERVICE/OTHERS</v>
      </c>
      <c r="Q3644" s="22" t="s">
        <v>46</v>
      </c>
      <c r="R3644" s="22" t="s">
        <v>46</v>
      </c>
      <c r="S3644" s="22" t="s">
        <v>50</v>
      </c>
      <c r="T3644" s="22"/>
      <c r="U3644" s="22"/>
      <c r="V3644" s="22"/>
      <c r="W3644" s="22"/>
      <c r="X3644" s="104"/>
      <c r="Y3644" s="195" t="str">
        <f t="shared" si="1103"/>
        <v/>
      </c>
      <c r="Z3644" s="196" t="str">
        <f t="shared" si="1102"/>
        <v/>
      </c>
      <c r="AA3644" s="22"/>
      <c r="AB3644" s="197">
        <v>225000</v>
      </c>
      <c r="AC3644" s="198">
        <f t="shared" si="1093"/>
        <v>67500</v>
      </c>
      <c r="AD3644" s="162">
        <v>0.3</v>
      </c>
      <c r="AE3644" s="199">
        <f t="shared" si="1094"/>
        <v>0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82"/>
        <v>25458266.694690265</v>
      </c>
      <c r="AJ3644" s="200">
        <f t="shared" si="1083"/>
        <v>4116526.778578762</v>
      </c>
      <c r="AK3644" s="201">
        <f t="shared" si="1095"/>
        <v>0.16169705612508689</v>
      </c>
      <c r="AL3644" s="24"/>
      <c r="AM3644" s="24"/>
      <c r="AN3644" s="24"/>
      <c r="AO3644" s="24"/>
      <c r="AP3644" s="165" t="str">
        <f t="shared" si="1096"/>
        <v>20247</v>
      </c>
      <c r="AQ3644" s="203" t="str">
        <f t="shared" si="1097"/>
        <v/>
      </c>
      <c r="AR3644" s="206" t="str">
        <f t="shared" si="1098"/>
        <v>C66 SERVICE</v>
      </c>
      <c r="AS3644" s="22" t="str">
        <f t="shared" si="1099"/>
        <v/>
      </c>
      <c r="AT3644" s="24" t="str">
        <f t="shared" si="1100"/>
        <v/>
      </c>
    </row>
    <row r="3645" spans="1:46">
      <c r="A3645" s="33" t="str">
        <f t="shared" si="1091"/>
        <v>FY 24/25</v>
      </c>
      <c r="B3645" s="23">
        <v>2024</v>
      </c>
      <c r="C3645" s="23">
        <v>8</v>
      </c>
      <c r="D3645" s="202" t="str">
        <f t="shared" si="1101"/>
        <v>Q2</v>
      </c>
      <c r="E3645" s="33" t="str">
        <f t="shared" si="1104"/>
        <v>FY 24/25</v>
      </c>
      <c r="F3645" s="23">
        <v>2024</v>
      </c>
      <c r="G3645" s="23">
        <v>10</v>
      </c>
      <c r="H3645" s="29"/>
      <c r="I3645" s="204" t="str">
        <f t="shared" si="1092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90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103"/>
        <v>1</v>
      </c>
      <c r="Z3645" s="196">
        <f t="shared" si="1102"/>
        <v>110000</v>
      </c>
      <c r="AA3645" s="22">
        <v>7.8</v>
      </c>
      <c r="AB3645" s="197">
        <f t="shared" ref="AB3645:AB3674" si="1105">IF(AND(R3645&lt;&gt;"C66",R3645&lt;&gt;""),Z3645/Y3645*AA3645,"")</f>
        <v>858000</v>
      </c>
      <c r="AC3645" s="198">
        <f t="shared" si="1093"/>
        <v>102960</v>
      </c>
      <c r="AD3645" s="169">
        <v>0.12</v>
      </c>
      <c r="AE3645" s="199">
        <f t="shared" si="1094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82"/>
        <v>25860689.500884958</v>
      </c>
      <c r="AJ3645" s="200">
        <f t="shared" si="1083"/>
        <v>3153620.4547964605</v>
      </c>
      <c r="AK3645" s="201">
        <f t="shared" si="1095"/>
        <v>0.1219464954593938</v>
      </c>
      <c r="AL3645" s="24"/>
      <c r="AM3645" s="24"/>
      <c r="AN3645" s="24"/>
      <c r="AO3645" s="24"/>
      <c r="AP3645" s="165" t="str">
        <f t="shared" si="1096"/>
        <v>202410</v>
      </c>
      <c r="AQ3645" s="203" t="str">
        <f t="shared" si="1097"/>
        <v>202410USD</v>
      </c>
      <c r="AR3645" s="206" t="str">
        <f t="shared" si="1098"/>
        <v>YAMAHA_Mounter</v>
      </c>
      <c r="AS3645" s="22">
        <f t="shared" si="1099"/>
        <v>2</v>
      </c>
      <c r="AT3645" s="24" t="str">
        <f t="shared" si="1100"/>
        <v>0-3 months</v>
      </c>
    </row>
    <row r="3646" spans="1:46">
      <c r="A3646" s="33" t="str">
        <f t="shared" si="1091"/>
        <v>FY 24/25</v>
      </c>
      <c r="B3646" s="23">
        <v>2024</v>
      </c>
      <c r="C3646" s="23">
        <v>8</v>
      </c>
      <c r="D3646" s="202" t="str">
        <f t="shared" si="1101"/>
        <v>Q2</v>
      </c>
      <c r="E3646" s="33" t="str">
        <f t="shared" si="1104"/>
        <v>FY 24/25</v>
      </c>
      <c r="F3646" s="23">
        <v>2024</v>
      </c>
      <c r="G3646" s="23">
        <v>10</v>
      </c>
      <c r="H3646" s="29"/>
      <c r="I3646" s="204" t="str">
        <f t="shared" si="1092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90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103"/>
        <v>1</v>
      </c>
      <c r="Z3646" s="196">
        <f t="shared" si="1102"/>
        <v>110000</v>
      </c>
      <c r="AA3646" s="22">
        <v>7.8</v>
      </c>
      <c r="AB3646" s="197">
        <f t="shared" si="1105"/>
        <v>858000</v>
      </c>
      <c r="AC3646" s="198">
        <f t="shared" si="1093"/>
        <v>102960</v>
      </c>
      <c r="AD3646" s="169">
        <v>0.12</v>
      </c>
      <c r="AE3646" s="199">
        <f t="shared" si="1094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82"/>
        <v>25860689.500884958</v>
      </c>
      <c r="AJ3646" s="200">
        <f t="shared" si="1083"/>
        <v>3153620.4547964605</v>
      </c>
      <c r="AK3646" s="201">
        <f t="shared" si="1095"/>
        <v>0.1219464954593938</v>
      </c>
      <c r="AL3646" s="24"/>
      <c r="AM3646" s="24"/>
      <c r="AN3646" s="24"/>
      <c r="AO3646" s="24"/>
      <c r="AP3646" s="165" t="str">
        <f t="shared" si="1096"/>
        <v>202410</v>
      </c>
      <c r="AQ3646" s="203" t="str">
        <f t="shared" si="1097"/>
        <v>202410USD</v>
      </c>
      <c r="AR3646" s="206" t="str">
        <f t="shared" si="1098"/>
        <v>YAMAHA_Mounter</v>
      </c>
      <c r="AS3646" s="22">
        <f t="shared" si="1099"/>
        <v>2</v>
      </c>
      <c r="AT3646" s="24" t="str">
        <f t="shared" si="1100"/>
        <v>0-3 months</v>
      </c>
    </row>
    <row r="3647" spans="1:46">
      <c r="A3647" s="33" t="str">
        <f t="shared" si="1091"/>
        <v>FY 24/25</v>
      </c>
      <c r="B3647" s="23">
        <v>2024</v>
      </c>
      <c r="C3647" s="23">
        <v>8</v>
      </c>
      <c r="D3647" s="202" t="str">
        <f t="shared" si="1101"/>
        <v>Q2</v>
      </c>
      <c r="E3647" s="33" t="str">
        <f t="shared" si="1104"/>
        <v>FY 24/25</v>
      </c>
      <c r="F3647" s="23">
        <v>2024</v>
      </c>
      <c r="G3647" s="23">
        <v>10</v>
      </c>
      <c r="H3647" s="29"/>
      <c r="I3647" s="204" t="str">
        <f t="shared" si="1092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90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103"/>
        <v>1</v>
      </c>
      <c r="Z3647" s="196">
        <f t="shared" si="1102"/>
        <v>76000</v>
      </c>
      <c r="AA3647" s="22">
        <v>7.8</v>
      </c>
      <c r="AB3647" s="197">
        <f t="shared" si="1105"/>
        <v>592800</v>
      </c>
      <c r="AC3647" s="198">
        <f t="shared" si="1093"/>
        <v>71136</v>
      </c>
      <c r="AD3647" s="169">
        <v>0.12</v>
      </c>
      <c r="AE3647" s="199">
        <f t="shared" si="1094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82"/>
        <v>25860689.500884958</v>
      </c>
      <c r="AJ3647" s="200">
        <f t="shared" si="1083"/>
        <v>3153620.4547964605</v>
      </c>
      <c r="AK3647" s="201">
        <f t="shared" si="1095"/>
        <v>0.1219464954593938</v>
      </c>
      <c r="AL3647" s="24"/>
      <c r="AM3647" s="24"/>
      <c r="AN3647" s="24"/>
      <c r="AO3647" s="24"/>
      <c r="AP3647" s="165" t="str">
        <f t="shared" si="1096"/>
        <v>202410</v>
      </c>
      <c r="AQ3647" s="203" t="str">
        <f t="shared" si="1097"/>
        <v>202410USD</v>
      </c>
      <c r="AR3647" s="206" t="str">
        <f t="shared" si="1098"/>
        <v>YAMAHA_Mounter</v>
      </c>
      <c r="AS3647" s="22">
        <f t="shared" si="1099"/>
        <v>2</v>
      </c>
      <c r="AT3647" s="24" t="str">
        <f t="shared" si="1100"/>
        <v>0-3 months</v>
      </c>
    </row>
    <row r="3648" spans="1:46">
      <c r="A3648" s="33" t="str">
        <f t="shared" si="1091"/>
        <v>FY 24/25</v>
      </c>
      <c r="B3648" s="23">
        <v>2024</v>
      </c>
      <c r="C3648" s="23">
        <v>8</v>
      </c>
      <c r="D3648" s="202" t="str">
        <f t="shared" si="1101"/>
        <v>Q2</v>
      </c>
      <c r="E3648" s="33" t="str">
        <f t="shared" si="1104"/>
        <v>FY 24/25</v>
      </c>
      <c r="F3648" s="23">
        <v>2024</v>
      </c>
      <c r="G3648" s="23">
        <v>10</v>
      </c>
      <c r="H3648" s="29"/>
      <c r="I3648" s="204" t="str">
        <f t="shared" si="1092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90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103"/>
        <v>1</v>
      </c>
      <c r="Z3648" s="196">
        <f t="shared" si="1102"/>
        <v>35000</v>
      </c>
      <c r="AA3648" s="22">
        <v>7.8</v>
      </c>
      <c r="AB3648" s="197">
        <f t="shared" si="1105"/>
        <v>273000</v>
      </c>
      <c r="AC3648" s="198">
        <f t="shared" si="1093"/>
        <v>32760</v>
      </c>
      <c r="AD3648" s="169">
        <v>0.12</v>
      </c>
      <c r="AE3648" s="199">
        <f t="shared" si="1094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82"/>
        <v>25860689.500884958</v>
      </c>
      <c r="AJ3648" s="200">
        <f t="shared" si="1083"/>
        <v>3153620.4547964605</v>
      </c>
      <c r="AK3648" s="201">
        <f t="shared" si="1095"/>
        <v>0.1219464954593938</v>
      </c>
      <c r="AL3648" s="24"/>
      <c r="AM3648" s="24"/>
      <c r="AN3648" s="24"/>
      <c r="AO3648" s="24"/>
      <c r="AP3648" s="165" t="str">
        <f t="shared" si="1096"/>
        <v>202410</v>
      </c>
      <c r="AQ3648" s="203" t="str">
        <f t="shared" si="1097"/>
        <v>202410USD</v>
      </c>
      <c r="AR3648" s="206" t="str">
        <f t="shared" si="1098"/>
        <v>YAMAHA_Non_Mounter</v>
      </c>
      <c r="AS3648" s="22">
        <f t="shared" si="1099"/>
        <v>2</v>
      </c>
      <c r="AT3648" s="24" t="str">
        <f t="shared" si="1100"/>
        <v>0-3 months</v>
      </c>
    </row>
    <row r="3649" spans="1:46">
      <c r="A3649" s="33" t="str">
        <f t="shared" si="1091"/>
        <v>FY 24/25</v>
      </c>
      <c r="B3649" s="23">
        <v>2024</v>
      </c>
      <c r="C3649" s="23">
        <v>8</v>
      </c>
      <c r="D3649" s="202" t="str">
        <f t="shared" si="1101"/>
        <v>Q2</v>
      </c>
      <c r="E3649" s="33" t="str">
        <f t="shared" si="1104"/>
        <v>FY 24/25</v>
      </c>
      <c r="F3649" s="23">
        <v>2024</v>
      </c>
      <c r="G3649" s="23">
        <v>10</v>
      </c>
      <c r="H3649" s="29"/>
      <c r="I3649" s="204" t="str">
        <f t="shared" si="1092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ref="P3649:P3674" si="1106">IF(M3649="","",IF(AND(N3649&gt;0,L3649&lt;&gt;""),"MAIN UNIT",IF(AND(O3649&gt;0,L3649&lt;&gt;""),"SERVICE/ PARTS","C66 SERVICE/OTHERS")))</f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103"/>
        <v>1</v>
      </c>
      <c r="Z3649" s="196">
        <f t="shared" si="1102"/>
        <v>79000</v>
      </c>
      <c r="AA3649" s="22">
        <v>7.8</v>
      </c>
      <c r="AB3649" s="197">
        <f t="shared" si="1105"/>
        <v>616200</v>
      </c>
      <c r="AC3649" s="198">
        <f t="shared" si="1093"/>
        <v>73944</v>
      </c>
      <c r="AD3649" s="169">
        <v>0.12</v>
      </c>
      <c r="AE3649" s="199">
        <f t="shared" si="1094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82"/>
        <v>25860689.500884958</v>
      </c>
      <c r="AJ3649" s="200">
        <f t="shared" si="1083"/>
        <v>3153620.4547964605</v>
      </c>
      <c r="AK3649" s="201">
        <f t="shared" si="1095"/>
        <v>0.1219464954593938</v>
      </c>
      <c r="AL3649" s="24"/>
      <c r="AM3649" s="24"/>
      <c r="AN3649" s="24"/>
      <c r="AO3649" s="24"/>
      <c r="AP3649" s="165" t="str">
        <f t="shared" si="1096"/>
        <v>202410</v>
      </c>
      <c r="AQ3649" s="203" t="str">
        <f t="shared" si="1097"/>
        <v>202410USD</v>
      </c>
      <c r="AR3649" s="206" t="str">
        <f t="shared" si="1098"/>
        <v>HELLER</v>
      </c>
      <c r="AS3649" s="22">
        <f t="shared" si="1099"/>
        <v>2</v>
      </c>
      <c r="AT3649" s="24" t="str">
        <f t="shared" si="1100"/>
        <v>0-3 months</v>
      </c>
    </row>
    <row r="3650" spans="1:46">
      <c r="A3650" s="33" t="str">
        <f t="shared" si="1091"/>
        <v>FY 24/25</v>
      </c>
      <c r="B3650" s="23">
        <v>2024</v>
      </c>
      <c r="C3650" s="23">
        <v>8</v>
      </c>
      <c r="D3650" s="202" t="str">
        <f t="shared" si="1101"/>
        <v>Q2</v>
      </c>
      <c r="E3650" s="33" t="str">
        <f t="shared" si="1104"/>
        <v>FY 24/25</v>
      </c>
      <c r="F3650" s="23">
        <v>2024</v>
      </c>
      <c r="G3650" s="23">
        <v>10</v>
      </c>
      <c r="H3650" s="29"/>
      <c r="I3650" s="204" t="str">
        <f t="shared" si="1092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106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103"/>
        <v>1</v>
      </c>
      <c r="Z3650" s="196">
        <f t="shared" si="1102"/>
        <v>86500</v>
      </c>
      <c r="AA3650" s="22">
        <v>7.8</v>
      </c>
      <c r="AB3650" s="197">
        <f t="shared" si="1105"/>
        <v>674700</v>
      </c>
      <c r="AC3650" s="198">
        <f t="shared" si="1093"/>
        <v>80964</v>
      </c>
      <c r="AD3650" s="169">
        <v>0.12</v>
      </c>
      <c r="AE3650" s="199">
        <f t="shared" si="1094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ref="AI3650:AI3713" si="1107">IF(P3650="C66 SERVICE","",SUMIFS(AB:AB,F:F,F3650,G:G,G3650,E:E,E3650))</f>
        <v>25860689.500884958</v>
      </c>
      <c r="AJ3650" s="200">
        <f t="shared" ref="AJ3650:AJ3713" si="1108">IF(P3650="C66 SERVICE","",SUMIFS(AC:AC,F:F,F3650,G:G,G3650,E:E,E3650))</f>
        <v>3153620.4547964605</v>
      </c>
      <c r="AK3650" s="201">
        <f t="shared" si="1095"/>
        <v>0.1219464954593938</v>
      </c>
      <c r="AL3650" s="24"/>
      <c r="AM3650" s="24"/>
      <c r="AN3650" s="24"/>
      <c r="AO3650" s="24"/>
      <c r="AP3650" s="165" t="str">
        <f t="shared" si="1096"/>
        <v>202410</v>
      </c>
      <c r="AQ3650" s="203" t="str">
        <f t="shared" si="1097"/>
        <v>202410USD</v>
      </c>
      <c r="AR3650" s="206" t="str">
        <f t="shared" si="1098"/>
        <v>YAMAHA_Non_Mounter</v>
      </c>
      <c r="AS3650" s="22">
        <f t="shared" si="1099"/>
        <v>2</v>
      </c>
      <c r="AT3650" s="24" t="str">
        <f t="shared" si="1100"/>
        <v>0-3 months</v>
      </c>
    </row>
    <row r="3651" spans="1:46">
      <c r="A3651" s="33" t="str">
        <f t="shared" si="1091"/>
        <v>FY 24/25</v>
      </c>
      <c r="B3651" s="23">
        <v>2024</v>
      </c>
      <c r="C3651" s="23">
        <v>8</v>
      </c>
      <c r="D3651" s="202" t="str">
        <f t="shared" si="1101"/>
        <v>Q2</v>
      </c>
      <c r="E3651" s="33" t="str">
        <f t="shared" si="1104"/>
        <v>FY 24/25</v>
      </c>
      <c r="F3651" s="23">
        <v>2024</v>
      </c>
      <c r="G3651" s="23">
        <v>11</v>
      </c>
      <c r="H3651" s="29"/>
      <c r="I3651" s="204" t="str">
        <f t="shared" si="1092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106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103"/>
        <v>1</v>
      </c>
      <c r="Z3651" s="196">
        <f t="shared" si="1102"/>
        <v>6000</v>
      </c>
      <c r="AA3651" s="22">
        <v>7.8</v>
      </c>
      <c r="AB3651" s="197">
        <f t="shared" si="1105"/>
        <v>46800</v>
      </c>
      <c r="AC3651" s="198">
        <f t="shared" si="1093"/>
        <v>5616</v>
      </c>
      <c r="AD3651" s="169">
        <v>0.12</v>
      </c>
      <c r="AE3651" s="199">
        <f t="shared" si="1094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107"/>
        <v>24129972.828771491</v>
      </c>
      <c r="AJ3651" s="200">
        <f t="shared" si="1108"/>
        <v>2880955.0890193055</v>
      </c>
      <c r="AK3651" s="201">
        <f t="shared" si="1095"/>
        <v>0.11939321728469518</v>
      </c>
      <c r="AL3651" s="24"/>
      <c r="AM3651" s="24"/>
      <c r="AN3651" s="24"/>
      <c r="AO3651" s="24"/>
      <c r="AP3651" s="165" t="str">
        <f t="shared" si="1096"/>
        <v>202411</v>
      </c>
      <c r="AQ3651" s="203" t="str">
        <f t="shared" si="1097"/>
        <v>202411USD</v>
      </c>
      <c r="AR3651" s="206" t="str">
        <f t="shared" si="1098"/>
        <v>SOLDERSTAR</v>
      </c>
      <c r="AS3651" s="22">
        <f t="shared" si="1099"/>
        <v>3</v>
      </c>
      <c r="AT3651" s="24" t="str">
        <f t="shared" si="1100"/>
        <v>0-3 months</v>
      </c>
    </row>
    <row r="3652" spans="1:46">
      <c r="A3652" s="33" t="str">
        <f t="shared" si="1091"/>
        <v>FY 24/25</v>
      </c>
      <c r="B3652" s="23">
        <v>2024</v>
      </c>
      <c r="C3652" s="23">
        <v>8</v>
      </c>
      <c r="D3652" s="202" t="str">
        <f t="shared" si="1101"/>
        <v>Q2</v>
      </c>
      <c r="E3652" s="33" t="str">
        <f t="shared" si="1104"/>
        <v>FY 24/25</v>
      </c>
      <c r="F3652" s="23">
        <v>2024</v>
      </c>
      <c r="G3652" s="23">
        <v>11</v>
      </c>
      <c r="H3652" s="29"/>
      <c r="I3652" s="204" t="str">
        <f t="shared" si="1092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106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103"/>
        <v>1</v>
      </c>
      <c r="Z3652" s="196">
        <f t="shared" si="1102"/>
        <v>13000000</v>
      </c>
      <c r="AA3652" s="22">
        <v>5.5599999999999997E-2</v>
      </c>
      <c r="AB3652" s="197">
        <f t="shared" si="1105"/>
        <v>722800</v>
      </c>
      <c r="AC3652" s="198">
        <f t="shared" si="1093"/>
        <v>86736</v>
      </c>
      <c r="AD3652" s="169">
        <v>0.12</v>
      </c>
      <c r="AE3652" s="199">
        <f t="shared" si="1094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107"/>
        <v>24129972.828771491</v>
      </c>
      <c r="AJ3652" s="200">
        <f t="shared" si="1108"/>
        <v>2880955.0890193055</v>
      </c>
      <c r="AK3652" s="201">
        <f t="shared" si="1095"/>
        <v>0.11939321728469518</v>
      </c>
      <c r="AL3652" s="24"/>
      <c r="AM3652" s="24"/>
      <c r="AN3652" s="24"/>
      <c r="AO3652" s="24"/>
      <c r="AP3652" s="165" t="str">
        <f t="shared" si="1096"/>
        <v>202411</v>
      </c>
      <c r="AQ3652" s="203" t="str">
        <f t="shared" si="1097"/>
        <v>202411JPY</v>
      </c>
      <c r="AR3652" s="206" t="str">
        <f t="shared" si="1098"/>
        <v>YAMAHA_Mounter</v>
      </c>
      <c r="AS3652" s="22">
        <f t="shared" si="1099"/>
        <v>3</v>
      </c>
      <c r="AT3652" s="24" t="str">
        <f t="shared" si="1100"/>
        <v>0-3 months</v>
      </c>
    </row>
    <row r="3653" spans="1:46">
      <c r="A3653" s="33" t="str">
        <f t="shared" si="1091"/>
        <v>FY 24/25</v>
      </c>
      <c r="B3653" s="23">
        <v>2024</v>
      </c>
      <c r="C3653" s="23">
        <v>8</v>
      </c>
      <c r="D3653" s="202" t="str">
        <f t="shared" si="1101"/>
        <v>Q2</v>
      </c>
      <c r="E3653" s="33" t="str">
        <f t="shared" si="1104"/>
        <v>FY 24/25</v>
      </c>
      <c r="F3653" s="23">
        <v>2024</v>
      </c>
      <c r="G3653" s="23">
        <v>11</v>
      </c>
      <c r="H3653" s="29"/>
      <c r="I3653" s="204" t="str">
        <f t="shared" si="1092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106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103"/>
        <v>1</v>
      </c>
      <c r="Z3653" s="196">
        <f t="shared" si="1102"/>
        <v>16000000</v>
      </c>
      <c r="AA3653" s="22">
        <v>5.5599999999999997E-2</v>
      </c>
      <c r="AB3653" s="197">
        <f t="shared" si="1105"/>
        <v>889600</v>
      </c>
      <c r="AC3653" s="198">
        <f t="shared" si="1093"/>
        <v>106752</v>
      </c>
      <c r="AD3653" s="169">
        <v>0.12</v>
      </c>
      <c r="AE3653" s="199">
        <f t="shared" si="1094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107"/>
        <v>24129972.828771491</v>
      </c>
      <c r="AJ3653" s="200">
        <f t="shared" si="1108"/>
        <v>2880955.0890193055</v>
      </c>
      <c r="AK3653" s="201">
        <f t="shared" si="1095"/>
        <v>0.11939321728469518</v>
      </c>
      <c r="AL3653" s="24"/>
      <c r="AM3653" s="24"/>
      <c r="AN3653" s="24"/>
      <c r="AO3653" s="24"/>
      <c r="AP3653" s="165" t="str">
        <f t="shared" si="1096"/>
        <v>202411</v>
      </c>
      <c r="AQ3653" s="203" t="str">
        <f t="shared" si="1097"/>
        <v>202411JPY</v>
      </c>
      <c r="AR3653" s="206" t="str">
        <f t="shared" si="1098"/>
        <v>YAMAHA_Mounter</v>
      </c>
      <c r="AS3653" s="22">
        <f t="shared" si="1099"/>
        <v>3</v>
      </c>
      <c r="AT3653" s="24" t="str">
        <f t="shared" si="1100"/>
        <v>0-3 months</v>
      </c>
    </row>
    <row r="3654" spans="1:46">
      <c r="A3654" s="33" t="str">
        <f t="shared" si="1091"/>
        <v>FY 24/25</v>
      </c>
      <c r="B3654" s="23">
        <v>2024</v>
      </c>
      <c r="C3654" s="23">
        <v>8</v>
      </c>
      <c r="D3654" s="202" t="str">
        <f t="shared" si="1101"/>
        <v>Q2</v>
      </c>
      <c r="E3654" s="33" t="str">
        <f t="shared" si="1104"/>
        <v>FY 24/25</v>
      </c>
      <c r="F3654" s="23">
        <v>2024</v>
      </c>
      <c r="G3654" s="23">
        <v>11</v>
      </c>
      <c r="H3654" s="29"/>
      <c r="I3654" s="204" t="str">
        <f t="shared" si="1092"/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106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103"/>
        <v>1</v>
      </c>
      <c r="Z3654" s="196">
        <f t="shared" si="1102"/>
        <v>16000000</v>
      </c>
      <c r="AA3654" s="22">
        <v>5.5599999999999997E-2</v>
      </c>
      <c r="AB3654" s="197">
        <f t="shared" si="1105"/>
        <v>889600</v>
      </c>
      <c r="AC3654" s="198">
        <f t="shared" si="1093"/>
        <v>106752</v>
      </c>
      <c r="AD3654" s="169">
        <v>0.12</v>
      </c>
      <c r="AE3654" s="199">
        <f t="shared" si="1094"/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107"/>
        <v>24129972.828771491</v>
      </c>
      <c r="AJ3654" s="200">
        <f t="shared" si="1108"/>
        <v>2880955.0890193055</v>
      </c>
      <c r="AK3654" s="201">
        <f t="shared" si="1095"/>
        <v>0.11939321728469518</v>
      </c>
      <c r="AL3654" s="24"/>
      <c r="AM3654" s="24"/>
      <c r="AN3654" s="24"/>
      <c r="AO3654" s="24"/>
      <c r="AP3654" s="165" t="str">
        <f t="shared" si="1096"/>
        <v>202411</v>
      </c>
      <c r="AQ3654" s="203" t="str">
        <f t="shared" si="1097"/>
        <v>202411JPY</v>
      </c>
      <c r="AR3654" s="206" t="str">
        <f t="shared" si="1098"/>
        <v>YAMAHA_Mounter</v>
      </c>
      <c r="AS3654" s="22">
        <f t="shared" si="1099"/>
        <v>3</v>
      </c>
      <c r="AT3654" s="24" t="str">
        <f t="shared" si="1100"/>
        <v>0-3 months</v>
      </c>
    </row>
    <row r="3655" spans="1:46">
      <c r="A3655" s="33" t="str">
        <f t="shared" si="1091"/>
        <v>FY 24/25</v>
      </c>
      <c r="B3655" s="23">
        <v>2024</v>
      </c>
      <c r="C3655" s="23">
        <v>8</v>
      </c>
      <c r="D3655" s="202" t="str">
        <f t="shared" si="1101"/>
        <v>Q2</v>
      </c>
      <c r="E3655" s="33" t="str">
        <f t="shared" si="1104"/>
        <v>FY 24/25</v>
      </c>
      <c r="F3655" s="23">
        <v>2024</v>
      </c>
      <c r="G3655" s="23">
        <v>11</v>
      </c>
      <c r="H3655" s="29"/>
      <c r="I3655" s="204" t="str">
        <f t="shared" si="1092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106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103"/>
        <v>1</v>
      </c>
      <c r="Z3655" s="196">
        <f t="shared" si="1102"/>
        <v>16000000</v>
      </c>
      <c r="AA3655" s="22">
        <v>5.5599999999999997E-2</v>
      </c>
      <c r="AB3655" s="197">
        <f t="shared" si="1105"/>
        <v>889600</v>
      </c>
      <c r="AC3655" s="198">
        <f t="shared" si="1093"/>
        <v>106752</v>
      </c>
      <c r="AD3655" s="169">
        <v>0.12</v>
      </c>
      <c r="AE3655" s="199">
        <f t="shared" si="1094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107"/>
        <v>24129972.828771491</v>
      </c>
      <c r="AJ3655" s="200">
        <f t="shared" si="1108"/>
        <v>2880955.0890193055</v>
      </c>
      <c r="AK3655" s="201">
        <f t="shared" si="1095"/>
        <v>0.11939321728469518</v>
      </c>
      <c r="AL3655" s="24"/>
      <c r="AM3655" s="24"/>
      <c r="AN3655" s="24"/>
      <c r="AO3655" s="24"/>
      <c r="AP3655" s="165" t="str">
        <f t="shared" si="1096"/>
        <v>202411</v>
      </c>
      <c r="AQ3655" s="203" t="str">
        <f t="shared" si="1097"/>
        <v>202411JPY</v>
      </c>
      <c r="AR3655" s="206" t="str">
        <f t="shared" si="1098"/>
        <v>YAMAHA_Mounter</v>
      </c>
      <c r="AS3655" s="22">
        <f t="shared" si="1099"/>
        <v>3</v>
      </c>
      <c r="AT3655" s="24" t="str">
        <f t="shared" si="1100"/>
        <v>0-3 months</v>
      </c>
    </row>
    <row r="3656" spans="1:46">
      <c r="A3656" s="33" t="str">
        <f t="shared" si="1091"/>
        <v>FY 24/25</v>
      </c>
      <c r="B3656" s="23">
        <v>2024</v>
      </c>
      <c r="C3656" s="23">
        <v>8</v>
      </c>
      <c r="D3656" s="202" t="str">
        <f t="shared" si="1101"/>
        <v>Q2</v>
      </c>
      <c r="E3656" s="33" t="str">
        <f t="shared" si="1104"/>
        <v>FY 24/25</v>
      </c>
      <c r="F3656" s="23">
        <v>2024</v>
      </c>
      <c r="G3656" s="23">
        <v>11</v>
      </c>
      <c r="H3656" s="29"/>
      <c r="I3656" s="204" t="str">
        <f t="shared" si="1092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106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103"/>
        <v>1</v>
      </c>
      <c r="Z3656" s="196">
        <f t="shared" si="1102"/>
        <v>10750000</v>
      </c>
      <c r="AA3656" s="22">
        <v>5.5599999999999997E-2</v>
      </c>
      <c r="AB3656" s="197">
        <f t="shared" si="1105"/>
        <v>597700</v>
      </c>
      <c r="AC3656" s="198">
        <f t="shared" si="1093"/>
        <v>71724</v>
      </c>
      <c r="AD3656" s="169">
        <v>0.12</v>
      </c>
      <c r="AE3656" s="199">
        <f t="shared" si="1094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107"/>
        <v>24129972.828771491</v>
      </c>
      <c r="AJ3656" s="200">
        <f t="shared" si="1108"/>
        <v>2880955.0890193055</v>
      </c>
      <c r="AK3656" s="201">
        <f t="shared" si="1095"/>
        <v>0.11939321728469518</v>
      </c>
      <c r="AL3656" s="24"/>
      <c r="AM3656" s="24"/>
      <c r="AN3656" s="24"/>
      <c r="AO3656" s="24"/>
      <c r="AP3656" s="165" t="str">
        <f t="shared" si="1096"/>
        <v>202411</v>
      </c>
      <c r="AQ3656" s="203" t="str">
        <f t="shared" si="1097"/>
        <v>202411JPY</v>
      </c>
      <c r="AR3656" s="206" t="str">
        <f t="shared" si="1098"/>
        <v>YAMAHA_Mounter</v>
      </c>
      <c r="AS3656" s="22">
        <f t="shared" si="1099"/>
        <v>3</v>
      </c>
      <c r="AT3656" s="24" t="str">
        <f t="shared" si="1100"/>
        <v>0-3 months</v>
      </c>
    </row>
    <row r="3657" spans="1:46">
      <c r="A3657" s="33" t="str">
        <f t="shared" si="1091"/>
        <v>FY 24/25</v>
      </c>
      <c r="B3657" s="23">
        <v>2024</v>
      </c>
      <c r="C3657" s="23">
        <v>8</v>
      </c>
      <c r="D3657" s="202" t="str">
        <f t="shared" si="1101"/>
        <v>Q2</v>
      </c>
      <c r="E3657" s="33" t="str">
        <f t="shared" si="1104"/>
        <v>FY 24/25</v>
      </c>
      <c r="F3657" s="23">
        <v>2024</v>
      </c>
      <c r="G3657" s="23">
        <v>11</v>
      </c>
      <c r="H3657" s="29"/>
      <c r="I3657" s="204" t="str">
        <f t="shared" si="1092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106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103"/>
        <v>1</v>
      </c>
      <c r="Z3657" s="196">
        <f t="shared" si="1102"/>
        <v>10750000</v>
      </c>
      <c r="AA3657" s="22">
        <v>5.5599999999999997E-2</v>
      </c>
      <c r="AB3657" s="197">
        <f t="shared" si="1105"/>
        <v>597700</v>
      </c>
      <c r="AC3657" s="198">
        <f t="shared" si="1093"/>
        <v>71724</v>
      </c>
      <c r="AD3657" s="169">
        <v>0.12</v>
      </c>
      <c r="AE3657" s="199">
        <f t="shared" si="1094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107"/>
        <v>24129972.828771491</v>
      </c>
      <c r="AJ3657" s="200">
        <f t="shared" si="1108"/>
        <v>2880955.0890193055</v>
      </c>
      <c r="AK3657" s="201">
        <f t="shared" si="1095"/>
        <v>0.11939321728469518</v>
      </c>
      <c r="AL3657" s="24"/>
      <c r="AM3657" s="24"/>
      <c r="AN3657" s="24"/>
      <c r="AO3657" s="24"/>
      <c r="AP3657" s="165" t="str">
        <f t="shared" si="1096"/>
        <v>202411</v>
      </c>
      <c r="AQ3657" s="203" t="str">
        <f t="shared" si="1097"/>
        <v>202411JPY</v>
      </c>
      <c r="AR3657" s="206" t="str">
        <f t="shared" si="1098"/>
        <v>YAMAHA_Mounter</v>
      </c>
      <c r="AS3657" s="22">
        <f t="shared" si="1099"/>
        <v>3</v>
      </c>
      <c r="AT3657" s="24" t="str">
        <f t="shared" si="1100"/>
        <v>0-3 months</v>
      </c>
    </row>
    <row r="3658" spans="1:46">
      <c r="A3658" s="33" t="str">
        <f t="shared" si="1091"/>
        <v>FY 24/25</v>
      </c>
      <c r="B3658" s="23">
        <v>2024</v>
      </c>
      <c r="C3658" s="23">
        <v>8</v>
      </c>
      <c r="D3658" s="202" t="str">
        <f t="shared" si="1101"/>
        <v>Q2</v>
      </c>
      <c r="E3658" s="33" t="str">
        <f t="shared" si="1104"/>
        <v>FY 24/25</v>
      </c>
      <c r="F3658" s="23">
        <v>2024</v>
      </c>
      <c r="G3658" s="23">
        <v>11</v>
      </c>
      <c r="H3658" s="29"/>
      <c r="I3658" s="204" t="str">
        <f t="shared" si="1092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106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103"/>
        <v>1</v>
      </c>
      <c r="Z3658" s="196">
        <f t="shared" si="1102"/>
        <v>10750000</v>
      </c>
      <c r="AA3658" s="22">
        <v>5.5599999999999997E-2</v>
      </c>
      <c r="AB3658" s="197">
        <f t="shared" si="1105"/>
        <v>597700</v>
      </c>
      <c r="AC3658" s="198">
        <f t="shared" si="1093"/>
        <v>71724</v>
      </c>
      <c r="AD3658" s="169">
        <v>0.12</v>
      </c>
      <c r="AE3658" s="199">
        <f t="shared" si="1094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107"/>
        <v>24129972.828771491</v>
      </c>
      <c r="AJ3658" s="200">
        <f t="shared" si="1108"/>
        <v>2880955.0890193055</v>
      </c>
      <c r="AK3658" s="201">
        <f t="shared" si="1095"/>
        <v>0.11939321728469518</v>
      </c>
      <c r="AL3658" s="24"/>
      <c r="AM3658" s="24"/>
      <c r="AN3658" s="24"/>
      <c r="AO3658" s="24"/>
      <c r="AP3658" s="165" t="str">
        <f t="shared" si="1096"/>
        <v>202411</v>
      </c>
      <c r="AQ3658" s="203" t="str">
        <f t="shared" si="1097"/>
        <v>202411JPY</v>
      </c>
      <c r="AR3658" s="206" t="str">
        <f t="shared" si="1098"/>
        <v>YAMAHA_Mounter</v>
      </c>
      <c r="AS3658" s="22">
        <f t="shared" si="1099"/>
        <v>3</v>
      </c>
      <c r="AT3658" s="24" t="str">
        <f t="shared" si="1100"/>
        <v>0-3 months</v>
      </c>
    </row>
    <row r="3659" spans="1:46">
      <c r="A3659" s="33" t="str">
        <f t="shared" si="1091"/>
        <v>FY 24/25</v>
      </c>
      <c r="B3659" s="23">
        <v>2024</v>
      </c>
      <c r="C3659" s="23">
        <v>8</v>
      </c>
      <c r="D3659" s="202" t="str">
        <f t="shared" si="1101"/>
        <v>Q2</v>
      </c>
      <c r="E3659" s="33" t="str">
        <f t="shared" si="1104"/>
        <v>FY 24/25</v>
      </c>
      <c r="F3659" s="23">
        <v>2024</v>
      </c>
      <c r="G3659" s="23">
        <v>11</v>
      </c>
      <c r="H3659" s="29"/>
      <c r="I3659" s="204" t="str">
        <f t="shared" si="1092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106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103"/>
        <v>1</v>
      </c>
      <c r="Z3659" s="196">
        <f t="shared" si="1102"/>
        <v>10750000</v>
      </c>
      <c r="AA3659" s="22">
        <v>5.5599999999999997E-2</v>
      </c>
      <c r="AB3659" s="197">
        <f t="shared" si="1105"/>
        <v>597700</v>
      </c>
      <c r="AC3659" s="198">
        <f t="shared" si="1093"/>
        <v>71724</v>
      </c>
      <c r="AD3659" s="169">
        <v>0.12</v>
      </c>
      <c r="AE3659" s="199">
        <f t="shared" si="1094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107"/>
        <v>24129972.828771491</v>
      </c>
      <c r="AJ3659" s="200">
        <f t="shared" si="1108"/>
        <v>2880955.0890193055</v>
      </c>
      <c r="AK3659" s="201">
        <f t="shared" si="1095"/>
        <v>0.11939321728469518</v>
      </c>
      <c r="AL3659" s="24"/>
      <c r="AM3659" s="24"/>
      <c r="AN3659" s="24"/>
      <c r="AO3659" s="24"/>
      <c r="AP3659" s="165" t="str">
        <f t="shared" si="1096"/>
        <v>202411</v>
      </c>
      <c r="AQ3659" s="203" t="str">
        <f t="shared" si="1097"/>
        <v>202411JPY</v>
      </c>
      <c r="AR3659" s="206" t="str">
        <f t="shared" si="1098"/>
        <v>YAMAHA_Mounter</v>
      </c>
      <c r="AS3659" s="22">
        <f t="shared" si="1099"/>
        <v>3</v>
      </c>
      <c r="AT3659" s="24" t="str">
        <f t="shared" si="1100"/>
        <v>0-3 months</v>
      </c>
    </row>
    <row r="3660" spans="1:46">
      <c r="A3660" s="33" t="str">
        <f t="shared" si="1091"/>
        <v>FY 24/25</v>
      </c>
      <c r="B3660" s="23">
        <v>2024</v>
      </c>
      <c r="C3660" s="23">
        <v>8</v>
      </c>
      <c r="D3660" s="202" t="str">
        <f t="shared" si="1101"/>
        <v>Q2</v>
      </c>
      <c r="E3660" s="33" t="str">
        <f t="shared" si="1104"/>
        <v>FY 24/25</v>
      </c>
      <c r="F3660" s="23">
        <v>2024</v>
      </c>
      <c r="G3660" s="23">
        <v>10</v>
      </c>
      <c r="H3660" s="29"/>
      <c r="I3660" s="204" t="str">
        <f t="shared" si="1092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106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103"/>
        <v>1</v>
      </c>
      <c r="Z3660" s="196">
        <f t="shared" si="1102"/>
        <v>13500000</v>
      </c>
      <c r="AA3660" s="22">
        <v>5.5599999999999997E-2</v>
      </c>
      <c r="AB3660" s="197">
        <f t="shared" si="1105"/>
        <v>750600</v>
      </c>
      <c r="AC3660" s="198">
        <f t="shared" si="1093"/>
        <v>90072</v>
      </c>
      <c r="AD3660" s="169">
        <v>0.12</v>
      </c>
      <c r="AE3660" s="199">
        <f t="shared" si="1094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107"/>
        <v>25860689.500884958</v>
      </c>
      <c r="AJ3660" s="200">
        <f t="shared" si="1108"/>
        <v>3153620.4547964605</v>
      </c>
      <c r="AK3660" s="201">
        <f t="shared" si="1095"/>
        <v>0.1219464954593938</v>
      </c>
      <c r="AL3660" s="24"/>
      <c r="AM3660" s="24"/>
      <c r="AN3660" s="24"/>
      <c r="AO3660" s="24"/>
      <c r="AP3660" s="165" t="str">
        <f t="shared" si="1096"/>
        <v>202410</v>
      </c>
      <c r="AQ3660" s="203" t="str">
        <f t="shared" si="1097"/>
        <v>202410JPY</v>
      </c>
      <c r="AR3660" s="206" t="str">
        <f t="shared" si="1098"/>
        <v>YAMAHA_Mounter</v>
      </c>
      <c r="AS3660" s="22">
        <f t="shared" si="1099"/>
        <v>2</v>
      </c>
      <c r="AT3660" s="24" t="str">
        <f t="shared" si="1100"/>
        <v>0-3 months</v>
      </c>
    </row>
    <row r="3661" spans="1:46">
      <c r="A3661" s="33" t="str">
        <f t="shared" si="1091"/>
        <v>FY 24/25</v>
      </c>
      <c r="B3661" s="23">
        <v>2024</v>
      </c>
      <c r="C3661" s="23">
        <v>8</v>
      </c>
      <c r="D3661" s="202" t="str">
        <f t="shared" si="1101"/>
        <v>Q2</v>
      </c>
      <c r="E3661" s="33" t="str">
        <f t="shared" si="1104"/>
        <v>FY 24/25</v>
      </c>
      <c r="F3661" s="23">
        <v>2024</v>
      </c>
      <c r="G3661" s="23">
        <v>11</v>
      </c>
      <c r="H3661" s="29"/>
      <c r="I3661" s="204" t="str">
        <f t="shared" si="1092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106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103"/>
        <v>1.13</v>
      </c>
      <c r="Z3661" s="196">
        <f t="shared" si="1102"/>
        <v>530000</v>
      </c>
      <c r="AA3661" s="22">
        <v>1.1080000000000001</v>
      </c>
      <c r="AB3661" s="197">
        <f t="shared" si="1105"/>
        <v>519681.41592920362</v>
      </c>
      <c r="AC3661" s="198">
        <f t="shared" si="1093"/>
        <v>62361.769911504431</v>
      </c>
      <c r="AD3661" s="169">
        <v>0.12</v>
      </c>
      <c r="AE3661" s="199">
        <f t="shared" si="1094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107"/>
        <v>24129972.828771491</v>
      </c>
      <c r="AJ3661" s="200">
        <f t="shared" si="1108"/>
        <v>2880955.0890193055</v>
      </c>
      <c r="AK3661" s="201">
        <f t="shared" si="1095"/>
        <v>0.11939321728469518</v>
      </c>
      <c r="AL3661" s="24"/>
      <c r="AM3661" s="24"/>
      <c r="AN3661" s="24"/>
      <c r="AO3661" s="24"/>
      <c r="AP3661" s="165" t="str">
        <f t="shared" si="1096"/>
        <v>202411</v>
      </c>
      <c r="AQ3661" s="203" t="str">
        <f t="shared" si="1097"/>
        <v>202411RMB</v>
      </c>
      <c r="AR3661" s="206" t="str">
        <f t="shared" si="1098"/>
        <v>YAMAHA_Mounter</v>
      </c>
      <c r="AS3661" s="22">
        <f t="shared" si="1099"/>
        <v>3</v>
      </c>
      <c r="AT3661" s="24" t="str">
        <f t="shared" si="1100"/>
        <v>0-3 months</v>
      </c>
    </row>
    <row r="3662" spans="1:46">
      <c r="A3662" s="33" t="str">
        <f t="shared" si="1091"/>
        <v>FY 24/25</v>
      </c>
      <c r="B3662" s="23">
        <v>2024</v>
      </c>
      <c r="C3662" s="23">
        <v>8</v>
      </c>
      <c r="D3662" s="202" t="str">
        <f t="shared" si="1101"/>
        <v>Q2</v>
      </c>
      <c r="E3662" s="33" t="str">
        <f t="shared" si="1104"/>
        <v>FY 24/25</v>
      </c>
      <c r="F3662" s="23">
        <v>2024</v>
      </c>
      <c r="G3662" s="23">
        <v>10</v>
      </c>
      <c r="H3662" s="29"/>
      <c r="I3662" s="204" t="str">
        <f t="shared" si="1092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106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103"/>
        <v>1.13</v>
      </c>
      <c r="Z3662" s="196">
        <f t="shared" si="1102"/>
        <v>620000</v>
      </c>
      <c r="AA3662" s="22">
        <v>1.1080000000000001</v>
      </c>
      <c r="AB3662" s="197">
        <f t="shared" si="1105"/>
        <v>607929.20353982318</v>
      </c>
      <c r="AC3662" s="198">
        <f t="shared" si="1093"/>
        <v>72951.504424778774</v>
      </c>
      <c r="AD3662" s="169">
        <v>0.12</v>
      </c>
      <c r="AE3662" s="199">
        <f t="shared" si="1094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107"/>
        <v>25860689.500884958</v>
      </c>
      <c r="AJ3662" s="200">
        <f t="shared" si="1108"/>
        <v>3153620.4547964605</v>
      </c>
      <c r="AK3662" s="201">
        <f t="shared" si="1095"/>
        <v>0.1219464954593938</v>
      </c>
      <c r="AL3662" s="24"/>
      <c r="AM3662" s="24"/>
      <c r="AN3662" s="24"/>
      <c r="AO3662" s="24"/>
      <c r="AP3662" s="165" t="str">
        <f t="shared" si="1096"/>
        <v>202410</v>
      </c>
      <c r="AQ3662" s="203" t="str">
        <f t="shared" si="1097"/>
        <v>202410RMB</v>
      </c>
      <c r="AR3662" s="206" t="str">
        <f t="shared" si="1098"/>
        <v>YAMAHA_Mounter</v>
      </c>
      <c r="AS3662" s="22">
        <f t="shared" si="1099"/>
        <v>2</v>
      </c>
      <c r="AT3662" s="24" t="str">
        <f t="shared" si="1100"/>
        <v>0-3 months</v>
      </c>
    </row>
    <row r="3663" spans="1:46">
      <c r="A3663" s="33" t="str">
        <f t="shared" si="1091"/>
        <v>FY 24/25</v>
      </c>
      <c r="B3663" s="23">
        <v>2024</v>
      </c>
      <c r="C3663" s="23">
        <v>8</v>
      </c>
      <c r="D3663" s="202" t="str">
        <f t="shared" si="1101"/>
        <v>Q2</v>
      </c>
      <c r="E3663" s="33" t="str">
        <f t="shared" si="1104"/>
        <v>FY 24/25</v>
      </c>
      <c r="F3663" s="23">
        <v>2024</v>
      </c>
      <c r="G3663" s="23">
        <v>11</v>
      </c>
      <c r="H3663" s="29"/>
      <c r="I3663" s="204" t="str">
        <f t="shared" si="1092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106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103"/>
        <v>1.13</v>
      </c>
      <c r="Z3663" s="196">
        <f t="shared" si="1102"/>
        <v>850000</v>
      </c>
      <c r="AA3663" s="22">
        <v>1.1080000000000001</v>
      </c>
      <c r="AB3663" s="197">
        <f t="shared" si="1105"/>
        <v>833451.3274336285</v>
      </c>
      <c r="AC3663" s="198">
        <f t="shared" si="1093"/>
        <v>100014.15929203542</v>
      </c>
      <c r="AD3663" s="169">
        <v>0.12</v>
      </c>
      <c r="AE3663" s="199">
        <f t="shared" si="1094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107"/>
        <v>24129972.828771491</v>
      </c>
      <c r="AJ3663" s="200">
        <f t="shared" si="1108"/>
        <v>2880955.0890193055</v>
      </c>
      <c r="AK3663" s="201">
        <f t="shared" si="1095"/>
        <v>0.11939321728469518</v>
      </c>
      <c r="AL3663" s="24"/>
      <c r="AM3663" s="24"/>
      <c r="AN3663" s="24"/>
      <c r="AO3663" s="24"/>
      <c r="AP3663" s="165" t="str">
        <f t="shared" si="1096"/>
        <v>202411</v>
      </c>
      <c r="AQ3663" s="203" t="str">
        <f t="shared" si="1097"/>
        <v>202411RMB</v>
      </c>
      <c r="AR3663" s="206" t="str">
        <f t="shared" si="1098"/>
        <v>YAMAHA_Mounter</v>
      </c>
      <c r="AS3663" s="22">
        <f t="shared" si="1099"/>
        <v>3</v>
      </c>
      <c r="AT3663" s="24" t="str">
        <f t="shared" si="1100"/>
        <v>0-3 months</v>
      </c>
    </row>
    <row r="3664" spans="1:46">
      <c r="A3664" s="33" t="str">
        <f t="shared" si="1091"/>
        <v>FY 24/25</v>
      </c>
      <c r="B3664" s="23">
        <v>2024</v>
      </c>
      <c r="C3664" s="23">
        <v>8</v>
      </c>
      <c r="D3664" s="202" t="str">
        <f t="shared" si="1101"/>
        <v>Q2</v>
      </c>
      <c r="E3664" s="33" t="str">
        <f t="shared" si="1104"/>
        <v>FY 24/25</v>
      </c>
      <c r="F3664" s="23">
        <v>2024</v>
      </c>
      <c r="G3664" s="23">
        <v>9</v>
      </c>
      <c r="H3664" s="29"/>
      <c r="I3664" s="204" t="str">
        <f t="shared" si="1092"/>
        <v>Q2</v>
      </c>
      <c r="J3664" s="188" t="s">
        <v>3539</v>
      </c>
      <c r="K3664" s="29" t="s">
        <v>3540</v>
      </c>
      <c r="L3664" s="24" t="s">
        <v>93</v>
      </c>
      <c r="M3664" s="13" t="s">
        <v>61</v>
      </c>
      <c r="N3664" s="13">
        <v>1</v>
      </c>
      <c r="O3664" s="22"/>
      <c r="P3664" s="202" t="str">
        <f t="shared" si="1106"/>
        <v>MAIN UNIT</v>
      </c>
      <c r="Q3664" s="22" t="s">
        <v>62</v>
      </c>
      <c r="R3664" s="22" t="s">
        <v>63</v>
      </c>
      <c r="S3664" s="22" t="s">
        <v>50</v>
      </c>
      <c r="T3664" s="22" t="s">
        <v>79</v>
      </c>
      <c r="U3664" s="22" t="s">
        <v>121</v>
      </c>
      <c r="V3664" s="22" t="s">
        <v>81</v>
      </c>
      <c r="W3664" s="22" t="s">
        <v>65</v>
      </c>
      <c r="X3664" s="104">
        <v>780000</v>
      </c>
      <c r="Y3664" s="195" t="str">
        <f t="shared" si="1103"/>
        <v>1.13</v>
      </c>
      <c r="Z3664" s="196">
        <f t="shared" si="1102"/>
        <v>780000</v>
      </c>
      <c r="AA3664" s="22">
        <v>1.0980000000000001</v>
      </c>
      <c r="AB3664" s="197">
        <f t="shared" si="1105"/>
        <v>757911.50442477886</v>
      </c>
      <c r="AC3664" s="198">
        <f t="shared" si="1093"/>
        <v>94738.938053097358</v>
      </c>
      <c r="AD3664" s="170">
        <v>0.125</v>
      </c>
      <c r="AE3664" s="199">
        <f t="shared" si="1094"/>
        <v>0</v>
      </c>
      <c r="AF3664" s="199" t="str">
        <f>IF(AND(COUNTIFS($J$18:J3664,J3664)=1,AE3664=1),1,"")</f>
        <v/>
      </c>
      <c r="AG3664" s="199">
        <f>IF(C3664="","",IF(AND(COUNTIFS($J$18:J3664,J3664)=1,C3664&lt;&gt;""),1,""))</f>
        <v>1</v>
      </c>
      <c r="AH3664" s="199">
        <f>IF(G3664="","",IF(AND(COUNTIFS($J$18:J3664,J3664)=1,G3664&lt;&gt;""),1,""))</f>
        <v>1</v>
      </c>
      <c r="AI3664" s="200">
        <f t="shared" si="1107"/>
        <v>35931087.732566379</v>
      </c>
      <c r="AJ3664" s="200">
        <f t="shared" si="1108"/>
        <v>4346699.6584161064</v>
      </c>
      <c r="AK3664" s="201">
        <f t="shared" si="1095"/>
        <v>0.12097322771769156</v>
      </c>
      <c r="AL3664" s="24"/>
      <c r="AM3664" s="24"/>
      <c r="AN3664" s="24"/>
      <c r="AO3664" s="24"/>
      <c r="AP3664" s="165" t="str">
        <f t="shared" si="1096"/>
        <v>20249</v>
      </c>
      <c r="AQ3664" s="203" t="str">
        <f t="shared" si="1097"/>
        <v>20249RMB</v>
      </c>
      <c r="AR3664" s="206" t="str">
        <f t="shared" si="1098"/>
        <v>YAMAHA_Mounter</v>
      </c>
      <c r="AS3664" s="22">
        <f t="shared" si="1099"/>
        <v>1</v>
      </c>
      <c r="AT3664" s="24" t="str">
        <f t="shared" si="1100"/>
        <v>0-3 months</v>
      </c>
    </row>
    <row r="3665" spans="1:46">
      <c r="A3665" s="33" t="str">
        <f t="shared" si="1091"/>
        <v>FY 24/25</v>
      </c>
      <c r="B3665" s="23">
        <v>2024</v>
      </c>
      <c r="C3665" s="23">
        <v>8</v>
      </c>
      <c r="D3665" s="202" t="str">
        <f t="shared" si="1101"/>
        <v>Q2</v>
      </c>
      <c r="E3665" s="33" t="str">
        <f t="shared" si="1104"/>
        <v>FY 24/25</v>
      </c>
      <c r="F3665" s="23">
        <v>2024</v>
      </c>
      <c r="G3665" s="23">
        <v>9</v>
      </c>
      <c r="H3665" s="29"/>
      <c r="I3665" s="204" t="str">
        <f t="shared" si="1092"/>
        <v>Q2</v>
      </c>
      <c r="J3665" s="188" t="s">
        <v>3539</v>
      </c>
      <c r="K3665" s="29" t="s">
        <v>3540</v>
      </c>
      <c r="L3665" s="24" t="s">
        <v>68</v>
      </c>
      <c r="M3665" s="13" t="s">
        <v>61</v>
      </c>
      <c r="N3665" s="13">
        <v>1</v>
      </c>
      <c r="O3665" s="22"/>
      <c r="P3665" s="202" t="str">
        <f t="shared" si="1106"/>
        <v>MAIN UNIT</v>
      </c>
      <c r="Q3665" s="22" t="s">
        <v>62</v>
      </c>
      <c r="R3665" s="22" t="s">
        <v>63</v>
      </c>
      <c r="S3665" s="22" t="s">
        <v>50</v>
      </c>
      <c r="T3665" s="22" t="s">
        <v>79</v>
      </c>
      <c r="U3665" s="22" t="s">
        <v>79</v>
      </c>
      <c r="V3665" s="22" t="s">
        <v>81</v>
      </c>
      <c r="W3665" s="22" t="s">
        <v>65</v>
      </c>
      <c r="X3665" s="104">
        <v>571000</v>
      </c>
      <c r="Y3665" s="195" t="str">
        <f t="shared" si="1103"/>
        <v>1.13</v>
      </c>
      <c r="Z3665" s="196">
        <f t="shared" si="1102"/>
        <v>571000</v>
      </c>
      <c r="AA3665" s="22">
        <v>1.0980000000000001</v>
      </c>
      <c r="AB3665" s="197">
        <f t="shared" si="1105"/>
        <v>554830.08849557536</v>
      </c>
      <c r="AC3665" s="198">
        <f t="shared" si="1093"/>
        <v>69353.76106194692</v>
      </c>
      <c r="AD3665" s="170">
        <v>0.125</v>
      </c>
      <c r="AE3665" s="199">
        <f t="shared" si="1094"/>
        <v>0</v>
      </c>
      <c r="AF3665" s="199" t="str">
        <f>IF(AND(COUNTIFS($J$18:J3665,J3665)=1,AE3665=1),1,"")</f>
        <v/>
      </c>
      <c r="AG3665" s="199" t="str">
        <f>IF(C3665="","",IF(AND(COUNTIFS($J$18:J3665,J3665)=1,C3665&lt;&gt;""),1,""))</f>
        <v/>
      </c>
      <c r="AH3665" s="199" t="str">
        <f>IF(G3665="","",IF(AND(COUNTIFS($J$18:J3665,J3665)=1,G3665&lt;&gt;""),1,""))</f>
        <v/>
      </c>
      <c r="AI3665" s="200">
        <f t="shared" si="1107"/>
        <v>35931087.732566379</v>
      </c>
      <c r="AJ3665" s="200">
        <f t="shared" si="1108"/>
        <v>4346699.6584161064</v>
      </c>
      <c r="AK3665" s="201">
        <f t="shared" si="1095"/>
        <v>0.12097322771769156</v>
      </c>
      <c r="AL3665" s="24"/>
      <c r="AM3665" s="24"/>
      <c r="AN3665" s="24"/>
      <c r="AO3665" s="24"/>
      <c r="AP3665" s="165" t="str">
        <f t="shared" si="1096"/>
        <v>20249</v>
      </c>
      <c r="AQ3665" s="203" t="str">
        <f t="shared" si="1097"/>
        <v>20249RMB</v>
      </c>
      <c r="AR3665" s="206" t="str">
        <f t="shared" si="1098"/>
        <v>YAMAHA_Mounter</v>
      </c>
      <c r="AS3665" s="22">
        <f t="shared" si="1099"/>
        <v>1</v>
      </c>
      <c r="AT3665" s="24" t="str">
        <f t="shared" si="1100"/>
        <v>0-3 months</v>
      </c>
    </row>
    <row r="3666" spans="1:46">
      <c r="A3666" s="33" t="str">
        <f t="shared" si="1091"/>
        <v>FY 24/25</v>
      </c>
      <c r="B3666" s="23">
        <v>2024</v>
      </c>
      <c r="C3666" s="23">
        <v>8</v>
      </c>
      <c r="D3666" s="202" t="str">
        <f t="shared" ref="D3666:D3674" si="1109">IF(B3666="","",IF(AND(C3666&gt;=10,C3666&lt;=12),"Q3",IF(AND(C3666&gt;=1,C3666&lt;=3),"Q4",IF(AND(C3666&gt;=7,C3666&lt;=9),"Q2",IF(AND(C3666&gt;=4,C3666&lt;=6),"Q1")))))</f>
        <v>Q2</v>
      </c>
      <c r="E3666" s="33" t="str">
        <f t="shared" si="1104"/>
        <v>FY 24/25</v>
      </c>
      <c r="F3666" s="23">
        <v>2024</v>
      </c>
      <c r="G3666" s="23">
        <v>9</v>
      </c>
      <c r="H3666" s="29"/>
      <c r="I3666" s="204" t="str">
        <f t="shared" si="1092"/>
        <v>Q2</v>
      </c>
      <c r="J3666" s="188" t="s">
        <v>3542</v>
      </c>
      <c r="K3666" s="29" t="s">
        <v>3541</v>
      </c>
      <c r="L3666" s="24" t="s">
        <v>68</v>
      </c>
      <c r="M3666" s="13" t="s">
        <v>61</v>
      </c>
      <c r="N3666" s="13">
        <v>1</v>
      </c>
      <c r="O3666" s="22"/>
      <c r="P3666" s="202" t="str">
        <f t="shared" si="1106"/>
        <v>MAIN UNIT</v>
      </c>
      <c r="Q3666" s="22" t="s">
        <v>62</v>
      </c>
      <c r="R3666" s="22" t="s">
        <v>63</v>
      </c>
      <c r="S3666" s="22" t="s">
        <v>50</v>
      </c>
      <c r="T3666" s="22" t="s">
        <v>79</v>
      </c>
      <c r="U3666" s="22" t="s">
        <v>79</v>
      </c>
      <c r="V3666" s="22" t="s">
        <v>81</v>
      </c>
      <c r="W3666" s="22" t="s">
        <v>110</v>
      </c>
      <c r="X3666" s="104">
        <v>13430000</v>
      </c>
      <c r="Y3666" s="195" t="str">
        <f t="shared" si="1103"/>
        <v>1</v>
      </c>
      <c r="Z3666" s="196">
        <f t="shared" ref="Z3666:Z3674" si="1110">IF(X3666="","",X3666*MAX(O3666,N3666))</f>
        <v>13430000</v>
      </c>
      <c r="AA3666" s="22">
        <v>5.5100000000000003E-2</v>
      </c>
      <c r="AB3666" s="197">
        <f t="shared" si="1105"/>
        <v>739993</v>
      </c>
      <c r="AC3666" s="198">
        <f t="shared" si="1093"/>
        <v>248785.64660000001</v>
      </c>
      <c r="AD3666" s="170">
        <v>0.3362</v>
      </c>
      <c r="AE3666" s="199">
        <f t="shared" si="1094"/>
        <v>0</v>
      </c>
      <c r="AF3666" s="199" t="str">
        <f>IF(AND(COUNTIFS($J$18:J3666,J3666)=1,AE3666=1),1,"")</f>
        <v/>
      </c>
      <c r="AG3666" s="199">
        <f>IF(C3666="","",IF(AND(COUNTIFS($J$18:J3666,J3666)=1,C3666&lt;&gt;""),1,""))</f>
        <v>1</v>
      </c>
      <c r="AH3666" s="199">
        <f>IF(G3666="","",IF(AND(COUNTIFS($J$18:J3666,J3666)=1,G3666&lt;&gt;""),1,""))</f>
        <v>1</v>
      </c>
      <c r="AI3666" s="200">
        <f t="shared" si="1107"/>
        <v>35931087.732566379</v>
      </c>
      <c r="AJ3666" s="200">
        <f t="shared" si="1108"/>
        <v>4346699.6584161064</v>
      </c>
      <c r="AK3666" s="201">
        <f t="shared" si="1095"/>
        <v>0.12097322771769156</v>
      </c>
      <c r="AL3666" s="24"/>
      <c r="AM3666" s="24"/>
      <c r="AN3666" s="24"/>
      <c r="AO3666" s="24"/>
      <c r="AP3666" s="165" t="str">
        <f t="shared" si="1096"/>
        <v>20249</v>
      </c>
      <c r="AQ3666" s="203" t="str">
        <f t="shared" si="1097"/>
        <v>20249JPY</v>
      </c>
      <c r="AR3666" s="206" t="str">
        <f t="shared" si="1098"/>
        <v>YAMAHA_Mounter</v>
      </c>
      <c r="AS3666" s="22">
        <f t="shared" si="1099"/>
        <v>1</v>
      </c>
      <c r="AT3666" s="24" t="str">
        <f t="shared" si="1100"/>
        <v>0-3 months</v>
      </c>
    </row>
    <row r="3667" spans="1:46">
      <c r="A3667" s="33" t="str">
        <f t="shared" si="1091"/>
        <v>FY 24/25</v>
      </c>
      <c r="B3667" s="23">
        <v>2024</v>
      </c>
      <c r="C3667" s="23">
        <v>9</v>
      </c>
      <c r="D3667" s="202" t="str">
        <f t="shared" si="1109"/>
        <v>Q2</v>
      </c>
      <c r="E3667" s="33" t="str">
        <f t="shared" si="1104"/>
        <v>FY 24/25</v>
      </c>
      <c r="F3667" s="23">
        <v>2024</v>
      </c>
      <c r="G3667" s="23">
        <v>10</v>
      </c>
      <c r="H3667" s="29"/>
      <c r="I3667" s="204" t="str">
        <f t="shared" si="1092"/>
        <v>Q3</v>
      </c>
      <c r="J3667" s="188" t="s">
        <v>3570</v>
      </c>
      <c r="K3667" s="29" t="s">
        <v>3571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106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103"/>
        <v>1.13</v>
      </c>
      <c r="Z3667" s="196">
        <f t="shared" si="1110"/>
        <v>655000</v>
      </c>
      <c r="AA3667" s="22">
        <v>1.1080000000000001</v>
      </c>
      <c r="AB3667" s="197">
        <f t="shared" si="1105"/>
        <v>642247.78761061956</v>
      </c>
      <c r="AC3667" s="198">
        <f t="shared" si="1093"/>
        <v>77069.73451327435</v>
      </c>
      <c r="AD3667" s="169">
        <v>0.12</v>
      </c>
      <c r="AE3667" s="199">
        <f t="shared" si="1094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107"/>
        <v>25860689.500884958</v>
      </c>
      <c r="AJ3667" s="200">
        <f t="shared" si="1108"/>
        <v>3153620.4547964605</v>
      </c>
      <c r="AK3667" s="201">
        <f t="shared" si="1095"/>
        <v>0.1219464954593938</v>
      </c>
      <c r="AL3667" s="24"/>
      <c r="AM3667" s="24"/>
      <c r="AN3667" s="24"/>
      <c r="AO3667" s="24" t="s">
        <v>3572</v>
      </c>
      <c r="AP3667" s="165" t="str">
        <f t="shared" si="1096"/>
        <v>202410</v>
      </c>
      <c r="AQ3667" s="203" t="str">
        <f t="shared" si="1097"/>
        <v>202410RMB</v>
      </c>
      <c r="AR3667" s="206" t="str">
        <f t="shared" si="1098"/>
        <v>YAMAHA_Mounter</v>
      </c>
      <c r="AS3667" s="22">
        <f t="shared" si="1099"/>
        <v>1</v>
      </c>
      <c r="AT3667" s="24" t="str">
        <f t="shared" si="1100"/>
        <v>0-3 months</v>
      </c>
    </row>
    <row r="3668" spans="1:46">
      <c r="A3668" s="33" t="str">
        <f t="shared" si="1091"/>
        <v>FY 24/25</v>
      </c>
      <c r="B3668" s="23">
        <v>2024</v>
      </c>
      <c r="C3668" s="23">
        <v>8</v>
      </c>
      <c r="D3668" s="202" t="str">
        <f t="shared" si="1109"/>
        <v>Q2</v>
      </c>
      <c r="E3668" s="33" t="str">
        <f t="shared" si="1104"/>
        <v>FY 24/25</v>
      </c>
      <c r="F3668" s="152">
        <v>2024</v>
      </c>
      <c r="G3668" s="23">
        <v>9</v>
      </c>
      <c r="H3668" s="29"/>
      <c r="I3668" s="204" t="str">
        <f t="shared" si="1092"/>
        <v>Q2</v>
      </c>
      <c r="J3668" s="188" t="s">
        <v>3543</v>
      </c>
      <c r="K3668" s="29" t="s">
        <v>1400</v>
      </c>
      <c r="L3668" s="24" t="s">
        <v>93</v>
      </c>
      <c r="M3668" s="13" t="s">
        <v>61</v>
      </c>
      <c r="N3668" s="13">
        <v>1</v>
      </c>
      <c r="O3668" s="22"/>
      <c r="P3668" s="202" t="str">
        <f t="shared" si="1106"/>
        <v>MAIN UNIT</v>
      </c>
      <c r="Q3668" s="22" t="s">
        <v>62</v>
      </c>
      <c r="R3668" s="22" t="s">
        <v>63</v>
      </c>
      <c r="S3668" s="22" t="s">
        <v>51</v>
      </c>
      <c r="T3668" s="22" t="s">
        <v>89</v>
      </c>
      <c r="U3668" s="22" t="s">
        <v>71</v>
      </c>
      <c r="V3668" s="22" t="s">
        <v>1401</v>
      </c>
      <c r="W3668" s="22" t="s">
        <v>65</v>
      </c>
      <c r="X3668" s="104">
        <v>672500</v>
      </c>
      <c r="Y3668" s="195" t="str">
        <f t="shared" ref="Y3668:Y3674" si="1111">IF(W3668="","",IF(W3668="RMB","1.13", "1"))</f>
        <v>1.13</v>
      </c>
      <c r="Z3668" s="196">
        <f t="shared" si="1110"/>
        <v>672500</v>
      </c>
      <c r="AA3668" s="22">
        <v>1.0980000000000001</v>
      </c>
      <c r="AB3668" s="197">
        <f t="shared" si="1105"/>
        <v>653455.75221238949</v>
      </c>
      <c r="AC3668" s="198">
        <f t="shared" si="1093"/>
        <v>51165.585398230091</v>
      </c>
      <c r="AD3668" s="170">
        <v>7.8299999999999995E-2</v>
      </c>
      <c r="AE3668" s="199">
        <f t="shared" si="1094"/>
        <v>0</v>
      </c>
      <c r="AF3668" s="199" t="str">
        <f>IF(AND(COUNTIFS($J$18:J3668,J3668)=1,AE3668=1),1,"")</f>
        <v/>
      </c>
      <c r="AG3668" s="199">
        <f>IF(C3668="","",IF(AND(COUNTIFS($J$18:J3668,J3668)=1,C3668&lt;&gt;""),1,""))</f>
        <v>1</v>
      </c>
      <c r="AH3668" s="199">
        <f>IF(G3668="","",IF(AND(COUNTIFS($J$18:J3668,J3668)=1,G3668&lt;&gt;""),1,""))</f>
        <v>1</v>
      </c>
      <c r="AI3668" s="200">
        <f t="shared" si="1107"/>
        <v>35931087.732566379</v>
      </c>
      <c r="AJ3668" s="200">
        <f t="shared" si="1108"/>
        <v>4346699.6584161064</v>
      </c>
      <c r="AK3668" s="201">
        <f t="shared" si="1095"/>
        <v>0.12097322771769156</v>
      </c>
      <c r="AL3668" s="24"/>
      <c r="AM3668" s="24"/>
      <c r="AN3668" s="24"/>
      <c r="AO3668" s="24"/>
      <c r="AP3668" s="165" t="str">
        <f t="shared" si="1096"/>
        <v>20249</v>
      </c>
      <c r="AQ3668" s="203" t="str">
        <f t="shared" si="1097"/>
        <v>20249RMB</v>
      </c>
      <c r="AR3668" s="206" t="str">
        <f t="shared" si="1098"/>
        <v>YAMAHA_Mounter</v>
      </c>
      <c r="AS3668" s="22">
        <f t="shared" si="1099"/>
        <v>1</v>
      </c>
      <c r="AT3668" s="24" t="str">
        <f t="shared" si="1100"/>
        <v>0-3 months</v>
      </c>
    </row>
    <row r="3669" spans="1:46">
      <c r="A3669" s="33" t="str">
        <f t="shared" si="1091"/>
        <v>FY 24/25</v>
      </c>
      <c r="B3669" s="23">
        <v>2024</v>
      </c>
      <c r="C3669" s="23">
        <v>8</v>
      </c>
      <c r="D3669" s="202" t="str">
        <f t="shared" si="1109"/>
        <v>Q2</v>
      </c>
      <c r="E3669" s="33" t="str">
        <f t="shared" si="1104"/>
        <v>FY 24/25</v>
      </c>
      <c r="F3669" s="152">
        <v>2024</v>
      </c>
      <c r="G3669" s="23">
        <v>9</v>
      </c>
      <c r="H3669" s="29"/>
      <c r="I3669" s="204" t="str">
        <f t="shared" si="1092"/>
        <v>Q2</v>
      </c>
      <c r="J3669" s="188" t="s">
        <v>3543</v>
      </c>
      <c r="K3669" s="29" t="s">
        <v>1400</v>
      </c>
      <c r="L3669" s="24" t="s">
        <v>93</v>
      </c>
      <c r="M3669" s="13" t="s">
        <v>61</v>
      </c>
      <c r="N3669" s="13">
        <v>1</v>
      </c>
      <c r="O3669" s="22"/>
      <c r="P3669" s="202" t="str">
        <f t="shared" si="1106"/>
        <v>MAIN UNIT</v>
      </c>
      <c r="Q3669" s="22" t="s">
        <v>62</v>
      </c>
      <c r="R3669" s="22" t="s">
        <v>63</v>
      </c>
      <c r="S3669" s="22" t="s">
        <v>51</v>
      </c>
      <c r="T3669" s="22" t="s">
        <v>89</v>
      </c>
      <c r="U3669" s="22" t="s">
        <v>71</v>
      </c>
      <c r="V3669" s="22" t="s">
        <v>1401</v>
      </c>
      <c r="W3669" s="22" t="s">
        <v>65</v>
      </c>
      <c r="X3669" s="104">
        <v>672500</v>
      </c>
      <c r="Y3669" s="195" t="str">
        <f t="shared" si="1111"/>
        <v>1.13</v>
      </c>
      <c r="Z3669" s="196">
        <f t="shared" si="1110"/>
        <v>672500</v>
      </c>
      <c r="AA3669" s="22">
        <v>1.0980000000000001</v>
      </c>
      <c r="AB3669" s="197">
        <f t="shared" si="1105"/>
        <v>653455.75221238949</v>
      </c>
      <c r="AC3669" s="198">
        <f t="shared" si="1093"/>
        <v>51165.585398230091</v>
      </c>
      <c r="AD3669" s="170">
        <v>7.8299999999999995E-2</v>
      </c>
      <c r="AE3669" s="199">
        <f t="shared" si="1094"/>
        <v>0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107"/>
        <v>35931087.732566379</v>
      </c>
      <c r="AJ3669" s="200">
        <f t="shared" si="1108"/>
        <v>4346699.6584161064</v>
      </c>
      <c r="AK3669" s="201">
        <f t="shared" si="1095"/>
        <v>0.12097322771769156</v>
      </c>
      <c r="AL3669" s="24"/>
      <c r="AM3669" s="24"/>
      <c r="AN3669" s="24"/>
      <c r="AO3669" s="24"/>
      <c r="AP3669" s="165" t="str">
        <f t="shared" si="1096"/>
        <v>20249</v>
      </c>
      <c r="AQ3669" s="203" t="str">
        <f t="shared" si="1097"/>
        <v>20249RMB</v>
      </c>
      <c r="AR3669" s="206" t="str">
        <f t="shared" si="1098"/>
        <v>YAMAHA_Mounter</v>
      </c>
      <c r="AS3669" s="22">
        <f t="shared" si="1099"/>
        <v>1</v>
      </c>
      <c r="AT3669" s="24" t="str">
        <f t="shared" si="1100"/>
        <v>0-3 months</v>
      </c>
    </row>
    <row r="3670" spans="1:46">
      <c r="A3670" s="33" t="str">
        <f t="shared" si="1091"/>
        <v>FY 24/25</v>
      </c>
      <c r="B3670" s="23">
        <v>2024</v>
      </c>
      <c r="C3670" s="23">
        <v>8</v>
      </c>
      <c r="D3670" s="202" t="str">
        <f t="shared" si="1109"/>
        <v>Q2</v>
      </c>
      <c r="E3670" s="33" t="str">
        <f t="shared" si="1104"/>
        <v>FY 24/25</v>
      </c>
      <c r="F3670" s="152">
        <v>2024</v>
      </c>
      <c r="G3670" s="23">
        <v>9</v>
      </c>
      <c r="H3670" s="29"/>
      <c r="I3670" s="204" t="str">
        <f t="shared" si="1092"/>
        <v>Q2</v>
      </c>
      <c r="J3670" s="188" t="s">
        <v>3543</v>
      </c>
      <c r="K3670" s="29" t="s">
        <v>1400</v>
      </c>
      <c r="L3670" s="24" t="s">
        <v>68</v>
      </c>
      <c r="M3670" s="13" t="s">
        <v>61</v>
      </c>
      <c r="N3670" s="13">
        <v>1</v>
      </c>
      <c r="O3670" s="22"/>
      <c r="P3670" s="202" t="str">
        <f t="shared" si="1106"/>
        <v>MAIN UNIT</v>
      </c>
      <c r="Q3670" s="22" t="s">
        <v>62</v>
      </c>
      <c r="R3670" s="22" t="s">
        <v>63</v>
      </c>
      <c r="S3670" s="22" t="s">
        <v>51</v>
      </c>
      <c r="T3670" s="22" t="s">
        <v>89</v>
      </c>
      <c r="U3670" s="22" t="s">
        <v>71</v>
      </c>
      <c r="V3670" s="22" t="s">
        <v>1401</v>
      </c>
      <c r="W3670" s="22" t="s">
        <v>65</v>
      </c>
      <c r="X3670" s="104">
        <v>397500</v>
      </c>
      <c r="Y3670" s="195" t="str">
        <f t="shared" si="1111"/>
        <v>1.13</v>
      </c>
      <c r="Z3670" s="196">
        <f t="shared" si="1110"/>
        <v>397500</v>
      </c>
      <c r="AA3670" s="22">
        <v>1.0980000000000001</v>
      </c>
      <c r="AB3670" s="197">
        <f t="shared" si="1105"/>
        <v>386243.36283185845</v>
      </c>
      <c r="AC3670" s="198">
        <f t="shared" si="1093"/>
        <v>30242.855309734514</v>
      </c>
      <c r="AD3670" s="170">
        <v>7.8299999999999995E-2</v>
      </c>
      <c r="AE3670" s="199">
        <f t="shared" si="1094"/>
        <v>0</v>
      </c>
      <c r="AF3670" s="199" t="str">
        <f>IF(AND(COUNTIFS($J$18:J3670,J3670)=1,AE3670=1),1,"")</f>
        <v/>
      </c>
      <c r="AG3670" s="199" t="str">
        <f>IF(C3670="","",IF(AND(COUNTIFS($J$18:J3670,J3670)=1,C3670&lt;&gt;""),1,""))</f>
        <v/>
      </c>
      <c r="AH3670" s="199" t="str">
        <f>IF(G3670="","",IF(AND(COUNTIFS($J$18:J3670,J3670)=1,G3670&lt;&gt;""),1,""))</f>
        <v/>
      </c>
      <c r="AI3670" s="200">
        <f t="shared" si="1107"/>
        <v>35931087.732566379</v>
      </c>
      <c r="AJ3670" s="200">
        <f t="shared" si="1108"/>
        <v>4346699.6584161064</v>
      </c>
      <c r="AK3670" s="201">
        <f t="shared" si="1095"/>
        <v>0.12097322771769156</v>
      </c>
      <c r="AL3670" s="24"/>
      <c r="AM3670" s="24"/>
      <c r="AN3670" s="24"/>
      <c r="AO3670" s="24"/>
      <c r="AP3670" s="165" t="str">
        <f t="shared" si="1096"/>
        <v>20249</v>
      </c>
      <c r="AQ3670" s="203" t="str">
        <f t="shared" si="1097"/>
        <v>20249RMB</v>
      </c>
      <c r="AR3670" s="206" t="str">
        <f t="shared" si="1098"/>
        <v>YAMAHA_Mounter</v>
      </c>
      <c r="AS3670" s="22">
        <f t="shared" si="1099"/>
        <v>1</v>
      </c>
      <c r="AT3670" s="24" t="str">
        <f t="shared" si="1100"/>
        <v>0-3 months</v>
      </c>
    </row>
    <row r="3671" spans="1:46">
      <c r="A3671" s="33" t="str">
        <f t="shared" si="1091"/>
        <v>FY 24/25</v>
      </c>
      <c r="B3671" s="23">
        <v>2024</v>
      </c>
      <c r="C3671" s="23">
        <v>8</v>
      </c>
      <c r="D3671" s="202" t="str">
        <f t="shared" si="1109"/>
        <v>Q2</v>
      </c>
      <c r="E3671" s="33" t="str">
        <f t="shared" si="1104"/>
        <v>FY 24/25</v>
      </c>
      <c r="F3671" s="152">
        <v>2024</v>
      </c>
      <c r="G3671" s="23">
        <v>9</v>
      </c>
      <c r="H3671" s="29"/>
      <c r="I3671" s="204" t="str">
        <f t="shared" si="1092"/>
        <v>Q2</v>
      </c>
      <c r="J3671" s="188" t="s">
        <v>3543</v>
      </c>
      <c r="K3671" s="29" t="s">
        <v>1400</v>
      </c>
      <c r="L3671" s="24" t="s">
        <v>68</v>
      </c>
      <c r="M3671" s="13" t="s">
        <v>61</v>
      </c>
      <c r="N3671" s="13">
        <v>1</v>
      </c>
      <c r="O3671" s="22"/>
      <c r="P3671" s="202" t="str">
        <f t="shared" si="1106"/>
        <v>MAIN UNIT</v>
      </c>
      <c r="Q3671" s="22" t="s">
        <v>62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1401</v>
      </c>
      <c r="W3671" s="22" t="s">
        <v>65</v>
      </c>
      <c r="X3671" s="104">
        <v>397500</v>
      </c>
      <c r="Y3671" s="195" t="str">
        <f t="shared" si="1111"/>
        <v>1.13</v>
      </c>
      <c r="Z3671" s="196">
        <f t="shared" si="1110"/>
        <v>397500</v>
      </c>
      <c r="AA3671" s="22">
        <v>1.0980000000000001</v>
      </c>
      <c r="AB3671" s="197">
        <f t="shared" si="1105"/>
        <v>386243.36283185845</v>
      </c>
      <c r="AC3671" s="198">
        <f t="shared" si="1093"/>
        <v>30242.855309734514</v>
      </c>
      <c r="AD3671" s="170">
        <v>7.8299999999999995E-2</v>
      </c>
      <c r="AE3671" s="199">
        <f t="shared" si="1094"/>
        <v>0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107"/>
        <v>35931087.732566379</v>
      </c>
      <c r="AJ3671" s="200">
        <f t="shared" si="1108"/>
        <v>4346699.6584161064</v>
      </c>
      <c r="AK3671" s="201">
        <f t="shared" si="1095"/>
        <v>0.12097322771769156</v>
      </c>
      <c r="AL3671" s="24"/>
      <c r="AM3671" s="24"/>
      <c r="AN3671" s="24"/>
      <c r="AO3671" s="24"/>
      <c r="AP3671" s="165" t="str">
        <f t="shared" si="1096"/>
        <v>20249</v>
      </c>
      <c r="AQ3671" s="203" t="str">
        <f t="shared" si="1097"/>
        <v>20249RMB</v>
      </c>
      <c r="AR3671" s="206" t="str">
        <f t="shared" si="1098"/>
        <v>YAMAHA_Mounter</v>
      </c>
      <c r="AS3671" s="22">
        <f t="shared" si="1099"/>
        <v>1</v>
      </c>
      <c r="AT3671" s="24" t="str">
        <f t="shared" si="1100"/>
        <v>0-3 months</v>
      </c>
    </row>
    <row r="3672" spans="1:46">
      <c r="A3672" s="33" t="str">
        <f t="shared" si="1091"/>
        <v>FY 24/25</v>
      </c>
      <c r="B3672" s="23">
        <v>2024</v>
      </c>
      <c r="C3672" s="23">
        <v>8</v>
      </c>
      <c r="D3672" s="202" t="str">
        <f t="shared" si="1109"/>
        <v>Q2</v>
      </c>
      <c r="E3672" s="33" t="str">
        <f t="shared" ref="E3672:E3674" si="1112">IF(G3672="Cancel","Cancel",IF(G3672="TBA","TBA",IFERROR(IF(I3672="Q4","FY "&amp;RIGHT(F3672,2)-1&amp;"/"&amp;RIGHT(F3672,2),"FY "&amp;RIGHT(F3672,2)&amp;"/"&amp;RIGHT(F3672,2)+1),"")))</f>
        <v>FY 24/25</v>
      </c>
      <c r="F3672" s="23">
        <v>2024</v>
      </c>
      <c r="G3672" s="23">
        <v>10</v>
      </c>
      <c r="H3672" s="29"/>
      <c r="I3672" s="204" t="str">
        <f t="shared" si="1092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106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111"/>
        <v>1.13</v>
      </c>
      <c r="Z3672" s="196">
        <f t="shared" si="1110"/>
        <v>398000</v>
      </c>
      <c r="AA3672" s="22">
        <v>1.1080000000000001</v>
      </c>
      <c r="AB3672" s="197">
        <f t="shared" si="1105"/>
        <v>390251.32743362838</v>
      </c>
      <c r="AC3672" s="198">
        <f t="shared" si="1093"/>
        <v>46830.159292035401</v>
      </c>
      <c r="AD3672" s="169">
        <v>0.12</v>
      </c>
      <c r="AE3672" s="199">
        <f t="shared" si="1094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107"/>
        <v>25860689.500884958</v>
      </c>
      <c r="AJ3672" s="200">
        <f t="shared" si="1108"/>
        <v>3153620.4547964605</v>
      </c>
      <c r="AK3672" s="201">
        <f t="shared" si="1095"/>
        <v>0.1219464954593938</v>
      </c>
      <c r="AL3672" s="24"/>
      <c r="AM3672" s="24"/>
      <c r="AN3672" s="24"/>
      <c r="AO3672" s="24"/>
      <c r="AP3672" s="165" t="str">
        <f t="shared" si="1096"/>
        <v>202410</v>
      </c>
      <c r="AQ3672" s="203" t="str">
        <f t="shared" si="1097"/>
        <v>202410RMB</v>
      </c>
      <c r="AR3672" s="206" t="str">
        <f t="shared" si="1098"/>
        <v>YAMAHA_Mounter</v>
      </c>
      <c r="AS3672" s="22">
        <f t="shared" si="1099"/>
        <v>2</v>
      </c>
      <c r="AT3672" s="24" t="str">
        <f t="shared" si="1100"/>
        <v>0-3 months</v>
      </c>
    </row>
    <row r="3673" spans="1:46">
      <c r="A3673" s="33" t="str">
        <f t="shared" si="1091"/>
        <v>FY 24/25</v>
      </c>
      <c r="B3673" s="23">
        <v>2024</v>
      </c>
      <c r="C3673" s="23">
        <v>7</v>
      </c>
      <c r="D3673" s="202" t="str">
        <f t="shared" si="1109"/>
        <v>Q2</v>
      </c>
      <c r="E3673" s="33" t="str">
        <f t="shared" si="1112"/>
        <v>FY 24/25</v>
      </c>
      <c r="F3673" s="23">
        <v>2024</v>
      </c>
      <c r="G3673" s="23">
        <v>8</v>
      </c>
      <c r="H3673" s="29"/>
      <c r="I3673" s="204" t="str">
        <f t="shared" si="1092"/>
        <v>Q2</v>
      </c>
      <c r="J3673" s="188" t="s">
        <v>3545</v>
      </c>
      <c r="K3673" s="29" t="s">
        <v>168</v>
      </c>
      <c r="L3673" s="17" t="s">
        <v>2621</v>
      </c>
      <c r="M3673" s="13" t="s">
        <v>61</v>
      </c>
      <c r="N3673" s="13">
        <v>1</v>
      </c>
      <c r="O3673" s="22"/>
      <c r="P3673" s="202" t="str">
        <f t="shared" si="1106"/>
        <v>MAIN UNIT</v>
      </c>
      <c r="Q3673" s="22" t="s">
        <v>62</v>
      </c>
      <c r="R3673" s="22" t="s">
        <v>2056</v>
      </c>
      <c r="S3673" s="22" t="s">
        <v>51</v>
      </c>
      <c r="T3673" s="22" t="s">
        <v>84</v>
      </c>
      <c r="U3673" s="22" t="s">
        <v>71</v>
      </c>
      <c r="V3673" s="22" t="s">
        <v>103</v>
      </c>
      <c r="W3673" s="22" t="s">
        <v>65</v>
      </c>
      <c r="X3673" s="104">
        <v>358000</v>
      </c>
      <c r="Y3673" s="195" t="str">
        <f t="shared" si="1111"/>
        <v>1.13</v>
      </c>
      <c r="Z3673" s="196">
        <f t="shared" si="1110"/>
        <v>358000</v>
      </c>
      <c r="AA3673" s="22">
        <v>1.08</v>
      </c>
      <c r="AB3673" s="197">
        <f t="shared" si="1105"/>
        <v>342159.29203539831</v>
      </c>
      <c r="AC3673" s="198">
        <f t="shared" si="1093"/>
        <v>57414.329203539841</v>
      </c>
      <c r="AD3673" s="170">
        <v>0.1678</v>
      </c>
      <c r="AE3673" s="199">
        <f t="shared" si="1094"/>
        <v>0</v>
      </c>
      <c r="AF3673" s="199" t="str">
        <f>IF(AND(COUNTIFS($J$18:J3673,J3673)=1,AE3673=1),1,"")</f>
        <v/>
      </c>
      <c r="AG3673" s="199" t="str">
        <f>IF(C3673="","",IF(AND(COUNTIFS($J$18:J3673,J3673)=1,C3673&lt;&gt;""),1,""))</f>
        <v/>
      </c>
      <c r="AH3673" s="199" t="str">
        <f>IF(G3673="","",IF(AND(COUNTIFS($J$18:J3673,J3673)=1,G3673&lt;&gt;""),1,""))</f>
        <v/>
      </c>
      <c r="AI3673" s="200">
        <f t="shared" si="1107"/>
        <v>25354039.366920356</v>
      </c>
      <c r="AJ3673" s="200">
        <f t="shared" si="1108"/>
        <v>3027878.5311884549</v>
      </c>
      <c r="AK3673" s="201">
        <f t="shared" si="1095"/>
        <v>0.11942391061910851</v>
      </c>
      <c r="AL3673" s="24"/>
      <c r="AM3673" s="24"/>
      <c r="AN3673" s="24"/>
      <c r="AO3673" s="24"/>
      <c r="AP3673" s="165" t="str">
        <f t="shared" si="1096"/>
        <v>20248</v>
      </c>
      <c r="AQ3673" s="203" t="str">
        <f t="shared" si="1097"/>
        <v>20248RMB</v>
      </c>
      <c r="AR3673" s="206" t="str">
        <f t="shared" si="1098"/>
        <v>YAMAHA_Non_Mounter</v>
      </c>
      <c r="AS3673" s="22">
        <f t="shared" si="1099"/>
        <v>1</v>
      </c>
      <c r="AT3673" s="24" t="str">
        <f t="shared" si="1100"/>
        <v>0-3 months</v>
      </c>
    </row>
    <row r="3674" spans="1:46">
      <c r="A3674" s="33" t="str">
        <f t="shared" si="1091"/>
        <v>FY 23/24</v>
      </c>
      <c r="B3674" s="23">
        <v>2023</v>
      </c>
      <c r="C3674" s="152">
        <v>12</v>
      </c>
      <c r="D3674" s="33" t="str">
        <f t="shared" si="1109"/>
        <v>Q3</v>
      </c>
      <c r="E3674" s="33" t="str">
        <f t="shared" si="1112"/>
        <v>FY 24/25</v>
      </c>
      <c r="F3674" s="152">
        <v>2024</v>
      </c>
      <c r="G3674" s="152">
        <v>9</v>
      </c>
      <c r="H3674" s="29"/>
      <c r="I3674" s="93" t="str">
        <f t="shared" si="1092"/>
        <v>Q2</v>
      </c>
      <c r="J3674" s="188" t="s">
        <v>3182</v>
      </c>
      <c r="K3674" s="29" t="s">
        <v>412</v>
      </c>
      <c r="L3674" s="17" t="s">
        <v>2621</v>
      </c>
      <c r="M3674" s="22" t="s">
        <v>61</v>
      </c>
      <c r="N3674" s="22">
        <v>1</v>
      </c>
      <c r="O3674" s="22"/>
      <c r="P3674" s="33" t="str">
        <f t="shared" si="1106"/>
        <v>MAIN UNIT</v>
      </c>
      <c r="Q3674" s="13" t="s">
        <v>62</v>
      </c>
      <c r="R3674" s="22" t="s">
        <v>2056</v>
      </c>
      <c r="S3674" s="22" t="s">
        <v>53</v>
      </c>
      <c r="T3674" s="22" t="s">
        <v>413</v>
      </c>
      <c r="U3674" s="22" t="s">
        <v>1078</v>
      </c>
      <c r="V3674" s="22" t="s">
        <v>144</v>
      </c>
      <c r="W3674" s="22" t="s">
        <v>65</v>
      </c>
      <c r="X3674" s="30">
        <v>350000</v>
      </c>
      <c r="Y3674" s="31" t="str">
        <f t="shared" si="1111"/>
        <v>1.13</v>
      </c>
      <c r="Z3674" s="18">
        <f t="shared" si="1110"/>
        <v>350000</v>
      </c>
      <c r="AA3674" s="22">
        <v>1.0980000000000001</v>
      </c>
      <c r="AB3674" s="21">
        <f t="shared" si="1105"/>
        <v>340088.49557522126</v>
      </c>
      <c r="AC3674" s="25">
        <f t="shared" si="1093"/>
        <v>61385.973451327438</v>
      </c>
      <c r="AD3674" s="172">
        <v>0.18049999999999999</v>
      </c>
      <c r="AE3674" s="26">
        <f t="shared" si="1094"/>
        <v>0</v>
      </c>
      <c r="AF3674" s="26" t="str">
        <f>IF(AND(COUNTIFS($J$18:J3674,#REF!)=1,AE3674=1),1,"")</f>
        <v/>
      </c>
      <c r="AG3674" s="26" t="str">
        <f>IF(C3674="","",IF(AND(COUNTIFS($J$18:J3674,#REF!)=1,C3674&lt;&gt;""),1,""))</f>
        <v/>
      </c>
      <c r="AH3674" s="26" t="str">
        <f>IF(G3674="","",IF(AND(COUNTIFS($J$18:J3674,#REF!)=1,G3674&lt;&gt;""),1,""))</f>
        <v/>
      </c>
      <c r="AI3674" s="27">
        <f t="shared" si="1107"/>
        <v>35931087.732566379</v>
      </c>
      <c r="AJ3674" s="27">
        <f t="shared" si="1108"/>
        <v>4346699.6584161064</v>
      </c>
      <c r="AK3674" s="28">
        <f t="shared" si="1095"/>
        <v>0.12097322771769156</v>
      </c>
      <c r="AL3674" s="24"/>
      <c r="AM3674" s="24"/>
      <c r="AN3674" s="24"/>
      <c r="AO3674" s="24"/>
      <c r="AP3674" s="95" t="str">
        <f t="shared" si="1096"/>
        <v>20249</v>
      </c>
      <c r="AQ3674" s="203" t="str">
        <f t="shared" si="1097"/>
        <v>20249RMB</v>
      </c>
      <c r="AR3674" s="206" t="str">
        <f t="shared" si="1098"/>
        <v>YAMAHA_Non_Mounter</v>
      </c>
      <c r="AS3674" s="22">
        <f t="shared" si="1099"/>
        <v>9</v>
      </c>
      <c r="AT3674" s="24" t="str">
        <f t="shared" si="1100"/>
        <v>&gt; 6 months</v>
      </c>
    </row>
    <row r="3675" spans="1:46">
      <c r="A3675" s="33" t="str">
        <f t="shared" ref="A3675:A3679" si="1113">IF(C3675="cancel","cancel",IFERROR(IF(D3675="Q4","FY "&amp;RIGHT(B3675,2)-1&amp;"/"&amp;RIGHT(B3675,2),"FY "&amp;RIGHT(B3675,2)&amp;"/"&amp;RIGHT(B3675,2)+1),""))</f>
        <v>FY 24/25</v>
      </c>
      <c r="B3675" s="23">
        <v>2024</v>
      </c>
      <c r="C3675" s="23">
        <v>7</v>
      </c>
      <c r="D3675" s="202" t="str">
        <f t="shared" ref="D3675:D3697" si="1114">IF(B3675="","",IF(AND(C3675&gt;=10,C3675&lt;=12),"Q3",IF(AND(C3675&gt;=1,C3675&lt;=3),"Q4",IF(AND(C3675&gt;=7,C3675&lt;=9),"Q2",IF(AND(C3675&gt;=4,C3675&lt;=6),"Q1")))))</f>
        <v>Q2</v>
      </c>
      <c r="E3675" s="33" t="str">
        <f t="shared" ref="E3675:E3735" si="1115">IF(G3675="Cancel","Cancel",IF(G3675="TBA","TBA",IFERROR(IF(I3675="Q4","FY "&amp;RIGHT(F3675,2)-1&amp;"/"&amp;RIGHT(F3675,2),"FY "&amp;RIGHT(F3675,2)&amp;"/"&amp;RIGHT(F3675,2)+1),"")))</f>
        <v>FY 24/25</v>
      </c>
      <c r="F3675" s="23">
        <v>2024</v>
      </c>
      <c r="G3675" s="23">
        <v>10</v>
      </c>
      <c r="H3675" s="29"/>
      <c r="I3675" s="204" t="str">
        <f t="shared" ref="I3675:I3679" si="1116">IFERROR(IF(F3675="","",IF(F3675="TBA","TBA",IF(F3675="Cancel","Cancel",IF(AND(G3675&gt;=10,G3675&lt;=12),"Q3",IF(AND(G3675&gt;=1,G3675&lt;=3),"Q4",IF(AND(G3675&gt;=7,G3675&lt;=9),"Q2",IF(AND(G3675&gt;=4,G3675&lt;=6),"Q1"))))))),"")</f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ref="P3675:P3680" si="1117">IF(M3675="","",IF(AND(N3675&gt;0,L3675&lt;&gt;""),"MAIN UNIT",IF(AND(O3675&gt;0,L3675&lt;&gt;""),"SERVICE/ PARTS","C66 SERVICE/OTHERS")))</f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ref="Y3675:Y3699" si="1118">IF(W3675="","",IF(W3675="RMB","1.13", "1"))</f>
        <v>1.13</v>
      </c>
      <c r="Z3675" s="196">
        <f t="shared" ref="Z3675:Z3697" si="1119">IF(X3675="","",X3675*MAX(O3675,N3675))</f>
        <v>358000</v>
      </c>
      <c r="AA3675" s="22">
        <v>1.1080000000000001</v>
      </c>
      <c r="AB3675" s="197">
        <f t="shared" ref="AB3675:AB3729" si="1120">IF(AND(R3675&lt;&gt;"C66",R3675&lt;&gt;""),Z3675/Y3675*AA3675,"")</f>
        <v>351030.0884955753</v>
      </c>
      <c r="AC3675" s="198">
        <f t="shared" ref="AC3675:AC3679" si="1121">IF(R3675&lt;&gt;"",AB3675*AD3675,"")</f>
        <v>58902.848849557537</v>
      </c>
      <c r="AD3675" s="170">
        <v>0.1678</v>
      </c>
      <c r="AE3675" s="199">
        <f t="shared" ref="AE3675:AE3679" si="1122">IF(Q3675="","",IF(Q3675="Yes",1,0))</f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107"/>
        <v>25860689.500884958</v>
      </c>
      <c r="AJ3675" s="200">
        <f t="shared" si="1108"/>
        <v>3153620.4547964605</v>
      </c>
      <c r="AK3675" s="201">
        <f t="shared" ref="AK3675:AK3679" si="1123">IF(AJ3675&gt;0,AJ3675/AI3675,"")</f>
        <v>0.1219464954593938</v>
      </c>
      <c r="AL3675" s="24"/>
      <c r="AM3675" s="24"/>
      <c r="AN3675" s="24"/>
      <c r="AO3675" s="24"/>
      <c r="AP3675" s="165" t="str">
        <f t="shared" ref="AP3675:AP3679" si="1124">IF(F3675="","",F3675&amp;G3675)</f>
        <v>202410</v>
      </c>
      <c r="AQ3675" s="203" t="str">
        <f t="shared" ref="AQ3675:AQ3679" si="1125">IF(W3675="","",F3675&amp;G3675&amp;W3675)</f>
        <v>202410RMB</v>
      </c>
      <c r="AR3675" s="206" t="str">
        <f t="shared" ref="AR3675:AR3679" si="1126">IFERROR(IF(AND(M3675="YAMAHA", R3675="C28"), "YAMAHA_Non_Mounter", IF(AND(M3675="YAMAHA", R3675="C49"), "YAMAHA_Mounter", M3675)),"")</f>
        <v>YAMAHA_Non_Mounter</v>
      </c>
      <c r="AS3675" s="22">
        <f t="shared" ref="AS3675:AS3679" si="1127">IFERROR(IF(OR(G3675="TBA", G3675=""), "", DATEDIF(DATE(B3675, C3675, 1), DATE(F3675, G3675, 1), "M")),"")</f>
        <v>3</v>
      </c>
      <c r="AT3675" s="24" t="str">
        <f t="shared" ref="AT3675:AT3679" si="1128">IF(ISNUMBER(AS3675), IF(AS3675&gt;=0, IF(AS3675&lt;=3, "0-3 months", IF(AS3675&lt;=6, "4-6 months", "&gt; 6 months"))), "")</f>
        <v>0-3 months</v>
      </c>
    </row>
    <row r="3676" spans="1:46">
      <c r="A3676" s="33" t="str">
        <f t="shared" si="1113"/>
        <v>FY 24/25</v>
      </c>
      <c r="B3676" s="23">
        <v>2024</v>
      </c>
      <c r="C3676" s="23">
        <v>7</v>
      </c>
      <c r="D3676" s="202" t="str">
        <f t="shared" si="1114"/>
        <v>Q2</v>
      </c>
      <c r="E3676" s="33" t="str">
        <f t="shared" si="1115"/>
        <v>FY 24/25</v>
      </c>
      <c r="F3676" s="23">
        <v>2024</v>
      </c>
      <c r="G3676" s="23">
        <v>10</v>
      </c>
      <c r="H3676" s="29"/>
      <c r="I3676" s="204" t="str">
        <f t="shared" si="111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17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118"/>
        <v>1.13</v>
      </c>
      <c r="Z3676" s="196">
        <f t="shared" si="1119"/>
        <v>358000</v>
      </c>
      <c r="AA3676" s="22">
        <v>1.1080000000000001</v>
      </c>
      <c r="AB3676" s="197">
        <f t="shared" si="1120"/>
        <v>351030.0884955753</v>
      </c>
      <c r="AC3676" s="198">
        <f t="shared" si="1121"/>
        <v>58902.848849557537</v>
      </c>
      <c r="AD3676" s="170">
        <v>0.1678</v>
      </c>
      <c r="AE3676" s="199">
        <f t="shared" si="1122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107"/>
        <v>25860689.500884958</v>
      </c>
      <c r="AJ3676" s="200">
        <f t="shared" si="1108"/>
        <v>3153620.4547964605</v>
      </c>
      <c r="AK3676" s="201">
        <f t="shared" si="1123"/>
        <v>0.1219464954593938</v>
      </c>
      <c r="AL3676" s="24"/>
      <c r="AM3676" s="24"/>
      <c r="AN3676" s="24"/>
      <c r="AO3676" s="24"/>
      <c r="AP3676" s="165" t="str">
        <f t="shared" si="1124"/>
        <v>202410</v>
      </c>
      <c r="AQ3676" s="203" t="str">
        <f t="shared" si="1125"/>
        <v>202410RMB</v>
      </c>
      <c r="AR3676" s="206" t="str">
        <f t="shared" si="1126"/>
        <v>YAMAHA_Non_Mounter</v>
      </c>
      <c r="AS3676" s="22">
        <f t="shared" si="1127"/>
        <v>3</v>
      </c>
      <c r="AT3676" s="24" t="str">
        <f t="shared" si="1128"/>
        <v>0-3 months</v>
      </c>
    </row>
    <row r="3677" spans="1:46">
      <c r="A3677" s="33" t="str">
        <f t="shared" si="1113"/>
        <v>FY 24/25</v>
      </c>
      <c r="B3677" s="23">
        <v>2024</v>
      </c>
      <c r="C3677" s="23">
        <v>7</v>
      </c>
      <c r="D3677" s="202" t="str">
        <f t="shared" si="1114"/>
        <v>Q2</v>
      </c>
      <c r="E3677" s="33" t="s">
        <v>3173</v>
      </c>
      <c r="F3677" s="23">
        <v>2024</v>
      </c>
      <c r="G3677" s="23">
        <v>8</v>
      </c>
      <c r="H3677" s="29"/>
      <c r="I3677" s="204" t="str">
        <f t="shared" si="1116"/>
        <v>Q2</v>
      </c>
      <c r="J3677" s="188" t="s">
        <v>3546</v>
      </c>
      <c r="K3677" s="29" t="s">
        <v>1906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17"/>
        <v>MAIN UNIT</v>
      </c>
      <c r="Q3677" s="22" t="s">
        <v>62</v>
      </c>
      <c r="R3677" s="22" t="s">
        <v>63</v>
      </c>
      <c r="S3677" s="22" t="s">
        <v>53</v>
      </c>
      <c r="T3677" s="22" t="s">
        <v>177</v>
      </c>
      <c r="U3677" s="22" t="s">
        <v>178</v>
      </c>
      <c r="V3677" s="22" t="s">
        <v>179</v>
      </c>
      <c r="W3677" s="22" t="s">
        <v>65</v>
      </c>
      <c r="X3677" s="104">
        <v>750000</v>
      </c>
      <c r="Y3677" s="195" t="str">
        <f t="shared" si="1118"/>
        <v>1.13</v>
      </c>
      <c r="Z3677" s="196">
        <f t="shared" si="1119"/>
        <v>750000</v>
      </c>
      <c r="AA3677" s="22">
        <v>1.08</v>
      </c>
      <c r="AB3677" s="197">
        <f t="shared" si="1120"/>
        <v>716814.15929203562</v>
      </c>
      <c r="AC3677" s="198">
        <f t="shared" si="1121"/>
        <v>86017.699115044277</v>
      </c>
      <c r="AD3677" s="169">
        <v>0.12</v>
      </c>
      <c r="AE3677" s="199">
        <f t="shared" si="1122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107"/>
        <v>25354039.366920356</v>
      </c>
      <c r="AJ3677" s="200">
        <f t="shared" si="1108"/>
        <v>3027878.5311884549</v>
      </c>
      <c r="AK3677" s="201">
        <f t="shared" si="1123"/>
        <v>0.11942391061910851</v>
      </c>
      <c r="AL3677" s="24"/>
      <c r="AM3677" s="24"/>
      <c r="AN3677" s="24"/>
      <c r="AO3677" s="24"/>
      <c r="AP3677" s="165" t="str">
        <f t="shared" si="1124"/>
        <v>20248</v>
      </c>
      <c r="AQ3677" s="203" t="str">
        <f t="shared" si="1125"/>
        <v>20248RMB</v>
      </c>
      <c r="AR3677" s="206" t="str">
        <f t="shared" si="1126"/>
        <v>YAMAHA_Mounter</v>
      </c>
      <c r="AS3677" s="22">
        <f t="shared" si="1127"/>
        <v>1</v>
      </c>
      <c r="AT3677" s="24" t="str">
        <f t="shared" si="1128"/>
        <v>0-3 months</v>
      </c>
    </row>
    <row r="3678" spans="1:46">
      <c r="A3678" s="33" t="str">
        <f t="shared" si="1113"/>
        <v>FY 24/25</v>
      </c>
      <c r="B3678" s="23">
        <v>2024</v>
      </c>
      <c r="C3678" s="23">
        <v>7</v>
      </c>
      <c r="D3678" s="202" t="str">
        <f t="shared" si="1114"/>
        <v>Q2</v>
      </c>
      <c r="E3678" s="33" t="s">
        <v>3173</v>
      </c>
      <c r="F3678" s="23">
        <v>2024</v>
      </c>
      <c r="G3678" s="23">
        <v>8</v>
      </c>
      <c r="H3678" s="29"/>
      <c r="I3678" s="204" t="str">
        <f t="shared" si="1116"/>
        <v>Q2</v>
      </c>
      <c r="J3678" s="188" t="s">
        <v>3546</v>
      </c>
      <c r="K3678" s="29" t="s">
        <v>1906</v>
      </c>
      <c r="L3678" s="24" t="s">
        <v>93</v>
      </c>
      <c r="M3678" s="13" t="s">
        <v>61</v>
      </c>
      <c r="N3678" s="13">
        <v>1</v>
      </c>
      <c r="O3678" s="22"/>
      <c r="P3678" s="202" t="str">
        <f t="shared" si="1117"/>
        <v>MAIN UNIT</v>
      </c>
      <c r="Q3678" s="22" t="s">
        <v>62</v>
      </c>
      <c r="R3678" s="22" t="s">
        <v>63</v>
      </c>
      <c r="S3678" s="22" t="s">
        <v>53</v>
      </c>
      <c r="T3678" s="22" t="s">
        <v>177</v>
      </c>
      <c r="U3678" s="22" t="s">
        <v>178</v>
      </c>
      <c r="V3678" s="22" t="s">
        <v>179</v>
      </c>
      <c r="W3678" s="22" t="s">
        <v>65</v>
      </c>
      <c r="X3678" s="104">
        <v>750000</v>
      </c>
      <c r="Y3678" s="195" t="str">
        <f t="shared" si="1118"/>
        <v>1.13</v>
      </c>
      <c r="Z3678" s="196">
        <f t="shared" si="1119"/>
        <v>750000</v>
      </c>
      <c r="AA3678" s="22">
        <v>1.08</v>
      </c>
      <c r="AB3678" s="197">
        <f t="shared" si="1120"/>
        <v>716814.15929203562</v>
      </c>
      <c r="AC3678" s="198">
        <f t="shared" si="1121"/>
        <v>86017.699115044277</v>
      </c>
      <c r="AD3678" s="169">
        <v>0.12</v>
      </c>
      <c r="AE3678" s="199">
        <f t="shared" si="1122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107"/>
        <v>25354039.366920356</v>
      </c>
      <c r="AJ3678" s="200">
        <f t="shared" si="1108"/>
        <v>3027878.5311884549</v>
      </c>
      <c r="AK3678" s="201">
        <f t="shared" si="1123"/>
        <v>0.11942391061910851</v>
      </c>
      <c r="AL3678" s="24"/>
      <c r="AM3678" s="24"/>
      <c r="AN3678" s="24"/>
      <c r="AO3678" s="24"/>
      <c r="AP3678" s="165" t="str">
        <f t="shared" si="1124"/>
        <v>20248</v>
      </c>
      <c r="AQ3678" s="203" t="str">
        <f t="shared" si="1125"/>
        <v>20248RMB</v>
      </c>
      <c r="AR3678" s="206" t="str">
        <f t="shared" si="1126"/>
        <v>YAMAHA_Mounter</v>
      </c>
      <c r="AS3678" s="22">
        <f t="shared" si="1127"/>
        <v>1</v>
      </c>
      <c r="AT3678" s="24" t="str">
        <f t="shared" si="1128"/>
        <v>0-3 months</v>
      </c>
    </row>
    <row r="3679" spans="1:46">
      <c r="A3679" s="33" t="str">
        <f t="shared" si="1113"/>
        <v>FY 24/25</v>
      </c>
      <c r="B3679" s="23">
        <v>2024</v>
      </c>
      <c r="C3679" s="23">
        <v>7</v>
      </c>
      <c r="D3679" s="202" t="str">
        <f t="shared" si="1114"/>
        <v>Q2</v>
      </c>
      <c r="E3679" s="33" t="s">
        <v>3173</v>
      </c>
      <c r="F3679" s="23">
        <v>2024</v>
      </c>
      <c r="G3679" s="23">
        <v>8</v>
      </c>
      <c r="H3679" s="29"/>
      <c r="I3679" s="204" t="str">
        <f t="shared" si="1116"/>
        <v>Q2</v>
      </c>
      <c r="J3679" s="188" t="s">
        <v>3546</v>
      </c>
      <c r="K3679" s="29" t="s">
        <v>1906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17"/>
        <v>MAIN UNIT</v>
      </c>
      <c r="Q3679" s="22" t="s">
        <v>62</v>
      </c>
      <c r="R3679" s="22" t="s">
        <v>63</v>
      </c>
      <c r="S3679" s="22" t="s">
        <v>53</v>
      </c>
      <c r="T3679" s="22" t="s">
        <v>177</v>
      </c>
      <c r="U3679" s="22" t="s">
        <v>178</v>
      </c>
      <c r="V3679" s="22" t="s">
        <v>179</v>
      </c>
      <c r="W3679" s="22" t="s">
        <v>65</v>
      </c>
      <c r="X3679" s="104">
        <v>590000</v>
      </c>
      <c r="Y3679" s="195" t="str">
        <f t="shared" si="1118"/>
        <v>1.13</v>
      </c>
      <c r="Z3679" s="196">
        <f t="shared" si="1119"/>
        <v>590000</v>
      </c>
      <c r="AA3679" s="22">
        <v>1.08</v>
      </c>
      <c r="AB3679" s="197">
        <f t="shared" si="1120"/>
        <v>563893.80530973466</v>
      </c>
      <c r="AC3679" s="198">
        <f t="shared" si="1121"/>
        <v>67667.256637168161</v>
      </c>
      <c r="AD3679" s="169">
        <v>0.12</v>
      </c>
      <c r="AE3679" s="199">
        <f t="shared" si="1122"/>
        <v>0</v>
      </c>
      <c r="AF3679" s="199" t="str">
        <f>IF(AND(COUNTIFS($J$18:J3679,J3679)=1,AE3679=1),1,"")</f>
        <v/>
      </c>
      <c r="AG3679" s="199" t="str">
        <f>IF(C3679="","",IF(AND(COUNTIFS($J$18:J3679,J3679)=1,C3679&lt;&gt;""),1,""))</f>
        <v/>
      </c>
      <c r="AH3679" s="199" t="str">
        <f>IF(G3679="","",IF(AND(COUNTIFS($J$18:J3679,J3679)=1,G3679&lt;&gt;""),1,""))</f>
        <v/>
      </c>
      <c r="AI3679" s="200">
        <f t="shared" si="1107"/>
        <v>25354039.366920356</v>
      </c>
      <c r="AJ3679" s="200">
        <f t="shared" si="1108"/>
        <v>3027878.5311884549</v>
      </c>
      <c r="AK3679" s="201">
        <f t="shared" si="1123"/>
        <v>0.11942391061910851</v>
      </c>
      <c r="AL3679" s="24"/>
      <c r="AM3679" s="24"/>
      <c r="AN3679" s="24"/>
      <c r="AO3679" s="24"/>
      <c r="AP3679" s="165" t="str">
        <f t="shared" si="1124"/>
        <v>20248</v>
      </c>
      <c r="AQ3679" s="203" t="str">
        <f t="shared" si="1125"/>
        <v>20248RMB</v>
      </c>
      <c r="AR3679" s="206" t="str">
        <f t="shared" si="1126"/>
        <v>YAMAHA_Mounter</v>
      </c>
      <c r="AS3679" s="22">
        <f t="shared" si="1127"/>
        <v>1</v>
      </c>
      <c r="AT3679" s="24" t="str">
        <f t="shared" si="1128"/>
        <v>0-3 months</v>
      </c>
    </row>
    <row r="3680" spans="1:46">
      <c r="A3680" s="33" t="str">
        <f t="shared" ref="A3680:A3743" si="1129">IF(C3680="cancel","cancel",IFERROR(IF(D3680="Q4","FY "&amp;RIGHT(B3680,2)-1&amp;"/"&amp;RIGHT(B3680,2),"FY "&amp;RIGHT(B3680,2)&amp;"/"&amp;RIGHT(B3680,2)+1),""))</f>
        <v>FY 24/25</v>
      </c>
      <c r="B3680" s="23">
        <v>2024</v>
      </c>
      <c r="C3680" s="23">
        <v>7</v>
      </c>
      <c r="D3680" s="202" t="str">
        <f t="shared" si="1114"/>
        <v>Q2</v>
      </c>
      <c r="E3680" s="33" t="s">
        <v>3173</v>
      </c>
      <c r="F3680" s="23">
        <v>2024</v>
      </c>
      <c r="G3680" s="23">
        <v>8</v>
      </c>
      <c r="H3680" s="29"/>
      <c r="I3680" s="204" t="str">
        <f t="shared" ref="I3680:I3743" si="1130">IFERROR(IF(F3680="","",IF(F3680="TBA","TBA",IF(F3680="Cancel","Cancel",IF(AND(G3680&gt;=10,G3680&lt;=12),"Q3",IF(AND(G3680&gt;=1,G3680&lt;=3),"Q4",IF(AND(G3680&gt;=7,G3680&lt;=9),"Q2",IF(AND(G3680&gt;=4,G3680&lt;=6),"Q1"))))))),"")</f>
        <v>Q2</v>
      </c>
      <c r="J3680" s="188" t="s">
        <v>3546</v>
      </c>
      <c r="K3680" s="29" t="s">
        <v>1906</v>
      </c>
      <c r="L3680" s="17" t="s">
        <v>2621</v>
      </c>
      <c r="M3680" s="13" t="s">
        <v>61</v>
      </c>
      <c r="N3680" s="13">
        <v>1</v>
      </c>
      <c r="O3680" s="22"/>
      <c r="P3680" s="202" t="str">
        <f t="shared" si="1117"/>
        <v>MAIN UNIT</v>
      </c>
      <c r="Q3680" s="22" t="s">
        <v>62</v>
      </c>
      <c r="R3680" s="22" t="s">
        <v>2056</v>
      </c>
      <c r="S3680" s="22" t="s">
        <v>53</v>
      </c>
      <c r="T3680" s="22" t="s">
        <v>177</v>
      </c>
      <c r="U3680" s="22" t="s">
        <v>178</v>
      </c>
      <c r="V3680" s="22" t="s">
        <v>179</v>
      </c>
      <c r="W3680" s="22" t="s">
        <v>65</v>
      </c>
      <c r="X3680" s="104">
        <v>485000</v>
      </c>
      <c r="Y3680" s="195" t="str">
        <f t="shared" si="1118"/>
        <v>1.13</v>
      </c>
      <c r="Z3680" s="196">
        <f t="shared" si="1119"/>
        <v>485000</v>
      </c>
      <c r="AA3680" s="22">
        <v>1.08</v>
      </c>
      <c r="AB3680" s="197">
        <f t="shared" si="1120"/>
        <v>463539.82300884963</v>
      </c>
      <c r="AC3680" s="198">
        <f t="shared" ref="AC3680:AC3743" si="1131">IF(R3680&lt;&gt;"",AB3680*AD3680,"")</f>
        <v>55624.778761061956</v>
      </c>
      <c r="AD3680" s="169">
        <v>0.12</v>
      </c>
      <c r="AE3680" s="199">
        <f t="shared" ref="AE3680:AE3743" si="1132">IF(Q3680="","",IF(Q3680="Yes",1,0))</f>
        <v>0</v>
      </c>
      <c r="AF3680" s="199" t="str">
        <f>IF(AND(COUNTIFS($J$18:J3680,J3680)=1,AE3680=1),1,"")</f>
        <v/>
      </c>
      <c r="AG3680" s="199" t="str">
        <f>IF(C3680="","",IF(AND(COUNTIFS($J$18:J3680,J3680)=1,C3680&lt;&gt;""),1,""))</f>
        <v/>
      </c>
      <c r="AH3680" s="199" t="str">
        <f>IF(G3680="","",IF(AND(COUNTIFS($J$18:J3680,J3680)=1,G3680&lt;&gt;""),1,""))</f>
        <v/>
      </c>
      <c r="AI3680" s="200">
        <f t="shared" si="1107"/>
        <v>25354039.366920356</v>
      </c>
      <c r="AJ3680" s="200">
        <f t="shared" si="1108"/>
        <v>3027878.5311884549</v>
      </c>
      <c r="AK3680" s="201">
        <f t="shared" ref="AK3680:AK3743" si="1133">IF(AJ3680&gt;0,AJ3680/AI3680,"")</f>
        <v>0.11942391061910851</v>
      </c>
      <c r="AL3680" s="24"/>
      <c r="AM3680" s="24"/>
      <c r="AN3680" s="24"/>
      <c r="AO3680" s="24"/>
      <c r="AP3680" s="165" t="str">
        <f t="shared" ref="AP3680:AP3743" si="1134">IF(F3680="","",F3680&amp;G3680)</f>
        <v>20248</v>
      </c>
      <c r="AQ3680" s="203" t="str">
        <f t="shared" ref="AQ3680:AQ3743" si="1135">IF(W3680="","",F3680&amp;G3680&amp;W3680)</f>
        <v>20248RMB</v>
      </c>
      <c r="AR3680" s="206" t="str">
        <f t="shared" ref="AR3680:AR3743" si="1136">IFERROR(IF(AND(M3680="YAMAHA", R3680="C28"), "YAMAHA_Non_Mounter", IF(AND(M3680="YAMAHA", R3680="C49"), "YAMAHA_Mounter", M3680)),"")</f>
        <v>YAMAHA_Non_Mounter</v>
      </c>
      <c r="AS3680" s="22">
        <f t="shared" ref="AS3680:AS3743" si="1137">IFERROR(IF(OR(G3680="TBA", G3680=""), "", DATEDIF(DATE(B3680, C3680, 1), DATE(F3680, G3680, 1), "M")),"")</f>
        <v>1</v>
      </c>
      <c r="AT3680" s="24" t="str">
        <f t="shared" ref="AT3680:AT3743" si="1138">IF(ISNUMBER(AS3680), IF(AS3680&gt;=0, IF(AS3680&lt;=3, "0-3 months", IF(AS3680&lt;=6, "4-6 months", "&gt; 6 months"))), "")</f>
        <v>0-3 months</v>
      </c>
    </row>
    <row r="3681" spans="1:46">
      <c r="A3681" s="33" t="str">
        <f t="shared" si="1129"/>
        <v>FY 24/25</v>
      </c>
      <c r="B3681" s="23">
        <v>2024</v>
      </c>
      <c r="C3681" s="23">
        <v>8</v>
      </c>
      <c r="D3681" s="202" t="str">
        <f t="shared" si="1114"/>
        <v>Q2</v>
      </c>
      <c r="E3681" s="33" t="str">
        <f t="shared" si="1115"/>
        <v>FY 24/25</v>
      </c>
      <c r="F3681" s="23">
        <v>2024</v>
      </c>
      <c r="G3681" s="23">
        <v>9</v>
      </c>
      <c r="H3681" s="29"/>
      <c r="I3681" s="204" t="str">
        <f t="shared" si="1130"/>
        <v>Q2</v>
      </c>
      <c r="J3681" s="188" t="s">
        <v>3547</v>
      </c>
      <c r="K3681" s="29" t="s">
        <v>713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ref="P3681:P3684" si="1139">IF(M3681="","",IF(AND(N3681&gt;0,L3681&lt;&gt;""),"MAIN UNIT",IF(AND(O3681&gt;0,L3681&lt;&gt;""),"SERVICE/ PARTS","C66 SERVICE/OTHERS")))</f>
        <v>MAIN UNIT</v>
      </c>
      <c r="Q3681" s="22" t="s">
        <v>62</v>
      </c>
      <c r="R3681" s="22" t="s">
        <v>63</v>
      </c>
      <c r="S3681" s="22" t="s">
        <v>50</v>
      </c>
      <c r="T3681" s="22" t="s">
        <v>79</v>
      </c>
      <c r="U3681" s="22" t="s">
        <v>121</v>
      </c>
      <c r="V3681" s="22" t="s">
        <v>113</v>
      </c>
      <c r="W3681" s="22" t="s">
        <v>65</v>
      </c>
      <c r="X3681" s="104">
        <v>810000</v>
      </c>
      <c r="Y3681" s="195" t="str">
        <f t="shared" si="1118"/>
        <v>1.13</v>
      </c>
      <c r="Z3681" s="196">
        <f t="shared" si="1119"/>
        <v>810000</v>
      </c>
      <c r="AA3681" s="22">
        <v>1.0980000000000001</v>
      </c>
      <c r="AB3681" s="197">
        <f t="shared" si="1120"/>
        <v>787061.94690265507</v>
      </c>
      <c r="AC3681" s="198">
        <f t="shared" si="1131"/>
        <v>107591.36814159293</v>
      </c>
      <c r="AD3681" s="169">
        <v>0.13669999999999999</v>
      </c>
      <c r="AE3681" s="199">
        <f t="shared" si="1132"/>
        <v>0</v>
      </c>
      <c r="AF3681" s="199" t="str">
        <f>IF(AND(COUNTIFS($J$18:J3681,J3681)=1,AE3681=1),1,"")</f>
        <v/>
      </c>
      <c r="AG3681" s="199">
        <f>IF(C3681="","",IF(AND(COUNTIFS($J$18:J3681,J3681)=1,C3681&lt;&gt;""),1,""))</f>
        <v>1</v>
      </c>
      <c r="AH3681" s="199">
        <f>IF(G3681="","",IF(AND(COUNTIFS($J$18:J3681,J3681)=1,G3681&lt;&gt;""),1,""))</f>
        <v>1</v>
      </c>
      <c r="AI3681" s="200">
        <f t="shared" si="1107"/>
        <v>35931087.732566379</v>
      </c>
      <c r="AJ3681" s="200">
        <f t="shared" si="1108"/>
        <v>4346699.6584161064</v>
      </c>
      <c r="AK3681" s="201">
        <f t="shared" si="1133"/>
        <v>0.12097322771769156</v>
      </c>
      <c r="AL3681" s="24"/>
      <c r="AM3681" s="24"/>
      <c r="AN3681" s="24"/>
      <c r="AO3681" s="24"/>
      <c r="AP3681" s="165" t="str">
        <f t="shared" si="1134"/>
        <v>20249</v>
      </c>
      <c r="AQ3681" s="203" t="str">
        <f t="shared" si="1135"/>
        <v>20249RMB</v>
      </c>
      <c r="AR3681" s="206" t="str">
        <f t="shared" si="1136"/>
        <v>YAMAHA_Mounter</v>
      </c>
      <c r="AS3681" s="22">
        <f t="shared" si="1137"/>
        <v>1</v>
      </c>
      <c r="AT3681" s="24" t="str">
        <f t="shared" si="1138"/>
        <v>0-3 months</v>
      </c>
    </row>
    <row r="3682" spans="1:46">
      <c r="A3682" s="33" t="str">
        <f t="shared" si="1129"/>
        <v>FY 24/25</v>
      </c>
      <c r="B3682" s="23">
        <v>2024</v>
      </c>
      <c r="C3682" s="23">
        <v>8</v>
      </c>
      <c r="D3682" s="202" t="str">
        <f t="shared" si="1114"/>
        <v>Q2</v>
      </c>
      <c r="E3682" s="33" t="str">
        <f t="shared" si="1115"/>
        <v>FY 24/25</v>
      </c>
      <c r="F3682" s="23">
        <v>2024</v>
      </c>
      <c r="G3682" s="23">
        <v>10</v>
      </c>
      <c r="H3682" s="29"/>
      <c r="I3682" s="204" t="str">
        <f t="shared" si="1130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39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118"/>
        <v>1</v>
      </c>
      <c r="Z3682" s="196">
        <f t="shared" si="1119"/>
        <v>12200000</v>
      </c>
      <c r="AA3682" s="22">
        <v>5.5599999999999997E-2</v>
      </c>
      <c r="AB3682" s="197">
        <f t="shared" si="1120"/>
        <v>678320</v>
      </c>
      <c r="AC3682" s="198">
        <f t="shared" si="1131"/>
        <v>81398.399999999994</v>
      </c>
      <c r="AD3682" s="169">
        <v>0.12</v>
      </c>
      <c r="AE3682" s="199">
        <f t="shared" si="1132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107"/>
        <v>25860689.500884958</v>
      </c>
      <c r="AJ3682" s="200">
        <f t="shared" si="1108"/>
        <v>3153620.4547964605</v>
      </c>
      <c r="AK3682" s="201">
        <f t="shared" si="1133"/>
        <v>0.1219464954593938</v>
      </c>
      <c r="AL3682" s="24"/>
      <c r="AM3682" s="24"/>
      <c r="AN3682" s="24"/>
      <c r="AO3682" s="24"/>
      <c r="AP3682" s="165" t="str">
        <f t="shared" si="1134"/>
        <v>202410</v>
      </c>
      <c r="AQ3682" s="203" t="str">
        <f t="shared" si="1135"/>
        <v>202410JPY</v>
      </c>
      <c r="AR3682" s="206" t="str">
        <f t="shared" si="1136"/>
        <v>YAMAHA_Mounter</v>
      </c>
      <c r="AS3682" s="22">
        <f t="shared" si="1137"/>
        <v>2</v>
      </c>
      <c r="AT3682" s="24" t="str">
        <f t="shared" si="1138"/>
        <v>0-3 months</v>
      </c>
    </row>
    <row r="3683" spans="1:46">
      <c r="A3683" s="33" t="str">
        <f t="shared" si="1129"/>
        <v>FY 24/25</v>
      </c>
      <c r="B3683" s="23">
        <v>2024</v>
      </c>
      <c r="C3683" s="23">
        <v>8</v>
      </c>
      <c r="D3683" s="202" t="str">
        <f t="shared" si="1114"/>
        <v>Q2</v>
      </c>
      <c r="E3683" s="33" t="str">
        <f t="shared" si="1115"/>
        <v>FY 24/25</v>
      </c>
      <c r="F3683" s="23">
        <v>2024</v>
      </c>
      <c r="G3683" s="23">
        <v>10</v>
      </c>
      <c r="H3683" s="29"/>
      <c r="I3683" s="204" t="str">
        <f t="shared" si="1130"/>
        <v>Q3</v>
      </c>
      <c r="J3683" s="188" t="s">
        <v>3566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39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118"/>
        <v>1</v>
      </c>
      <c r="Z3683" s="196">
        <f t="shared" si="1119"/>
        <v>12200000</v>
      </c>
      <c r="AA3683" s="22">
        <v>5.5599999999999997E-2</v>
      </c>
      <c r="AB3683" s="197">
        <f t="shared" si="1120"/>
        <v>678320</v>
      </c>
      <c r="AC3683" s="198">
        <f t="shared" si="1131"/>
        <v>81398.399999999994</v>
      </c>
      <c r="AD3683" s="169">
        <v>0.12</v>
      </c>
      <c r="AE3683" s="199">
        <f t="shared" si="1132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107"/>
        <v>25860689.500884958</v>
      </c>
      <c r="AJ3683" s="200">
        <f t="shared" si="1108"/>
        <v>3153620.4547964605</v>
      </c>
      <c r="AK3683" s="201">
        <f t="shared" si="1133"/>
        <v>0.1219464954593938</v>
      </c>
      <c r="AL3683" s="24"/>
      <c r="AM3683" s="24"/>
      <c r="AN3683" s="24"/>
      <c r="AO3683" s="24"/>
      <c r="AP3683" s="165" t="str">
        <f t="shared" si="1134"/>
        <v>202410</v>
      </c>
      <c r="AQ3683" s="203" t="str">
        <f t="shared" si="1135"/>
        <v>202410JPY</v>
      </c>
      <c r="AR3683" s="206" t="str">
        <f t="shared" si="1136"/>
        <v>YAMAHA_Mounter</v>
      </c>
      <c r="AS3683" s="22">
        <f t="shared" si="1137"/>
        <v>2</v>
      </c>
      <c r="AT3683" s="24" t="str">
        <f t="shared" si="1138"/>
        <v>0-3 months</v>
      </c>
    </row>
    <row r="3684" spans="1:46">
      <c r="A3684" s="33" t="str">
        <f t="shared" si="1129"/>
        <v>FY 24/25</v>
      </c>
      <c r="B3684" s="23">
        <v>2024</v>
      </c>
      <c r="C3684" s="23">
        <v>8</v>
      </c>
      <c r="D3684" s="202" t="str">
        <f t="shared" si="1114"/>
        <v>Q2</v>
      </c>
      <c r="E3684" s="33" t="str">
        <f t="shared" si="1115"/>
        <v>FY 24/25</v>
      </c>
      <c r="F3684" s="23">
        <v>2024</v>
      </c>
      <c r="G3684" s="23">
        <v>10</v>
      </c>
      <c r="H3684" s="29"/>
      <c r="I3684" s="204" t="str">
        <f t="shared" si="1130"/>
        <v>Q3</v>
      </c>
      <c r="J3684" s="188" t="s">
        <v>3566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39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118"/>
        <v>1</v>
      </c>
      <c r="Z3684" s="196">
        <f t="shared" si="1119"/>
        <v>12200000</v>
      </c>
      <c r="AA3684" s="22">
        <v>5.5599999999999997E-2</v>
      </c>
      <c r="AB3684" s="197">
        <f t="shared" si="1120"/>
        <v>678320</v>
      </c>
      <c r="AC3684" s="198">
        <f t="shared" si="1131"/>
        <v>81398.399999999994</v>
      </c>
      <c r="AD3684" s="169">
        <v>0.12</v>
      </c>
      <c r="AE3684" s="199">
        <f t="shared" si="1132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107"/>
        <v>25860689.500884958</v>
      </c>
      <c r="AJ3684" s="200">
        <f t="shared" si="1108"/>
        <v>3153620.4547964605</v>
      </c>
      <c r="AK3684" s="201">
        <f t="shared" si="1133"/>
        <v>0.1219464954593938</v>
      </c>
      <c r="AL3684" s="24"/>
      <c r="AM3684" s="24"/>
      <c r="AN3684" s="24"/>
      <c r="AO3684" s="24"/>
      <c r="AP3684" s="165" t="str">
        <f t="shared" si="1134"/>
        <v>202410</v>
      </c>
      <c r="AQ3684" s="203" t="str">
        <f t="shared" si="1135"/>
        <v>202410JPY</v>
      </c>
      <c r="AR3684" s="206" t="str">
        <f t="shared" si="1136"/>
        <v>YAMAHA_Mounter</v>
      </c>
      <c r="AS3684" s="22">
        <f t="shared" si="1137"/>
        <v>2</v>
      </c>
      <c r="AT3684" s="24" t="str">
        <f t="shared" si="1138"/>
        <v>0-3 months</v>
      </c>
    </row>
    <row r="3685" spans="1:46">
      <c r="A3685" s="33" t="str">
        <f t="shared" si="1129"/>
        <v>FY 24/25</v>
      </c>
      <c r="B3685" s="23">
        <v>2024</v>
      </c>
      <c r="C3685" s="23">
        <v>8</v>
      </c>
      <c r="D3685" s="202" t="str">
        <f t="shared" si="1114"/>
        <v>Q2</v>
      </c>
      <c r="E3685" s="33" t="str">
        <f t="shared" si="1115"/>
        <v>FY 24/25</v>
      </c>
      <c r="F3685" s="23">
        <v>2024</v>
      </c>
      <c r="G3685" s="23">
        <v>10</v>
      </c>
      <c r="H3685" s="29"/>
      <c r="I3685" s="204" t="str">
        <f t="shared" si="1130"/>
        <v>Q3</v>
      </c>
      <c r="J3685" s="188" t="s">
        <v>3566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ref="P3685:P3744" si="1140">IF(M3685="","",IF(AND(N3685&gt;0,L3685&lt;&gt;""),"MAIN UNIT",IF(AND(O3685&gt;0,L3685&lt;&gt;""),"SERVICE/ PARTS","C66 SERVICE/OTHERS")))</f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118"/>
        <v>1</v>
      </c>
      <c r="Z3685" s="196">
        <f t="shared" si="1119"/>
        <v>7200000</v>
      </c>
      <c r="AA3685" s="22">
        <v>5.5599999999999997E-2</v>
      </c>
      <c r="AB3685" s="197">
        <f t="shared" si="1120"/>
        <v>400320</v>
      </c>
      <c r="AC3685" s="198">
        <f t="shared" si="1131"/>
        <v>48038.400000000001</v>
      </c>
      <c r="AD3685" s="169">
        <v>0.12</v>
      </c>
      <c r="AE3685" s="199">
        <f t="shared" si="1132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107"/>
        <v>25860689.500884958</v>
      </c>
      <c r="AJ3685" s="200">
        <f t="shared" si="1108"/>
        <v>3153620.4547964605</v>
      </c>
      <c r="AK3685" s="201">
        <f t="shared" si="1133"/>
        <v>0.1219464954593938</v>
      </c>
      <c r="AL3685" s="24"/>
      <c r="AM3685" s="24"/>
      <c r="AN3685" s="24"/>
      <c r="AO3685" s="24"/>
      <c r="AP3685" s="165" t="str">
        <f t="shared" si="1134"/>
        <v>202410</v>
      </c>
      <c r="AQ3685" s="203" t="str">
        <f t="shared" si="1135"/>
        <v>202410JPY</v>
      </c>
      <c r="AR3685" s="206" t="str">
        <f t="shared" si="1136"/>
        <v>YAMAHA_Mounter</v>
      </c>
      <c r="AS3685" s="22">
        <f t="shared" si="1137"/>
        <v>2</v>
      </c>
      <c r="AT3685" s="24" t="str">
        <f t="shared" si="1138"/>
        <v>0-3 months</v>
      </c>
    </row>
    <row r="3686" spans="1:46">
      <c r="A3686" s="33" t="str">
        <f t="shared" si="1129"/>
        <v>FY 24/25</v>
      </c>
      <c r="B3686" s="23">
        <v>2024</v>
      </c>
      <c r="C3686" s="23">
        <v>8</v>
      </c>
      <c r="D3686" s="202" t="str">
        <f t="shared" si="1114"/>
        <v>Q2</v>
      </c>
      <c r="E3686" s="33" t="str">
        <f t="shared" si="1115"/>
        <v>FY 24/25</v>
      </c>
      <c r="F3686" s="23">
        <v>2024</v>
      </c>
      <c r="G3686" s="23">
        <v>10</v>
      </c>
      <c r="H3686" s="29"/>
      <c r="I3686" s="204" t="str">
        <f t="shared" si="1130"/>
        <v>Q3</v>
      </c>
      <c r="J3686" s="188" t="s">
        <v>3566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4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118"/>
        <v>1</v>
      </c>
      <c r="Z3686" s="196">
        <f t="shared" si="1119"/>
        <v>7200000</v>
      </c>
      <c r="AA3686" s="22">
        <v>5.5599999999999997E-2</v>
      </c>
      <c r="AB3686" s="197">
        <f t="shared" si="1120"/>
        <v>400320</v>
      </c>
      <c r="AC3686" s="198">
        <f t="shared" si="1131"/>
        <v>48038.400000000001</v>
      </c>
      <c r="AD3686" s="169">
        <v>0.12</v>
      </c>
      <c r="AE3686" s="199">
        <f t="shared" si="1132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107"/>
        <v>25860689.500884958</v>
      </c>
      <c r="AJ3686" s="200">
        <f t="shared" si="1108"/>
        <v>3153620.4547964605</v>
      </c>
      <c r="AK3686" s="201">
        <f t="shared" si="1133"/>
        <v>0.1219464954593938</v>
      </c>
      <c r="AL3686" s="24"/>
      <c r="AM3686" s="24"/>
      <c r="AN3686" s="24"/>
      <c r="AO3686" s="24"/>
      <c r="AP3686" s="165" t="str">
        <f t="shared" si="1134"/>
        <v>202410</v>
      </c>
      <c r="AQ3686" s="203" t="str">
        <f t="shared" si="1135"/>
        <v>202410JPY</v>
      </c>
      <c r="AR3686" s="206" t="str">
        <f t="shared" si="1136"/>
        <v>YAMAHA_Mounter</v>
      </c>
      <c r="AS3686" s="22">
        <f t="shared" si="1137"/>
        <v>2</v>
      </c>
      <c r="AT3686" s="24" t="str">
        <f t="shared" si="1138"/>
        <v>0-3 months</v>
      </c>
    </row>
    <row r="3687" spans="1:46">
      <c r="A3687" s="33" t="str">
        <f t="shared" si="1129"/>
        <v>FY 24/25</v>
      </c>
      <c r="B3687" s="23">
        <v>2024</v>
      </c>
      <c r="C3687" s="23">
        <v>8</v>
      </c>
      <c r="D3687" s="202" t="str">
        <f t="shared" si="1114"/>
        <v>Q2</v>
      </c>
      <c r="E3687" s="33" t="str">
        <f t="shared" si="1115"/>
        <v>FY 24/25</v>
      </c>
      <c r="F3687" s="23">
        <v>2024</v>
      </c>
      <c r="G3687" s="23">
        <v>10</v>
      </c>
      <c r="H3687" s="29"/>
      <c r="I3687" s="204" t="str">
        <f t="shared" si="1130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4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118"/>
        <v>1</v>
      </c>
      <c r="Z3687" s="196">
        <f t="shared" si="1119"/>
        <v>15530000</v>
      </c>
      <c r="AA3687" s="22">
        <v>5.5599999999999997E-2</v>
      </c>
      <c r="AB3687" s="197">
        <f t="shared" si="1120"/>
        <v>863468</v>
      </c>
      <c r="AC3687" s="198">
        <f t="shared" si="1131"/>
        <v>103616.15999999999</v>
      </c>
      <c r="AD3687" s="169">
        <v>0.12</v>
      </c>
      <c r="AE3687" s="199">
        <f t="shared" si="1132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107"/>
        <v>25860689.500884958</v>
      </c>
      <c r="AJ3687" s="200">
        <f t="shared" si="1108"/>
        <v>3153620.4547964605</v>
      </c>
      <c r="AK3687" s="201">
        <f t="shared" si="1133"/>
        <v>0.1219464954593938</v>
      </c>
      <c r="AL3687" s="24"/>
      <c r="AM3687" s="24"/>
      <c r="AN3687" s="24"/>
      <c r="AO3687" s="24"/>
      <c r="AP3687" s="165" t="str">
        <f t="shared" si="1134"/>
        <v>202410</v>
      </c>
      <c r="AQ3687" s="203" t="str">
        <f t="shared" si="1135"/>
        <v>202410JPY</v>
      </c>
      <c r="AR3687" s="206" t="str">
        <f t="shared" si="1136"/>
        <v>YAMAHA_Mounter</v>
      </c>
      <c r="AS3687" s="22">
        <f t="shared" si="1137"/>
        <v>2</v>
      </c>
      <c r="AT3687" s="24" t="str">
        <f t="shared" si="1138"/>
        <v>0-3 months</v>
      </c>
    </row>
    <row r="3688" spans="1:46">
      <c r="A3688" s="33" t="str">
        <f t="shared" si="1129"/>
        <v>FY 24/25</v>
      </c>
      <c r="B3688" s="23">
        <v>2024</v>
      </c>
      <c r="C3688" s="23">
        <v>8</v>
      </c>
      <c r="D3688" s="202" t="str">
        <f t="shared" si="1114"/>
        <v>Q2</v>
      </c>
      <c r="E3688" s="33" t="str">
        <f t="shared" si="1115"/>
        <v>FY 24/25</v>
      </c>
      <c r="F3688" s="23">
        <v>2024</v>
      </c>
      <c r="G3688" s="23">
        <v>10</v>
      </c>
      <c r="H3688" s="29"/>
      <c r="I3688" s="204" t="str">
        <f t="shared" si="1130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4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118"/>
        <v>1</v>
      </c>
      <c r="Z3688" s="196">
        <f t="shared" si="1119"/>
        <v>8170000</v>
      </c>
      <c r="AA3688" s="22">
        <v>5.5599999999999997E-2</v>
      </c>
      <c r="AB3688" s="197">
        <f t="shared" si="1120"/>
        <v>454252</v>
      </c>
      <c r="AC3688" s="198">
        <f t="shared" si="1131"/>
        <v>54510.239999999998</v>
      </c>
      <c r="AD3688" s="169">
        <v>0.12</v>
      </c>
      <c r="AE3688" s="199">
        <f t="shared" si="1132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107"/>
        <v>25860689.500884958</v>
      </c>
      <c r="AJ3688" s="200">
        <f t="shared" si="1108"/>
        <v>3153620.4547964605</v>
      </c>
      <c r="AK3688" s="201">
        <f t="shared" si="1133"/>
        <v>0.1219464954593938</v>
      </c>
      <c r="AL3688" s="24"/>
      <c r="AM3688" s="24"/>
      <c r="AN3688" s="24"/>
      <c r="AO3688" s="24"/>
      <c r="AP3688" s="165" t="str">
        <f t="shared" si="1134"/>
        <v>202410</v>
      </c>
      <c r="AQ3688" s="203" t="str">
        <f t="shared" si="1135"/>
        <v>202410JPY</v>
      </c>
      <c r="AR3688" s="206" t="str">
        <f t="shared" si="1136"/>
        <v>YAMAHA_Mounter</v>
      </c>
      <c r="AS3688" s="22">
        <f t="shared" si="1137"/>
        <v>2</v>
      </c>
      <c r="AT3688" s="24" t="str">
        <f t="shared" si="1138"/>
        <v>0-3 months</v>
      </c>
    </row>
    <row r="3689" spans="1:46" ht="42">
      <c r="A3689" s="33" t="str">
        <f t="shared" si="1129"/>
        <v/>
      </c>
      <c r="B3689" s="23"/>
      <c r="C3689" s="23"/>
      <c r="D3689" s="202" t="str">
        <f t="shared" si="1114"/>
        <v/>
      </c>
      <c r="E3689" s="33" t="s">
        <v>3173</v>
      </c>
      <c r="F3689" s="23">
        <v>2024</v>
      </c>
      <c r="G3689" s="23">
        <v>8</v>
      </c>
      <c r="H3689" s="29"/>
      <c r="I3689" s="204" t="str">
        <f t="shared" si="1130"/>
        <v>Q2</v>
      </c>
      <c r="J3689" s="188"/>
      <c r="K3689" s="29"/>
      <c r="L3689" s="24" t="s">
        <v>44</v>
      </c>
      <c r="M3689" s="22" t="s">
        <v>44</v>
      </c>
      <c r="N3689" s="22">
        <v>0</v>
      </c>
      <c r="O3689" s="22"/>
      <c r="P3689" s="202" t="str">
        <f t="shared" si="1140"/>
        <v>C66 SERVICE/OTHERS</v>
      </c>
      <c r="Q3689" s="22" t="s">
        <v>46</v>
      </c>
      <c r="R3689" s="22" t="s">
        <v>46</v>
      </c>
      <c r="S3689" s="22" t="s">
        <v>53</v>
      </c>
      <c r="T3689" s="22"/>
      <c r="U3689" s="22"/>
      <c r="V3689" s="22"/>
      <c r="W3689" s="22"/>
      <c r="X3689" s="104"/>
      <c r="Y3689" s="195" t="str">
        <f t="shared" si="1118"/>
        <v/>
      </c>
      <c r="Z3689" s="196" t="str">
        <f t="shared" si="1119"/>
        <v/>
      </c>
      <c r="AA3689" s="22"/>
      <c r="AB3689" s="197">
        <v>0</v>
      </c>
      <c r="AC3689" s="198">
        <f t="shared" si="1131"/>
        <v>0</v>
      </c>
      <c r="AD3689" s="162">
        <v>0.3</v>
      </c>
      <c r="AE3689" s="199">
        <f t="shared" si="1132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107"/>
        <v>25354039.366920356</v>
      </c>
      <c r="AJ3689" s="200">
        <f t="shared" si="1108"/>
        <v>3027878.5311884549</v>
      </c>
      <c r="AK3689" s="201">
        <f t="shared" si="1133"/>
        <v>0.11942391061910851</v>
      </c>
      <c r="AL3689" s="24"/>
      <c r="AM3689" s="24"/>
      <c r="AN3689" s="24"/>
      <c r="AO3689" s="24"/>
      <c r="AP3689" s="165" t="str">
        <f t="shared" si="1134"/>
        <v>20248</v>
      </c>
      <c r="AQ3689" s="203" t="str">
        <f t="shared" si="1135"/>
        <v/>
      </c>
      <c r="AR3689" s="206" t="str">
        <f t="shared" si="1136"/>
        <v>C66 SERVICE</v>
      </c>
      <c r="AS3689" s="22" t="str">
        <f t="shared" si="1137"/>
        <v/>
      </c>
      <c r="AT3689" s="24" t="str">
        <f t="shared" si="1138"/>
        <v/>
      </c>
    </row>
    <row r="3690" spans="1:46" ht="42">
      <c r="A3690" s="33" t="str">
        <f t="shared" si="1129"/>
        <v/>
      </c>
      <c r="B3690" s="23"/>
      <c r="C3690" s="23"/>
      <c r="D3690" s="202" t="str">
        <f t="shared" si="1114"/>
        <v/>
      </c>
      <c r="E3690" s="33" t="s">
        <v>3173</v>
      </c>
      <c r="F3690" s="23">
        <v>2024</v>
      </c>
      <c r="G3690" s="23">
        <v>8</v>
      </c>
      <c r="H3690" s="29"/>
      <c r="I3690" s="204" t="str">
        <f t="shared" si="1130"/>
        <v>Q2</v>
      </c>
      <c r="J3690" s="188"/>
      <c r="K3690" s="29"/>
      <c r="L3690" s="24" t="s">
        <v>44</v>
      </c>
      <c r="M3690" s="22" t="s">
        <v>44</v>
      </c>
      <c r="N3690" s="22">
        <v>0</v>
      </c>
      <c r="O3690" s="22"/>
      <c r="P3690" s="202" t="str">
        <f t="shared" si="1140"/>
        <v>C66 SERVICE/OTHERS</v>
      </c>
      <c r="Q3690" s="22" t="s">
        <v>46</v>
      </c>
      <c r="R3690" s="22" t="s">
        <v>46</v>
      </c>
      <c r="S3690" s="22" t="s">
        <v>52</v>
      </c>
      <c r="T3690" s="22"/>
      <c r="U3690" s="22"/>
      <c r="V3690" s="22"/>
      <c r="W3690" s="22"/>
      <c r="X3690" s="104"/>
      <c r="Y3690" s="195" t="str">
        <f t="shared" si="1118"/>
        <v/>
      </c>
      <c r="Z3690" s="196" t="str">
        <f t="shared" si="1119"/>
        <v/>
      </c>
      <c r="AA3690" s="22"/>
      <c r="AB3690" s="197">
        <v>128000</v>
      </c>
      <c r="AC3690" s="198">
        <f t="shared" si="1131"/>
        <v>38400</v>
      </c>
      <c r="AD3690" s="162">
        <v>0.3</v>
      </c>
      <c r="AE3690" s="199">
        <f t="shared" si="1132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107"/>
        <v>25354039.366920356</v>
      </c>
      <c r="AJ3690" s="200">
        <f t="shared" si="1108"/>
        <v>3027878.5311884549</v>
      </c>
      <c r="AK3690" s="201">
        <f t="shared" si="1133"/>
        <v>0.11942391061910851</v>
      </c>
      <c r="AL3690" s="24"/>
      <c r="AM3690" s="24"/>
      <c r="AN3690" s="24"/>
      <c r="AO3690" s="24"/>
      <c r="AP3690" s="165" t="str">
        <f t="shared" si="1134"/>
        <v>20248</v>
      </c>
      <c r="AQ3690" s="203" t="str">
        <f t="shared" si="1135"/>
        <v/>
      </c>
      <c r="AR3690" s="206" t="str">
        <f t="shared" si="1136"/>
        <v>C66 SERVICE</v>
      </c>
      <c r="AS3690" s="22" t="str">
        <f t="shared" si="1137"/>
        <v/>
      </c>
      <c r="AT3690" s="24" t="str">
        <f t="shared" si="1138"/>
        <v/>
      </c>
    </row>
    <row r="3691" spans="1:46" ht="42">
      <c r="A3691" s="33" t="str">
        <f t="shared" si="1129"/>
        <v/>
      </c>
      <c r="B3691" s="23"/>
      <c r="C3691" s="23"/>
      <c r="D3691" s="202" t="str">
        <f t="shared" si="1114"/>
        <v/>
      </c>
      <c r="E3691" s="33" t="s">
        <v>3173</v>
      </c>
      <c r="F3691" s="23">
        <v>2024</v>
      </c>
      <c r="G3691" s="23">
        <v>8</v>
      </c>
      <c r="H3691" s="29"/>
      <c r="I3691" s="204" t="str">
        <f t="shared" si="1130"/>
        <v>Q2</v>
      </c>
      <c r="J3691" s="188"/>
      <c r="K3691" s="29"/>
      <c r="L3691" s="24" t="s">
        <v>44</v>
      </c>
      <c r="M3691" s="22" t="s">
        <v>44</v>
      </c>
      <c r="N3691" s="22">
        <v>0</v>
      </c>
      <c r="O3691" s="22"/>
      <c r="P3691" s="202" t="str">
        <f t="shared" si="1140"/>
        <v>C66 SERVICE/OTHERS</v>
      </c>
      <c r="Q3691" s="22" t="s">
        <v>46</v>
      </c>
      <c r="R3691" s="22" t="s">
        <v>46</v>
      </c>
      <c r="S3691" s="22" t="s">
        <v>51</v>
      </c>
      <c r="T3691" s="22"/>
      <c r="U3691" s="22"/>
      <c r="V3691" s="22"/>
      <c r="W3691" s="22"/>
      <c r="X3691" s="104"/>
      <c r="Y3691" s="195" t="str">
        <f t="shared" si="1118"/>
        <v/>
      </c>
      <c r="Z3691" s="196" t="str">
        <f t="shared" si="1119"/>
        <v/>
      </c>
      <c r="AA3691" s="22"/>
      <c r="AB3691" s="197">
        <v>215000</v>
      </c>
      <c r="AC3691" s="198">
        <f t="shared" si="1131"/>
        <v>64500</v>
      </c>
      <c r="AD3691" s="162">
        <v>0.3</v>
      </c>
      <c r="AE3691" s="199">
        <f t="shared" si="1132"/>
        <v>0</v>
      </c>
      <c r="AF3691" s="199" t="str">
        <f>IF(AND(COUNTIFS($J$18:J3691,J3691)=1,AE3691=1),1,"")</f>
        <v/>
      </c>
      <c r="AG3691" s="199" t="str">
        <f>IF(C3691="","",IF(AND(COUNTIFS($J$18:J3691,J3691)=1,C3691&lt;&gt;""),1,""))</f>
        <v/>
      </c>
      <c r="AH3691" s="199" t="str">
        <f>IF(G3691="","",IF(AND(COUNTIFS($J$18:J3691,J3691)=1,G3691&lt;&gt;""),1,""))</f>
        <v/>
      </c>
      <c r="AI3691" s="200">
        <f t="shared" si="1107"/>
        <v>25354039.366920356</v>
      </c>
      <c r="AJ3691" s="200">
        <f t="shared" si="1108"/>
        <v>3027878.5311884549</v>
      </c>
      <c r="AK3691" s="201">
        <f t="shared" si="1133"/>
        <v>0.11942391061910851</v>
      </c>
      <c r="AL3691" s="24"/>
      <c r="AM3691" s="24"/>
      <c r="AN3691" s="24"/>
      <c r="AO3691" s="24"/>
      <c r="AP3691" s="165" t="str">
        <f t="shared" si="1134"/>
        <v>20248</v>
      </c>
      <c r="AQ3691" s="203" t="str">
        <f t="shared" si="1135"/>
        <v/>
      </c>
      <c r="AR3691" s="206" t="str">
        <f t="shared" si="1136"/>
        <v>C66 SERVICE</v>
      </c>
      <c r="AS3691" s="22" t="str">
        <f t="shared" si="1137"/>
        <v/>
      </c>
      <c r="AT3691" s="24" t="str">
        <f t="shared" si="1138"/>
        <v/>
      </c>
    </row>
    <row r="3692" spans="1:46" ht="42">
      <c r="A3692" s="33" t="str">
        <f t="shared" si="1129"/>
        <v/>
      </c>
      <c r="B3692" s="23"/>
      <c r="C3692" s="23"/>
      <c r="D3692" s="202" t="str">
        <f t="shared" si="1114"/>
        <v/>
      </c>
      <c r="E3692" s="33" t="s">
        <v>3173</v>
      </c>
      <c r="F3692" s="23">
        <v>2024</v>
      </c>
      <c r="G3692" s="23">
        <v>8</v>
      </c>
      <c r="H3692" s="29"/>
      <c r="I3692" s="204" t="str">
        <f t="shared" si="1130"/>
        <v>Q2</v>
      </c>
      <c r="J3692" s="188"/>
      <c r="K3692" s="29"/>
      <c r="L3692" s="24" t="s">
        <v>44</v>
      </c>
      <c r="M3692" s="22" t="s">
        <v>44</v>
      </c>
      <c r="N3692" s="22">
        <v>0</v>
      </c>
      <c r="O3692" s="22"/>
      <c r="P3692" s="202" t="str">
        <f t="shared" si="1140"/>
        <v>C66 SERVICE/OTHERS</v>
      </c>
      <c r="Q3692" s="22" t="s">
        <v>46</v>
      </c>
      <c r="R3692" s="22" t="s">
        <v>46</v>
      </c>
      <c r="S3692" s="22" t="s">
        <v>50</v>
      </c>
      <c r="T3692" s="22"/>
      <c r="U3692" s="22"/>
      <c r="V3692" s="22"/>
      <c r="W3692" s="22"/>
      <c r="X3692" s="104"/>
      <c r="Y3692" s="195" t="str">
        <f t="shared" si="1118"/>
        <v/>
      </c>
      <c r="Z3692" s="196" t="str">
        <f t="shared" si="1119"/>
        <v/>
      </c>
      <c r="AA3692" s="22"/>
      <c r="AB3692" s="197">
        <v>374000</v>
      </c>
      <c r="AC3692" s="198">
        <f t="shared" si="1131"/>
        <v>112200</v>
      </c>
      <c r="AD3692" s="162">
        <v>0.3</v>
      </c>
      <c r="AE3692" s="199">
        <f t="shared" si="1132"/>
        <v>0</v>
      </c>
      <c r="AF3692" s="199" t="str">
        <f>IF(AND(COUNTIFS($J$18:J3692,J3692)=1,AE3692=1),1,"")</f>
        <v/>
      </c>
      <c r="AG3692" s="199" t="str">
        <f>IF(C3692="","",IF(AND(COUNTIFS($J$18:J3692,J3692)=1,C3692&lt;&gt;""),1,""))</f>
        <v/>
      </c>
      <c r="AH3692" s="199" t="str">
        <f>IF(G3692="","",IF(AND(COUNTIFS($J$18:J3692,J3692)=1,G3692&lt;&gt;""),1,""))</f>
        <v/>
      </c>
      <c r="AI3692" s="200">
        <f t="shared" si="1107"/>
        <v>25354039.366920356</v>
      </c>
      <c r="AJ3692" s="200">
        <f t="shared" si="1108"/>
        <v>3027878.5311884549</v>
      </c>
      <c r="AK3692" s="201">
        <f t="shared" si="1133"/>
        <v>0.11942391061910851</v>
      </c>
      <c r="AL3692" s="24"/>
      <c r="AM3692" s="24"/>
      <c r="AN3692" s="24"/>
      <c r="AO3692" s="24"/>
      <c r="AP3692" s="165" t="str">
        <f t="shared" si="1134"/>
        <v>20248</v>
      </c>
      <c r="AQ3692" s="203" t="str">
        <f t="shared" si="1135"/>
        <v/>
      </c>
      <c r="AR3692" s="206" t="str">
        <f t="shared" si="1136"/>
        <v>C66 SERVICE</v>
      </c>
      <c r="AS3692" s="22" t="str">
        <f t="shared" si="1137"/>
        <v/>
      </c>
      <c r="AT3692" s="24" t="str">
        <f t="shared" si="1138"/>
        <v/>
      </c>
    </row>
    <row r="3693" spans="1:46">
      <c r="A3693" s="33" t="str">
        <f t="shared" si="1129"/>
        <v>FY 24/25</v>
      </c>
      <c r="B3693" s="23">
        <v>2024</v>
      </c>
      <c r="C3693" s="23">
        <v>9</v>
      </c>
      <c r="D3693" s="202" t="str">
        <f t="shared" si="1114"/>
        <v>Q2</v>
      </c>
      <c r="E3693" s="33" t="str">
        <f t="shared" si="1115"/>
        <v>FY 24/25</v>
      </c>
      <c r="F3693" s="23">
        <v>2024</v>
      </c>
      <c r="G3693" s="23">
        <v>12</v>
      </c>
      <c r="H3693" s="29"/>
      <c r="I3693" s="204" t="str">
        <f t="shared" si="1130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4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118"/>
        <v>1</v>
      </c>
      <c r="Z3693" s="196">
        <f t="shared" si="1119"/>
        <v>16400000</v>
      </c>
      <c r="AA3693" s="22">
        <v>5.5599999999999997E-2</v>
      </c>
      <c r="AB3693" s="197">
        <f t="shared" si="1120"/>
        <v>911840</v>
      </c>
      <c r="AC3693" s="198">
        <f t="shared" si="1131"/>
        <v>109420.8</v>
      </c>
      <c r="AD3693" s="169">
        <v>0.12</v>
      </c>
      <c r="AE3693" s="199">
        <f t="shared" si="1132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107"/>
        <v>22399988.308672566</v>
      </c>
      <c r="AJ3693" s="200">
        <f t="shared" si="1108"/>
        <v>2687998.5970407082</v>
      </c>
      <c r="AK3693" s="201">
        <f t="shared" si="1133"/>
        <v>0.12000000000000001</v>
      </c>
      <c r="AL3693" s="24"/>
      <c r="AM3693" s="24"/>
      <c r="AN3693" s="24"/>
      <c r="AO3693" s="24"/>
      <c r="AP3693" s="165" t="str">
        <f t="shared" si="1134"/>
        <v>202412</v>
      </c>
      <c r="AQ3693" s="203" t="str">
        <f t="shared" si="1135"/>
        <v>202412JPY</v>
      </c>
      <c r="AR3693" s="206" t="str">
        <f t="shared" si="1136"/>
        <v>YAMAHA_Mounter</v>
      </c>
      <c r="AS3693" s="22">
        <f t="shared" si="1137"/>
        <v>3</v>
      </c>
      <c r="AT3693" s="24" t="str">
        <f t="shared" si="1138"/>
        <v>0-3 months</v>
      </c>
    </row>
    <row r="3694" spans="1:46">
      <c r="A3694" s="33" t="str">
        <f t="shared" si="1129"/>
        <v>FY 24/25</v>
      </c>
      <c r="B3694" s="23">
        <v>2024</v>
      </c>
      <c r="C3694" s="23">
        <v>9</v>
      </c>
      <c r="D3694" s="202" t="str">
        <f t="shared" si="1114"/>
        <v>Q2</v>
      </c>
      <c r="E3694" s="33" t="str">
        <f t="shared" si="1115"/>
        <v>FY 24/25</v>
      </c>
      <c r="F3694" s="23">
        <v>2024</v>
      </c>
      <c r="G3694" s="23">
        <v>12</v>
      </c>
      <c r="H3694" s="29"/>
      <c r="I3694" s="204" t="str">
        <f t="shared" si="1130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4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118"/>
        <v>1.13</v>
      </c>
      <c r="Z3694" s="196">
        <f t="shared" si="1119"/>
        <v>930000</v>
      </c>
      <c r="AA3694" s="22">
        <v>1.1080000000000001</v>
      </c>
      <c r="AB3694" s="197">
        <f t="shared" si="1120"/>
        <v>911893.80530973466</v>
      </c>
      <c r="AC3694" s="198">
        <f t="shared" si="1131"/>
        <v>109427.25663716816</v>
      </c>
      <c r="AD3694" s="169">
        <v>0.12</v>
      </c>
      <c r="AE3694" s="199">
        <f t="shared" si="1132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107"/>
        <v>22399988.308672566</v>
      </c>
      <c r="AJ3694" s="200">
        <f t="shared" si="1108"/>
        <v>2687998.5970407082</v>
      </c>
      <c r="AK3694" s="201">
        <f t="shared" si="1133"/>
        <v>0.12000000000000001</v>
      </c>
      <c r="AL3694" s="24"/>
      <c r="AM3694" s="24"/>
      <c r="AN3694" s="24"/>
      <c r="AO3694" s="24"/>
      <c r="AP3694" s="165" t="str">
        <f t="shared" si="1134"/>
        <v>202412</v>
      </c>
      <c r="AQ3694" s="203" t="str">
        <f t="shared" si="1135"/>
        <v>202412RMB</v>
      </c>
      <c r="AR3694" s="206" t="str">
        <f t="shared" si="1136"/>
        <v>YAMAHA_Mounter</v>
      </c>
      <c r="AS3694" s="22">
        <f t="shared" si="1137"/>
        <v>3</v>
      </c>
      <c r="AT3694" s="24" t="str">
        <f t="shared" si="1138"/>
        <v>0-3 months</v>
      </c>
    </row>
    <row r="3695" spans="1:46">
      <c r="A3695" s="33" t="str">
        <f t="shared" si="1129"/>
        <v>FY 24/25</v>
      </c>
      <c r="B3695" s="23">
        <v>2024</v>
      </c>
      <c r="C3695" s="23">
        <v>9</v>
      </c>
      <c r="D3695" s="202" t="str">
        <f t="shared" si="1114"/>
        <v>Q2</v>
      </c>
      <c r="E3695" s="33" t="str">
        <f t="shared" si="1115"/>
        <v>FY 24/25</v>
      </c>
      <c r="F3695" s="23">
        <v>2024</v>
      </c>
      <c r="G3695" s="23">
        <v>9</v>
      </c>
      <c r="H3695" s="29"/>
      <c r="I3695" s="204" t="str">
        <f t="shared" si="1130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4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118"/>
        <v>1.13</v>
      </c>
      <c r="Z3695" s="196">
        <f t="shared" si="1119"/>
        <v>779936</v>
      </c>
      <c r="AA3695" s="22">
        <v>1.0980000000000001</v>
      </c>
      <c r="AB3695" s="197">
        <f t="shared" si="1120"/>
        <v>757849.31681415951</v>
      </c>
      <c r="AC3695" s="198">
        <f t="shared" si="1131"/>
        <v>119815.97698831861</v>
      </c>
      <c r="AD3695" s="169">
        <v>0.15809999999999999</v>
      </c>
      <c r="AE3695" s="199">
        <f t="shared" si="1132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107"/>
        <v>35931087.732566379</v>
      </c>
      <c r="AJ3695" s="200">
        <f t="shared" si="1108"/>
        <v>4346699.6584161064</v>
      </c>
      <c r="AK3695" s="201">
        <f t="shared" si="1133"/>
        <v>0.12097322771769156</v>
      </c>
      <c r="AL3695" s="24"/>
      <c r="AM3695" s="24"/>
      <c r="AN3695" s="24"/>
      <c r="AO3695" s="24"/>
      <c r="AP3695" s="165" t="str">
        <f t="shared" si="1134"/>
        <v>20249</v>
      </c>
      <c r="AQ3695" s="203" t="str">
        <f t="shared" si="1135"/>
        <v>20249RMB</v>
      </c>
      <c r="AR3695" s="206" t="str">
        <f t="shared" si="1136"/>
        <v>YAMAHA_Mounter</v>
      </c>
      <c r="AS3695" s="22">
        <f t="shared" si="1137"/>
        <v>0</v>
      </c>
      <c r="AT3695" s="24" t="str">
        <f t="shared" si="1138"/>
        <v>0-3 months</v>
      </c>
    </row>
    <row r="3696" spans="1:46">
      <c r="A3696" s="33" t="str">
        <f t="shared" si="1129"/>
        <v>FY 24/25</v>
      </c>
      <c r="B3696" s="23">
        <v>2024</v>
      </c>
      <c r="C3696" s="23">
        <v>9</v>
      </c>
      <c r="D3696" s="202" t="str">
        <f t="shared" si="1114"/>
        <v>Q2</v>
      </c>
      <c r="E3696" s="33" t="str">
        <f t="shared" si="1115"/>
        <v>FY 24/25</v>
      </c>
      <c r="F3696" s="23">
        <v>2024</v>
      </c>
      <c r="G3696" s="23">
        <v>10</v>
      </c>
      <c r="H3696" s="29"/>
      <c r="I3696" s="204" t="str">
        <f t="shared" si="1130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4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118"/>
        <v>1.13</v>
      </c>
      <c r="Z3696" s="196">
        <f t="shared" si="1119"/>
        <v>420000</v>
      </c>
      <c r="AA3696" s="22">
        <v>1.1080000000000001</v>
      </c>
      <c r="AB3696" s="197">
        <f t="shared" si="1120"/>
        <v>411823.00884955761</v>
      </c>
      <c r="AC3696" s="198">
        <f t="shared" si="1131"/>
        <v>49418.761061946912</v>
      </c>
      <c r="AD3696" s="169">
        <v>0.12</v>
      </c>
      <c r="AE3696" s="199">
        <f t="shared" si="1132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107"/>
        <v>25860689.500884958</v>
      </c>
      <c r="AJ3696" s="200">
        <f t="shared" si="1108"/>
        <v>3153620.4547964605</v>
      </c>
      <c r="AK3696" s="201">
        <f t="shared" si="1133"/>
        <v>0.1219464954593938</v>
      </c>
      <c r="AL3696" s="24"/>
      <c r="AM3696" s="24"/>
      <c r="AN3696" s="24"/>
      <c r="AO3696" s="24"/>
      <c r="AP3696" s="165" t="str">
        <f t="shared" si="1134"/>
        <v>202410</v>
      </c>
      <c r="AQ3696" s="203" t="str">
        <f t="shared" si="1135"/>
        <v>202410RMB</v>
      </c>
      <c r="AR3696" s="206" t="str">
        <f t="shared" si="1136"/>
        <v>YAMAHA_Mounter</v>
      </c>
      <c r="AS3696" s="22">
        <f t="shared" si="1137"/>
        <v>1</v>
      </c>
      <c r="AT3696" s="24" t="str">
        <f t="shared" si="1138"/>
        <v>0-3 months</v>
      </c>
    </row>
    <row r="3697" spans="1:46">
      <c r="A3697" s="33" t="str">
        <f t="shared" si="1129"/>
        <v>FY 24/25</v>
      </c>
      <c r="B3697" s="23">
        <v>2024</v>
      </c>
      <c r="C3697" s="23">
        <v>9</v>
      </c>
      <c r="D3697" s="202" t="str">
        <f t="shared" si="1114"/>
        <v>Q2</v>
      </c>
      <c r="E3697" s="33" t="str">
        <f t="shared" si="1115"/>
        <v>FY 24/25</v>
      </c>
      <c r="F3697" s="23">
        <v>2024</v>
      </c>
      <c r="G3697" s="23">
        <v>10</v>
      </c>
      <c r="H3697" s="29"/>
      <c r="I3697" s="204" t="str">
        <f t="shared" si="1130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4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118"/>
        <v>1.13</v>
      </c>
      <c r="Z3697" s="196">
        <f t="shared" si="1119"/>
        <v>420000</v>
      </c>
      <c r="AA3697" s="22">
        <v>1.1080000000000001</v>
      </c>
      <c r="AB3697" s="197">
        <f t="shared" si="1120"/>
        <v>411823.00884955761</v>
      </c>
      <c r="AC3697" s="198">
        <f t="shared" si="1131"/>
        <v>49418.761061946912</v>
      </c>
      <c r="AD3697" s="169">
        <v>0.12</v>
      </c>
      <c r="AE3697" s="199">
        <f t="shared" si="1132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107"/>
        <v>25860689.500884958</v>
      </c>
      <c r="AJ3697" s="200">
        <f t="shared" si="1108"/>
        <v>3153620.4547964605</v>
      </c>
      <c r="AK3697" s="201">
        <f t="shared" si="1133"/>
        <v>0.1219464954593938</v>
      </c>
      <c r="AL3697" s="24"/>
      <c r="AM3697" s="24"/>
      <c r="AN3697" s="24"/>
      <c r="AO3697" s="24"/>
      <c r="AP3697" s="165" t="str">
        <f t="shared" si="1134"/>
        <v>202410</v>
      </c>
      <c r="AQ3697" s="203" t="str">
        <f t="shared" si="1135"/>
        <v>202410RMB</v>
      </c>
      <c r="AR3697" s="206" t="str">
        <f t="shared" si="1136"/>
        <v>YAMAHA_Mounter</v>
      </c>
      <c r="AS3697" s="22">
        <f t="shared" si="1137"/>
        <v>1</v>
      </c>
      <c r="AT3697" s="24" t="str">
        <f t="shared" si="1138"/>
        <v>0-3 months</v>
      </c>
    </row>
    <row r="3698" spans="1:46">
      <c r="A3698" s="33" t="str">
        <f t="shared" si="1129"/>
        <v>FY 24/25</v>
      </c>
      <c r="B3698" s="23">
        <v>2024</v>
      </c>
      <c r="C3698" s="23">
        <v>9</v>
      </c>
      <c r="D3698" s="202" t="str">
        <f t="shared" ref="D3698:D3761" si="1141">IF(B3698="","",IF(AND(C3698&gt;=10,C3698&lt;=12),"Q3",IF(AND(C3698&gt;=1,C3698&lt;=3),"Q4",IF(AND(C3698&gt;=7,C3698&lt;=9),"Q2",IF(AND(C3698&gt;=4,C3698&lt;=6),"Q1")))))</f>
        <v>Q2</v>
      </c>
      <c r="E3698" s="33" t="str">
        <f t="shared" si="1115"/>
        <v>FY 24/25</v>
      </c>
      <c r="F3698" s="23">
        <v>2024</v>
      </c>
      <c r="G3698" s="23">
        <v>11</v>
      </c>
      <c r="H3698" s="29"/>
      <c r="I3698" s="204" t="str">
        <f t="shared" si="1130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4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118"/>
        <v>1</v>
      </c>
      <c r="Z3698" s="196">
        <f t="shared" ref="Z3698:Z3761" si="1142">IF(X3698="","",X3698*MAX(O3698,N3698))</f>
        <v>71000</v>
      </c>
      <c r="AA3698" s="22">
        <v>7.8</v>
      </c>
      <c r="AB3698" s="197">
        <f t="shared" si="1120"/>
        <v>553800</v>
      </c>
      <c r="AC3698" s="198">
        <f t="shared" si="1131"/>
        <v>66456</v>
      </c>
      <c r="AD3698" s="169">
        <v>0.12</v>
      </c>
      <c r="AE3698" s="199">
        <f t="shared" si="1132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107"/>
        <v>24129972.828771491</v>
      </c>
      <c r="AJ3698" s="200">
        <f t="shared" si="1108"/>
        <v>2880955.0890193055</v>
      </c>
      <c r="AK3698" s="201">
        <f t="shared" si="1133"/>
        <v>0.11939321728469518</v>
      </c>
      <c r="AL3698" s="24"/>
      <c r="AM3698" s="24"/>
      <c r="AN3698" s="24"/>
      <c r="AO3698" s="24"/>
      <c r="AP3698" s="165" t="str">
        <f t="shared" si="1134"/>
        <v>202411</v>
      </c>
      <c r="AQ3698" s="203" t="str">
        <f t="shared" si="1135"/>
        <v>202411USD</v>
      </c>
      <c r="AR3698" s="206" t="str">
        <f t="shared" si="1136"/>
        <v>YAMAHA_Mounter</v>
      </c>
      <c r="AS3698" s="22">
        <f t="shared" si="1137"/>
        <v>2</v>
      </c>
      <c r="AT3698" s="24" t="str">
        <f t="shared" si="1138"/>
        <v>0-3 months</v>
      </c>
    </row>
    <row r="3699" spans="1:46">
      <c r="A3699" s="33" t="str">
        <f t="shared" si="1129"/>
        <v>FY 24/25</v>
      </c>
      <c r="B3699" s="23">
        <v>2024</v>
      </c>
      <c r="C3699" s="23">
        <v>9</v>
      </c>
      <c r="D3699" s="202" t="str">
        <f t="shared" si="1141"/>
        <v>Q2</v>
      </c>
      <c r="E3699" s="33" t="str">
        <f t="shared" si="1115"/>
        <v>FY 24/25</v>
      </c>
      <c r="F3699" s="23">
        <v>2024</v>
      </c>
      <c r="G3699" s="23">
        <v>11</v>
      </c>
      <c r="H3699" s="29"/>
      <c r="I3699" s="204" t="str">
        <f t="shared" si="1130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4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118"/>
        <v>1</v>
      </c>
      <c r="Z3699" s="196">
        <f t="shared" si="1142"/>
        <v>71000</v>
      </c>
      <c r="AA3699" s="22">
        <v>7.8</v>
      </c>
      <c r="AB3699" s="197">
        <f t="shared" si="1120"/>
        <v>553800</v>
      </c>
      <c r="AC3699" s="198">
        <f t="shared" si="1131"/>
        <v>66456</v>
      </c>
      <c r="AD3699" s="169">
        <v>0.12</v>
      </c>
      <c r="AE3699" s="199">
        <f t="shared" si="1132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107"/>
        <v>24129972.828771491</v>
      </c>
      <c r="AJ3699" s="200">
        <f t="shared" si="1108"/>
        <v>2880955.0890193055</v>
      </c>
      <c r="AK3699" s="201">
        <f t="shared" si="1133"/>
        <v>0.11939321728469518</v>
      </c>
      <c r="AL3699" s="24"/>
      <c r="AM3699" s="24"/>
      <c r="AN3699" s="24"/>
      <c r="AO3699" s="24"/>
      <c r="AP3699" s="165" t="str">
        <f t="shared" si="1134"/>
        <v>202411</v>
      </c>
      <c r="AQ3699" s="203" t="str">
        <f t="shared" si="1135"/>
        <v>202411USD</v>
      </c>
      <c r="AR3699" s="206" t="str">
        <f t="shared" si="1136"/>
        <v>YAMAHA_Mounter</v>
      </c>
      <c r="AS3699" s="22">
        <f t="shared" si="1137"/>
        <v>2</v>
      </c>
      <c r="AT3699" s="24" t="str">
        <f t="shared" si="1138"/>
        <v>0-3 months</v>
      </c>
    </row>
    <row r="3700" spans="1:46">
      <c r="A3700" s="33" t="str">
        <f t="shared" si="1129"/>
        <v>FY 24/25</v>
      </c>
      <c r="B3700" s="23">
        <v>2024</v>
      </c>
      <c r="C3700" s="23">
        <v>9</v>
      </c>
      <c r="D3700" s="202" t="str">
        <f t="shared" si="1141"/>
        <v>Q2</v>
      </c>
      <c r="E3700" s="33" t="str">
        <f t="shared" si="1115"/>
        <v>FY 24/25</v>
      </c>
      <c r="F3700" s="23">
        <v>2024</v>
      </c>
      <c r="G3700" s="23">
        <v>10</v>
      </c>
      <c r="H3700" s="29"/>
      <c r="I3700" s="204" t="str">
        <f t="shared" si="1130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4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63" si="1143">IF(W3700="","",IF(W3700="RMB","1.13", "1"))</f>
        <v>1.13</v>
      </c>
      <c r="Z3700" s="196">
        <f t="shared" si="1142"/>
        <v>375000</v>
      </c>
      <c r="AA3700" s="22">
        <v>1.1080000000000001</v>
      </c>
      <c r="AB3700" s="197">
        <f t="shared" si="1120"/>
        <v>367699.11504424788</v>
      </c>
      <c r="AC3700" s="198">
        <f t="shared" si="1131"/>
        <v>44123.893805309744</v>
      </c>
      <c r="AD3700" s="169">
        <v>0.12</v>
      </c>
      <c r="AE3700" s="199">
        <f t="shared" si="1132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107"/>
        <v>25860689.500884958</v>
      </c>
      <c r="AJ3700" s="200">
        <f t="shared" si="1108"/>
        <v>3153620.4547964605</v>
      </c>
      <c r="AK3700" s="201">
        <f t="shared" si="1133"/>
        <v>0.1219464954593938</v>
      </c>
      <c r="AL3700" s="24"/>
      <c r="AM3700" s="24"/>
      <c r="AN3700" s="24"/>
      <c r="AO3700" s="24"/>
      <c r="AP3700" s="165" t="str">
        <f t="shared" si="1134"/>
        <v>202410</v>
      </c>
      <c r="AQ3700" s="203" t="str">
        <f t="shared" si="1135"/>
        <v>202410RMB</v>
      </c>
      <c r="AR3700" s="206" t="str">
        <f t="shared" si="1136"/>
        <v>YAMAHA_Non_Mounter</v>
      </c>
      <c r="AS3700" s="22">
        <f t="shared" si="1137"/>
        <v>1</v>
      </c>
      <c r="AT3700" s="24" t="str">
        <f t="shared" si="1138"/>
        <v>0-3 months</v>
      </c>
    </row>
    <row r="3701" spans="1:46">
      <c r="A3701" s="33" t="str">
        <f t="shared" si="1129"/>
        <v>FY 24/25</v>
      </c>
      <c r="B3701" s="23">
        <v>2024</v>
      </c>
      <c r="C3701" s="23">
        <v>9</v>
      </c>
      <c r="D3701" s="202" t="str">
        <f t="shared" si="1141"/>
        <v>Q2</v>
      </c>
      <c r="E3701" s="33" t="str">
        <f t="shared" si="1115"/>
        <v>FY 24/25</v>
      </c>
      <c r="F3701" s="23">
        <v>2024</v>
      </c>
      <c r="G3701" s="23">
        <v>11</v>
      </c>
      <c r="H3701" s="29"/>
      <c r="I3701" s="204" t="str">
        <f t="shared" si="1130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4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43"/>
        <v>1.13</v>
      </c>
      <c r="Z3701" s="196">
        <f t="shared" si="1142"/>
        <v>375000</v>
      </c>
      <c r="AA3701" s="22">
        <v>1.1080000000000001</v>
      </c>
      <c r="AB3701" s="197">
        <f t="shared" si="1120"/>
        <v>367699.11504424788</v>
      </c>
      <c r="AC3701" s="198">
        <f t="shared" si="1131"/>
        <v>44123.893805309744</v>
      </c>
      <c r="AD3701" s="169">
        <v>0.12</v>
      </c>
      <c r="AE3701" s="199">
        <f t="shared" si="1132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107"/>
        <v>24129972.828771491</v>
      </c>
      <c r="AJ3701" s="200">
        <f t="shared" si="1108"/>
        <v>2880955.0890193055</v>
      </c>
      <c r="AK3701" s="201">
        <f t="shared" si="1133"/>
        <v>0.11939321728469518</v>
      </c>
      <c r="AL3701" s="24"/>
      <c r="AM3701" s="24"/>
      <c r="AN3701" s="24"/>
      <c r="AO3701" s="24"/>
      <c r="AP3701" s="165" t="str">
        <f t="shared" si="1134"/>
        <v>202411</v>
      </c>
      <c r="AQ3701" s="203" t="str">
        <f t="shared" si="1135"/>
        <v>202411RMB</v>
      </c>
      <c r="AR3701" s="206" t="str">
        <f t="shared" si="1136"/>
        <v>YAMAHA_Non_Mounter</v>
      </c>
      <c r="AS3701" s="22">
        <f t="shared" si="1137"/>
        <v>2</v>
      </c>
      <c r="AT3701" s="24" t="str">
        <f t="shared" si="1138"/>
        <v>0-3 months</v>
      </c>
    </row>
    <row r="3702" spans="1:46">
      <c r="A3702" s="33" t="str">
        <f t="shared" si="1129"/>
        <v>FY 24/25</v>
      </c>
      <c r="B3702" s="23">
        <v>2024</v>
      </c>
      <c r="C3702" s="23">
        <v>8</v>
      </c>
      <c r="D3702" s="202" t="str">
        <f t="shared" si="1141"/>
        <v>Q2</v>
      </c>
      <c r="E3702" s="33" t="str">
        <f t="shared" si="1115"/>
        <v>FY 24/25</v>
      </c>
      <c r="F3702" s="23">
        <v>2024</v>
      </c>
      <c r="G3702" s="23">
        <v>11</v>
      </c>
      <c r="H3702" s="29"/>
      <c r="I3702" s="204" t="str">
        <f t="shared" si="1130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4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43"/>
        <v>1.13</v>
      </c>
      <c r="Z3702" s="196">
        <f t="shared" si="1142"/>
        <v>740000.00000320002</v>
      </c>
      <c r="AA3702" s="22">
        <v>1.1080000000000001</v>
      </c>
      <c r="AB3702" s="197">
        <f t="shared" si="1120"/>
        <v>725592.92035712011</v>
      </c>
      <c r="AC3702" s="198">
        <f t="shared" si="1131"/>
        <v>87071.150442854414</v>
      </c>
      <c r="AD3702" s="169">
        <v>0.12</v>
      </c>
      <c r="AE3702" s="199">
        <f t="shared" si="1132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107"/>
        <v>24129972.828771491</v>
      </c>
      <c r="AJ3702" s="200">
        <f t="shared" si="1108"/>
        <v>2880955.0890193055</v>
      </c>
      <c r="AK3702" s="201">
        <f t="shared" si="1133"/>
        <v>0.11939321728469518</v>
      </c>
      <c r="AL3702" s="24"/>
      <c r="AM3702" s="24"/>
      <c r="AN3702" s="24"/>
      <c r="AO3702" s="24"/>
      <c r="AP3702" s="165" t="str">
        <f t="shared" si="1134"/>
        <v>202411</v>
      </c>
      <c r="AQ3702" s="203" t="str">
        <f t="shared" si="1135"/>
        <v>202411RMB</v>
      </c>
      <c r="AR3702" s="206" t="str">
        <f t="shared" si="1136"/>
        <v>YAMAHA_Mounter</v>
      </c>
      <c r="AS3702" s="22">
        <f t="shared" si="1137"/>
        <v>3</v>
      </c>
      <c r="AT3702" s="24" t="str">
        <f t="shared" si="1138"/>
        <v>0-3 months</v>
      </c>
    </row>
    <row r="3703" spans="1:46">
      <c r="A3703" s="33" t="str">
        <f t="shared" si="1129"/>
        <v>FY 24/25</v>
      </c>
      <c r="B3703" s="23">
        <v>2024</v>
      </c>
      <c r="C3703" s="23">
        <v>8</v>
      </c>
      <c r="D3703" s="202" t="str">
        <f t="shared" si="1141"/>
        <v>Q2</v>
      </c>
      <c r="E3703" s="33" t="str">
        <f t="shared" si="1115"/>
        <v>FY 24/25</v>
      </c>
      <c r="F3703" s="23">
        <v>2024</v>
      </c>
      <c r="G3703" s="23">
        <v>11</v>
      </c>
      <c r="H3703" s="29"/>
      <c r="I3703" s="204" t="str">
        <f t="shared" si="1130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4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43"/>
        <v>1.13</v>
      </c>
      <c r="Z3703" s="196">
        <f t="shared" si="1142"/>
        <v>740000.00000320002</v>
      </c>
      <c r="AA3703" s="22">
        <v>1.1080000000000001</v>
      </c>
      <c r="AB3703" s="197">
        <f t="shared" si="1120"/>
        <v>725592.92035712011</v>
      </c>
      <c r="AC3703" s="198">
        <f t="shared" si="1131"/>
        <v>87071.150442854414</v>
      </c>
      <c r="AD3703" s="169">
        <v>0.12</v>
      </c>
      <c r="AE3703" s="199">
        <f t="shared" si="1132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107"/>
        <v>24129972.828771491</v>
      </c>
      <c r="AJ3703" s="200">
        <f t="shared" si="1108"/>
        <v>2880955.0890193055</v>
      </c>
      <c r="AK3703" s="201">
        <f t="shared" si="1133"/>
        <v>0.11939321728469518</v>
      </c>
      <c r="AL3703" s="24"/>
      <c r="AM3703" s="24"/>
      <c r="AN3703" s="24"/>
      <c r="AO3703" s="24"/>
      <c r="AP3703" s="165" t="str">
        <f t="shared" si="1134"/>
        <v>202411</v>
      </c>
      <c r="AQ3703" s="203" t="str">
        <f t="shared" si="1135"/>
        <v>202411RMB</v>
      </c>
      <c r="AR3703" s="206" t="str">
        <f t="shared" si="1136"/>
        <v>YAMAHA_Mounter</v>
      </c>
      <c r="AS3703" s="22">
        <f t="shared" si="1137"/>
        <v>3</v>
      </c>
      <c r="AT3703" s="24" t="str">
        <f t="shared" si="1138"/>
        <v>0-3 months</v>
      </c>
    </row>
    <row r="3704" spans="1:46">
      <c r="A3704" s="33" t="str">
        <f t="shared" si="1129"/>
        <v>FY 24/25</v>
      </c>
      <c r="B3704" s="23">
        <v>2024</v>
      </c>
      <c r="C3704" s="23">
        <v>8</v>
      </c>
      <c r="D3704" s="202" t="str">
        <f t="shared" si="1141"/>
        <v>Q2</v>
      </c>
      <c r="E3704" s="33" t="str">
        <f t="shared" si="1115"/>
        <v>FY 24/25</v>
      </c>
      <c r="F3704" s="23">
        <v>2024</v>
      </c>
      <c r="G3704" s="23">
        <v>11</v>
      </c>
      <c r="H3704" s="29"/>
      <c r="I3704" s="204" t="str">
        <f t="shared" si="1130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4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43"/>
        <v>1.13</v>
      </c>
      <c r="Z3704" s="196">
        <f t="shared" si="1142"/>
        <v>520000.00001079991</v>
      </c>
      <c r="AA3704" s="22">
        <v>1.1080000000000001</v>
      </c>
      <c r="AB3704" s="197">
        <f t="shared" si="1120"/>
        <v>509876.10620528</v>
      </c>
      <c r="AC3704" s="198">
        <f t="shared" si="1131"/>
        <v>61185.1327446336</v>
      </c>
      <c r="AD3704" s="169">
        <v>0.12</v>
      </c>
      <c r="AE3704" s="199">
        <f t="shared" si="1132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107"/>
        <v>24129972.828771491</v>
      </c>
      <c r="AJ3704" s="200">
        <f t="shared" si="1108"/>
        <v>2880955.0890193055</v>
      </c>
      <c r="AK3704" s="201">
        <f t="shared" si="1133"/>
        <v>0.11939321728469518</v>
      </c>
      <c r="AL3704" s="24"/>
      <c r="AM3704" s="24"/>
      <c r="AN3704" s="24"/>
      <c r="AO3704" s="24"/>
      <c r="AP3704" s="165" t="str">
        <f t="shared" si="1134"/>
        <v>202411</v>
      </c>
      <c r="AQ3704" s="203" t="str">
        <f t="shared" si="1135"/>
        <v>202411RMB</v>
      </c>
      <c r="AR3704" s="206" t="str">
        <f t="shared" si="1136"/>
        <v>YAMAHA_Mounter</v>
      </c>
      <c r="AS3704" s="22">
        <f t="shared" si="1137"/>
        <v>3</v>
      </c>
      <c r="AT3704" s="24" t="str">
        <f t="shared" si="1138"/>
        <v>0-3 months</v>
      </c>
    </row>
    <row r="3705" spans="1:46">
      <c r="A3705" s="33" t="str">
        <f t="shared" si="1129"/>
        <v>FY 24/25</v>
      </c>
      <c r="B3705" s="23">
        <v>2024</v>
      </c>
      <c r="C3705" s="23">
        <v>8</v>
      </c>
      <c r="D3705" s="202" t="str">
        <f t="shared" si="1141"/>
        <v>Q2</v>
      </c>
      <c r="E3705" s="33" t="str">
        <f t="shared" si="1115"/>
        <v>FY 24/25</v>
      </c>
      <c r="F3705" s="23">
        <v>2024</v>
      </c>
      <c r="G3705" s="23">
        <v>11</v>
      </c>
      <c r="H3705" s="29"/>
      <c r="I3705" s="204" t="str">
        <f t="shared" si="1130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4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43"/>
        <v>1.13</v>
      </c>
      <c r="Z3705" s="196">
        <f t="shared" si="1142"/>
        <v>520000.00001079991</v>
      </c>
      <c r="AA3705" s="22">
        <v>1.1080000000000001</v>
      </c>
      <c r="AB3705" s="197">
        <f t="shared" si="1120"/>
        <v>509876.10620528</v>
      </c>
      <c r="AC3705" s="198">
        <f t="shared" si="1131"/>
        <v>61185.1327446336</v>
      </c>
      <c r="AD3705" s="169">
        <v>0.12</v>
      </c>
      <c r="AE3705" s="199">
        <f t="shared" si="1132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107"/>
        <v>24129972.828771491</v>
      </c>
      <c r="AJ3705" s="200">
        <f t="shared" si="1108"/>
        <v>2880955.0890193055</v>
      </c>
      <c r="AK3705" s="201">
        <f t="shared" si="1133"/>
        <v>0.11939321728469518</v>
      </c>
      <c r="AL3705" s="24"/>
      <c r="AM3705" s="24"/>
      <c r="AN3705" s="24"/>
      <c r="AO3705" s="24"/>
      <c r="AP3705" s="165" t="str">
        <f t="shared" si="1134"/>
        <v>202411</v>
      </c>
      <c r="AQ3705" s="203" t="str">
        <f t="shared" si="1135"/>
        <v>202411RMB</v>
      </c>
      <c r="AR3705" s="206" t="str">
        <f t="shared" si="1136"/>
        <v>YAMAHA_Mounter</v>
      </c>
      <c r="AS3705" s="22">
        <f t="shared" si="1137"/>
        <v>3</v>
      </c>
      <c r="AT3705" s="24" t="str">
        <f t="shared" si="1138"/>
        <v>0-3 months</v>
      </c>
    </row>
    <row r="3706" spans="1:46">
      <c r="A3706" s="33" t="str">
        <f t="shared" si="1129"/>
        <v>FY 24/25</v>
      </c>
      <c r="B3706" s="23">
        <v>2024</v>
      </c>
      <c r="C3706" s="23">
        <v>8</v>
      </c>
      <c r="D3706" s="202" t="str">
        <f t="shared" si="1141"/>
        <v>Q2</v>
      </c>
      <c r="E3706" s="33" t="str">
        <f t="shared" si="1115"/>
        <v>FY 24/25</v>
      </c>
      <c r="F3706" s="23">
        <v>2024</v>
      </c>
      <c r="G3706" s="23">
        <v>11</v>
      </c>
      <c r="H3706" s="29"/>
      <c r="I3706" s="204" t="str">
        <f t="shared" si="1130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si="1140"/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43"/>
        <v>1.13</v>
      </c>
      <c r="Z3706" s="196">
        <f t="shared" si="1142"/>
        <v>435000.00000068999</v>
      </c>
      <c r="AA3706" s="22">
        <v>1.1080000000000001</v>
      </c>
      <c r="AB3706" s="197">
        <f t="shared" si="1120"/>
        <v>426530.97345200408</v>
      </c>
      <c r="AC3706" s="198">
        <f t="shared" si="1131"/>
        <v>51183.716814240484</v>
      </c>
      <c r="AD3706" s="169">
        <v>0.12</v>
      </c>
      <c r="AE3706" s="199">
        <f t="shared" si="1132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107"/>
        <v>24129972.828771491</v>
      </c>
      <c r="AJ3706" s="200">
        <f t="shared" si="1108"/>
        <v>2880955.0890193055</v>
      </c>
      <c r="AK3706" s="201">
        <f t="shared" si="1133"/>
        <v>0.11939321728469518</v>
      </c>
      <c r="AL3706" s="24"/>
      <c r="AM3706" s="24"/>
      <c r="AN3706" s="24"/>
      <c r="AO3706" s="24"/>
      <c r="AP3706" s="165" t="str">
        <f t="shared" si="1134"/>
        <v>202411</v>
      </c>
      <c r="AQ3706" s="203" t="str">
        <f t="shared" si="1135"/>
        <v>202411RMB</v>
      </c>
      <c r="AR3706" s="206" t="str">
        <f t="shared" si="1136"/>
        <v>YAMAHA_Non_Mounter</v>
      </c>
      <c r="AS3706" s="22">
        <f t="shared" si="1137"/>
        <v>3</v>
      </c>
      <c r="AT3706" s="24" t="str">
        <f t="shared" si="1138"/>
        <v>0-3 months</v>
      </c>
    </row>
    <row r="3707" spans="1:46">
      <c r="A3707" s="33" t="str">
        <f t="shared" si="1129"/>
        <v>FY 24/25</v>
      </c>
      <c r="B3707" s="23">
        <v>2024</v>
      </c>
      <c r="C3707" s="23">
        <v>9</v>
      </c>
      <c r="D3707" s="202" t="str">
        <f t="shared" si="1141"/>
        <v>Q2</v>
      </c>
      <c r="E3707" s="33" t="str">
        <f t="shared" si="1115"/>
        <v>FY 24/25</v>
      </c>
      <c r="F3707" s="23">
        <v>2024</v>
      </c>
      <c r="G3707" s="23">
        <v>10</v>
      </c>
      <c r="H3707" s="29"/>
      <c r="I3707" s="204" t="str">
        <f t="shared" si="1130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40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43"/>
        <v>1.13</v>
      </c>
      <c r="Z3707" s="196">
        <f t="shared" si="1142"/>
        <v>515000</v>
      </c>
      <c r="AA3707" s="22">
        <v>1.1080000000000001</v>
      </c>
      <c r="AB3707" s="197">
        <f t="shared" si="1120"/>
        <v>504973.45132743369</v>
      </c>
      <c r="AC3707" s="198">
        <f t="shared" si="1131"/>
        <v>60596.814159292044</v>
      </c>
      <c r="AD3707" s="169">
        <v>0.12</v>
      </c>
      <c r="AE3707" s="199">
        <f t="shared" si="1132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107"/>
        <v>25860689.500884958</v>
      </c>
      <c r="AJ3707" s="200">
        <f t="shared" si="1108"/>
        <v>3153620.4547964605</v>
      </c>
      <c r="AK3707" s="201">
        <f t="shared" si="1133"/>
        <v>0.1219464954593938</v>
      </c>
      <c r="AL3707" s="24"/>
      <c r="AM3707" s="24"/>
      <c r="AN3707" s="24"/>
      <c r="AO3707" s="24"/>
      <c r="AP3707" s="165" t="str">
        <f t="shared" si="1134"/>
        <v>202410</v>
      </c>
      <c r="AQ3707" s="203" t="str">
        <f t="shared" si="1135"/>
        <v>202410RMB</v>
      </c>
      <c r="AR3707" s="206" t="str">
        <f t="shared" si="1136"/>
        <v>YAMAHA_Mounter</v>
      </c>
      <c r="AS3707" s="22">
        <f t="shared" si="1137"/>
        <v>1</v>
      </c>
      <c r="AT3707" s="24" t="str">
        <f t="shared" si="1138"/>
        <v>0-3 months</v>
      </c>
    </row>
    <row r="3708" spans="1:46">
      <c r="A3708" s="33" t="str">
        <f t="shared" si="1129"/>
        <v>FY 24/25</v>
      </c>
      <c r="B3708" s="23">
        <v>2024</v>
      </c>
      <c r="C3708" s="23">
        <v>9</v>
      </c>
      <c r="D3708" s="202" t="str">
        <f t="shared" si="1141"/>
        <v>Q2</v>
      </c>
      <c r="E3708" s="33" t="str">
        <f t="shared" si="1115"/>
        <v>FY 24/25</v>
      </c>
      <c r="F3708" s="23">
        <v>2024</v>
      </c>
      <c r="G3708" s="23">
        <v>10</v>
      </c>
      <c r="H3708" s="29"/>
      <c r="I3708" s="204" t="str">
        <f t="shared" si="1130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40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43"/>
        <v>1.13</v>
      </c>
      <c r="Z3708" s="196">
        <f t="shared" si="1142"/>
        <v>800000</v>
      </c>
      <c r="AA3708" s="22">
        <v>1.1080000000000001</v>
      </c>
      <c r="AB3708" s="197">
        <f t="shared" si="1120"/>
        <v>784424.77876106207</v>
      </c>
      <c r="AC3708" s="198">
        <f t="shared" si="1131"/>
        <v>94130.973451327445</v>
      </c>
      <c r="AD3708" s="169">
        <v>0.12</v>
      </c>
      <c r="AE3708" s="199">
        <f t="shared" si="1132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107"/>
        <v>25860689.500884958</v>
      </c>
      <c r="AJ3708" s="200">
        <f t="shared" si="1108"/>
        <v>3153620.4547964605</v>
      </c>
      <c r="AK3708" s="201">
        <f t="shared" si="1133"/>
        <v>0.1219464954593938</v>
      </c>
      <c r="AL3708" s="24"/>
      <c r="AM3708" s="24"/>
      <c r="AN3708" s="24"/>
      <c r="AO3708" s="24"/>
      <c r="AP3708" s="165" t="str">
        <f t="shared" si="1134"/>
        <v>202410</v>
      </c>
      <c r="AQ3708" s="203" t="str">
        <f t="shared" si="1135"/>
        <v>202410RMB</v>
      </c>
      <c r="AR3708" s="206" t="str">
        <f t="shared" si="1136"/>
        <v>YAMAHA_Mounter</v>
      </c>
      <c r="AS3708" s="22">
        <f t="shared" si="1137"/>
        <v>1</v>
      </c>
      <c r="AT3708" s="24" t="str">
        <f t="shared" si="1138"/>
        <v>0-3 months</v>
      </c>
    </row>
    <row r="3709" spans="1:46">
      <c r="A3709" s="33" t="str">
        <f t="shared" si="1129"/>
        <v>FY 24/25</v>
      </c>
      <c r="B3709" s="23">
        <v>2024</v>
      </c>
      <c r="C3709" s="23">
        <v>9</v>
      </c>
      <c r="D3709" s="202" t="str">
        <f t="shared" si="1141"/>
        <v>Q2</v>
      </c>
      <c r="E3709" s="33" t="str">
        <f t="shared" si="1115"/>
        <v>FY 24/25</v>
      </c>
      <c r="F3709" s="23">
        <v>2024</v>
      </c>
      <c r="G3709" s="23">
        <v>10</v>
      </c>
      <c r="H3709" s="29"/>
      <c r="I3709" s="204" t="str">
        <f t="shared" si="1130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40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43"/>
        <v>1.13</v>
      </c>
      <c r="Z3709" s="196">
        <f t="shared" si="1142"/>
        <v>800000</v>
      </c>
      <c r="AA3709" s="22">
        <v>1.1080000000000001</v>
      </c>
      <c r="AB3709" s="197">
        <f t="shared" si="1120"/>
        <v>784424.77876106207</v>
      </c>
      <c r="AC3709" s="198">
        <f t="shared" si="1131"/>
        <v>94130.973451327445</v>
      </c>
      <c r="AD3709" s="169">
        <v>0.12</v>
      </c>
      <c r="AE3709" s="199">
        <f t="shared" si="1132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107"/>
        <v>25860689.500884958</v>
      </c>
      <c r="AJ3709" s="200">
        <f t="shared" si="1108"/>
        <v>3153620.4547964605</v>
      </c>
      <c r="AK3709" s="201">
        <f t="shared" si="1133"/>
        <v>0.1219464954593938</v>
      </c>
      <c r="AL3709" s="24"/>
      <c r="AM3709" s="24"/>
      <c r="AN3709" s="24"/>
      <c r="AO3709" s="24"/>
      <c r="AP3709" s="165" t="str">
        <f t="shared" si="1134"/>
        <v>202410</v>
      </c>
      <c r="AQ3709" s="203" t="str">
        <f t="shared" si="1135"/>
        <v>202410RMB</v>
      </c>
      <c r="AR3709" s="206" t="str">
        <f t="shared" si="1136"/>
        <v>YAMAHA_Mounter</v>
      </c>
      <c r="AS3709" s="22">
        <f t="shared" si="1137"/>
        <v>1</v>
      </c>
      <c r="AT3709" s="24" t="str">
        <f t="shared" si="1138"/>
        <v>0-3 months</v>
      </c>
    </row>
    <row r="3710" spans="1:46">
      <c r="A3710" s="33" t="str">
        <f t="shared" si="1129"/>
        <v>FY 24/25</v>
      </c>
      <c r="B3710" s="23">
        <v>2024</v>
      </c>
      <c r="C3710" s="23">
        <v>9</v>
      </c>
      <c r="D3710" s="202" t="str">
        <f t="shared" si="1141"/>
        <v>Q2</v>
      </c>
      <c r="E3710" s="33" t="str">
        <f t="shared" si="1115"/>
        <v>FY 24/25</v>
      </c>
      <c r="F3710" s="23">
        <v>2024</v>
      </c>
      <c r="G3710" s="23">
        <v>10</v>
      </c>
      <c r="H3710" s="29"/>
      <c r="I3710" s="204" t="str">
        <f t="shared" si="1130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40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43"/>
        <v>1.13</v>
      </c>
      <c r="Z3710" s="196">
        <f t="shared" si="1142"/>
        <v>540000</v>
      </c>
      <c r="AA3710" s="22">
        <v>1.1080000000000001</v>
      </c>
      <c r="AB3710" s="197">
        <f t="shared" si="1120"/>
        <v>529486.7256637169</v>
      </c>
      <c r="AC3710" s="198">
        <f t="shared" si="1131"/>
        <v>63538.407079646029</v>
      </c>
      <c r="AD3710" s="169">
        <v>0.12</v>
      </c>
      <c r="AE3710" s="199">
        <f t="shared" si="1132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107"/>
        <v>25860689.500884958</v>
      </c>
      <c r="AJ3710" s="200">
        <f t="shared" si="1108"/>
        <v>3153620.4547964605</v>
      </c>
      <c r="AK3710" s="201">
        <f t="shared" si="1133"/>
        <v>0.1219464954593938</v>
      </c>
      <c r="AL3710" s="24"/>
      <c r="AM3710" s="24"/>
      <c r="AN3710" s="24"/>
      <c r="AO3710" s="24"/>
      <c r="AP3710" s="165" t="str">
        <f t="shared" si="1134"/>
        <v>202410</v>
      </c>
      <c r="AQ3710" s="203" t="str">
        <f t="shared" si="1135"/>
        <v>202410RMB</v>
      </c>
      <c r="AR3710" s="206" t="str">
        <f t="shared" si="1136"/>
        <v>YAMAHA_Mounter</v>
      </c>
      <c r="AS3710" s="22">
        <f t="shared" si="1137"/>
        <v>1</v>
      </c>
      <c r="AT3710" s="24" t="str">
        <f t="shared" si="1138"/>
        <v>0-3 months</v>
      </c>
    </row>
    <row r="3711" spans="1:46">
      <c r="A3711" s="33" t="str">
        <f t="shared" si="1129"/>
        <v>FY 24/25</v>
      </c>
      <c r="B3711" s="23">
        <v>2024</v>
      </c>
      <c r="C3711" s="23">
        <v>9</v>
      </c>
      <c r="D3711" s="202" t="str">
        <f t="shared" si="1141"/>
        <v>Q2</v>
      </c>
      <c r="E3711" s="33" t="str">
        <f t="shared" si="1115"/>
        <v>FY 24/25</v>
      </c>
      <c r="F3711" s="23">
        <v>2024</v>
      </c>
      <c r="G3711" s="23">
        <v>10</v>
      </c>
      <c r="H3711" s="29"/>
      <c r="I3711" s="204" t="str">
        <f t="shared" si="1130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40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43"/>
        <v>1.13</v>
      </c>
      <c r="Z3711" s="196">
        <f t="shared" si="1142"/>
        <v>540000</v>
      </c>
      <c r="AA3711" s="22">
        <v>1.1080000000000001</v>
      </c>
      <c r="AB3711" s="197">
        <f t="shared" si="1120"/>
        <v>529486.7256637169</v>
      </c>
      <c r="AC3711" s="198">
        <f t="shared" si="1131"/>
        <v>63538.407079646029</v>
      </c>
      <c r="AD3711" s="169">
        <v>0.12</v>
      </c>
      <c r="AE3711" s="199">
        <f t="shared" si="1132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107"/>
        <v>25860689.500884958</v>
      </c>
      <c r="AJ3711" s="200">
        <f t="shared" si="1108"/>
        <v>3153620.4547964605</v>
      </c>
      <c r="AK3711" s="201">
        <f t="shared" si="1133"/>
        <v>0.1219464954593938</v>
      </c>
      <c r="AL3711" s="24"/>
      <c r="AM3711" s="24"/>
      <c r="AN3711" s="24"/>
      <c r="AO3711" s="24"/>
      <c r="AP3711" s="165" t="str">
        <f t="shared" si="1134"/>
        <v>202410</v>
      </c>
      <c r="AQ3711" s="203" t="str">
        <f t="shared" si="1135"/>
        <v>202410RMB</v>
      </c>
      <c r="AR3711" s="206" t="str">
        <f t="shared" si="1136"/>
        <v>YAMAHA_Mounter</v>
      </c>
      <c r="AS3711" s="22">
        <f t="shared" si="1137"/>
        <v>1</v>
      </c>
      <c r="AT3711" s="24" t="str">
        <f t="shared" si="1138"/>
        <v>0-3 months</v>
      </c>
    </row>
    <row r="3712" spans="1:46">
      <c r="A3712" s="33" t="str">
        <f t="shared" si="1129"/>
        <v>FY 24/25</v>
      </c>
      <c r="B3712" s="23">
        <v>2024</v>
      </c>
      <c r="C3712" s="23">
        <v>9</v>
      </c>
      <c r="D3712" s="202" t="str">
        <f t="shared" si="1141"/>
        <v>Q2</v>
      </c>
      <c r="E3712" s="33" t="str">
        <f t="shared" si="1115"/>
        <v>FY 24/25</v>
      </c>
      <c r="F3712" s="23">
        <v>2024</v>
      </c>
      <c r="G3712" s="23">
        <v>10</v>
      </c>
      <c r="H3712" s="29"/>
      <c r="I3712" s="204" t="str">
        <f t="shared" si="1130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40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43"/>
        <v>1.13</v>
      </c>
      <c r="Z3712" s="196">
        <f t="shared" si="1142"/>
        <v>350000</v>
      </c>
      <c r="AA3712" s="22">
        <v>1.1080000000000001</v>
      </c>
      <c r="AB3712" s="197">
        <f t="shared" si="1120"/>
        <v>343185.84070796461</v>
      </c>
      <c r="AC3712" s="198">
        <f t="shared" si="1131"/>
        <v>41182.300884955752</v>
      </c>
      <c r="AD3712" s="169">
        <v>0.12</v>
      </c>
      <c r="AE3712" s="199">
        <f t="shared" si="1132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107"/>
        <v>25860689.500884958</v>
      </c>
      <c r="AJ3712" s="200">
        <f t="shared" si="1108"/>
        <v>3153620.4547964605</v>
      </c>
      <c r="AK3712" s="201">
        <f t="shared" si="1133"/>
        <v>0.1219464954593938</v>
      </c>
      <c r="AL3712" s="24"/>
      <c r="AM3712" s="24"/>
      <c r="AN3712" s="24"/>
      <c r="AO3712" s="24"/>
      <c r="AP3712" s="165" t="str">
        <f t="shared" si="1134"/>
        <v>202410</v>
      </c>
      <c r="AQ3712" s="203" t="str">
        <f t="shared" si="1135"/>
        <v>202410RMB</v>
      </c>
      <c r="AR3712" s="206" t="str">
        <f t="shared" si="1136"/>
        <v>YAMAHA_Non_Mounter</v>
      </c>
      <c r="AS3712" s="22">
        <f t="shared" si="1137"/>
        <v>1</v>
      </c>
      <c r="AT3712" s="24" t="str">
        <f t="shared" si="1138"/>
        <v>0-3 months</v>
      </c>
    </row>
    <row r="3713" spans="1:46">
      <c r="A3713" s="33" t="str">
        <f t="shared" si="1129"/>
        <v>FY 24/25</v>
      </c>
      <c r="B3713" s="23">
        <v>2024</v>
      </c>
      <c r="C3713" s="23">
        <v>9</v>
      </c>
      <c r="D3713" s="202" t="str">
        <f t="shared" si="1141"/>
        <v>Q2</v>
      </c>
      <c r="E3713" s="33" t="str">
        <f t="shared" si="1115"/>
        <v>FY 24/25</v>
      </c>
      <c r="F3713" s="23">
        <v>2024</v>
      </c>
      <c r="G3713" s="23">
        <v>10</v>
      </c>
      <c r="H3713" s="29"/>
      <c r="I3713" s="204" t="str">
        <f t="shared" si="1130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40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43"/>
        <v>1.13</v>
      </c>
      <c r="Z3713" s="196">
        <f t="shared" si="1142"/>
        <v>350000</v>
      </c>
      <c r="AA3713" s="22">
        <v>1.1080000000000001</v>
      </c>
      <c r="AB3713" s="197">
        <f t="shared" si="1120"/>
        <v>343185.84070796461</v>
      </c>
      <c r="AC3713" s="198">
        <f t="shared" si="1131"/>
        <v>41182.300884955752</v>
      </c>
      <c r="AD3713" s="169">
        <v>0.12</v>
      </c>
      <c r="AE3713" s="199">
        <f t="shared" si="1132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107"/>
        <v>25860689.500884958</v>
      </c>
      <c r="AJ3713" s="200">
        <f t="shared" si="1108"/>
        <v>3153620.4547964605</v>
      </c>
      <c r="AK3713" s="201">
        <f t="shared" si="1133"/>
        <v>0.1219464954593938</v>
      </c>
      <c r="AL3713" s="24"/>
      <c r="AM3713" s="24"/>
      <c r="AN3713" s="24"/>
      <c r="AO3713" s="24"/>
      <c r="AP3713" s="165" t="str">
        <f t="shared" si="1134"/>
        <v>202410</v>
      </c>
      <c r="AQ3713" s="203" t="str">
        <f t="shared" si="1135"/>
        <v>202410RMB</v>
      </c>
      <c r="AR3713" s="206" t="str">
        <f t="shared" si="1136"/>
        <v>YAMAHA_Non_Mounter</v>
      </c>
      <c r="AS3713" s="22">
        <f t="shared" si="1137"/>
        <v>1</v>
      </c>
      <c r="AT3713" s="24" t="str">
        <f t="shared" si="1138"/>
        <v>0-3 months</v>
      </c>
    </row>
    <row r="3714" spans="1:46">
      <c r="A3714" s="33" t="str">
        <f t="shared" si="1129"/>
        <v>FY 24/25</v>
      </c>
      <c r="B3714" s="23">
        <v>2024</v>
      </c>
      <c r="C3714" s="23">
        <v>9</v>
      </c>
      <c r="D3714" s="202" t="str">
        <f t="shared" si="1141"/>
        <v>Q2</v>
      </c>
      <c r="E3714" s="33" t="str">
        <f t="shared" si="1115"/>
        <v>FY 24/25</v>
      </c>
      <c r="F3714" s="23">
        <v>2024</v>
      </c>
      <c r="G3714" s="23">
        <v>11</v>
      </c>
      <c r="H3714" s="29"/>
      <c r="I3714" s="204" t="str">
        <f t="shared" si="1130"/>
        <v>Q3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40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43"/>
        <v>1.13</v>
      </c>
      <c r="Z3714" s="196">
        <f t="shared" si="1142"/>
        <v>460000</v>
      </c>
      <c r="AA3714" s="22">
        <v>1.1080000000000001</v>
      </c>
      <c r="AB3714" s="197">
        <f t="shared" si="1120"/>
        <v>451044.24778761069</v>
      </c>
      <c r="AC3714" s="198">
        <f t="shared" si="1131"/>
        <v>54125.309734513277</v>
      </c>
      <c r="AD3714" s="169">
        <v>0.12</v>
      </c>
      <c r="AE3714" s="199">
        <f t="shared" si="1132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44">IF(P3714="C66 SERVICE","",SUMIFS(AB:AB,F:F,F3714,G:G,G3714,E:E,E3714))</f>
        <v>24129972.828771491</v>
      </c>
      <c r="AJ3714" s="200">
        <f t="shared" ref="AJ3714:AJ3777" si="1145">IF(P3714="C66 SERVICE","",SUMIFS(AC:AC,F:F,F3714,G:G,G3714,E:E,E3714))</f>
        <v>2880955.0890193055</v>
      </c>
      <c r="AK3714" s="201">
        <f t="shared" si="1133"/>
        <v>0.11939321728469518</v>
      </c>
      <c r="AL3714" s="24"/>
      <c r="AM3714" s="24"/>
      <c r="AN3714" s="24"/>
      <c r="AO3714" s="24"/>
      <c r="AP3714" s="165" t="str">
        <f t="shared" si="1134"/>
        <v>202411</v>
      </c>
      <c r="AQ3714" s="203" t="str">
        <f t="shared" si="1135"/>
        <v>202411RMB</v>
      </c>
      <c r="AR3714" s="206" t="str">
        <f t="shared" si="1136"/>
        <v>YAMAHA_Mounter</v>
      </c>
      <c r="AS3714" s="22">
        <f t="shared" si="1137"/>
        <v>2</v>
      </c>
      <c r="AT3714" s="24" t="str">
        <f t="shared" si="1138"/>
        <v>0-3 months</v>
      </c>
    </row>
    <row r="3715" spans="1:46">
      <c r="A3715" s="33" t="str">
        <f t="shared" si="1129"/>
        <v>FY 24/25</v>
      </c>
      <c r="B3715" s="23">
        <v>2024</v>
      </c>
      <c r="C3715" s="23">
        <v>9</v>
      </c>
      <c r="D3715" s="202" t="str">
        <f t="shared" si="1141"/>
        <v>Q2</v>
      </c>
      <c r="E3715" s="33" t="str">
        <f t="shared" si="1115"/>
        <v>FY 24/25</v>
      </c>
      <c r="F3715" s="23">
        <v>2024</v>
      </c>
      <c r="G3715" s="23">
        <v>11</v>
      </c>
      <c r="H3715" s="29"/>
      <c r="I3715" s="204" t="str">
        <f t="shared" si="1130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40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43"/>
        <v>1.13</v>
      </c>
      <c r="Z3715" s="196">
        <f t="shared" si="1142"/>
        <v>685278</v>
      </c>
      <c r="AA3715" s="22">
        <v>1.1080000000000001</v>
      </c>
      <c r="AB3715" s="197">
        <f t="shared" si="1120"/>
        <v>671936.30442477891</v>
      </c>
      <c r="AC3715" s="198">
        <f t="shared" si="1131"/>
        <v>80632.356530973469</v>
      </c>
      <c r="AD3715" s="169">
        <v>0.12</v>
      </c>
      <c r="AE3715" s="199">
        <f t="shared" si="1132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44"/>
        <v>24129972.828771491</v>
      </c>
      <c r="AJ3715" s="200">
        <f t="shared" si="1145"/>
        <v>2880955.0890193055</v>
      </c>
      <c r="AK3715" s="201">
        <f t="shared" si="1133"/>
        <v>0.11939321728469518</v>
      </c>
      <c r="AL3715" s="24"/>
      <c r="AM3715" s="24"/>
      <c r="AN3715" s="24"/>
      <c r="AO3715" s="24"/>
      <c r="AP3715" s="165" t="str">
        <f t="shared" si="1134"/>
        <v>202411</v>
      </c>
      <c r="AQ3715" s="203" t="str">
        <f t="shared" si="1135"/>
        <v>202411RMB</v>
      </c>
      <c r="AR3715" s="206" t="str">
        <f t="shared" si="1136"/>
        <v>YAMAHA_Mounter</v>
      </c>
      <c r="AS3715" s="22">
        <f t="shared" si="1137"/>
        <v>2</v>
      </c>
      <c r="AT3715" s="24" t="str">
        <f t="shared" si="1138"/>
        <v>0-3 months</v>
      </c>
    </row>
    <row r="3716" spans="1:46">
      <c r="A3716" s="33" t="str">
        <f t="shared" si="1129"/>
        <v>FY 24/25</v>
      </c>
      <c r="B3716" s="23">
        <v>2024</v>
      </c>
      <c r="C3716" s="23">
        <v>9</v>
      </c>
      <c r="D3716" s="202" t="str">
        <f t="shared" si="1141"/>
        <v>Q2</v>
      </c>
      <c r="E3716" s="33" t="str">
        <f t="shared" si="1115"/>
        <v>FY 24/25</v>
      </c>
      <c r="F3716" s="23">
        <v>2024</v>
      </c>
      <c r="G3716" s="23">
        <v>11</v>
      </c>
      <c r="H3716" s="29"/>
      <c r="I3716" s="204" t="str">
        <f t="shared" si="1130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40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43"/>
        <v>1.13</v>
      </c>
      <c r="Z3716" s="196">
        <f t="shared" si="1142"/>
        <v>685278</v>
      </c>
      <c r="AA3716" s="22">
        <v>1.1080000000000001</v>
      </c>
      <c r="AB3716" s="197">
        <f t="shared" si="1120"/>
        <v>671936.30442477891</v>
      </c>
      <c r="AC3716" s="198">
        <f t="shared" si="1131"/>
        <v>80632.356530973469</v>
      </c>
      <c r="AD3716" s="169">
        <v>0.12</v>
      </c>
      <c r="AE3716" s="199">
        <f t="shared" si="1132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44"/>
        <v>24129972.828771491</v>
      </c>
      <c r="AJ3716" s="200">
        <f t="shared" si="1145"/>
        <v>2880955.0890193055</v>
      </c>
      <c r="AK3716" s="201">
        <f t="shared" si="1133"/>
        <v>0.11939321728469518</v>
      </c>
      <c r="AL3716" s="24"/>
      <c r="AM3716" s="24"/>
      <c r="AN3716" s="24"/>
      <c r="AO3716" s="24"/>
      <c r="AP3716" s="165" t="str">
        <f t="shared" si="1134"/>
        <v>202411</v>
      </c>
      <c r="AQ3716" s="203" t="str">
        <f t="shared" si="1135"/>
        <v>202411RMB</v>
      </c>
      <c r="AR3716" s="206" t="str">
        <f t="shared" si="1136"/>
        <v>YAMAHA_Mounter</v>
      </c>
      <c r="AS3716" s="22">
        <f t="shared" si="1137"/>
        <v>2</v>
      </c>
      <c r="AT3716" s="24" t="str">
        <f t="shared" si="1138"/>
        <v>0-3 months</v>
      </c>
    </row>
    <row r="3717" spans="1:46">
      <c r="A3717" s="33" t="str">
        <f t="shared" si="1129"/>
        <v>FY 24/25</v>
      </c>
      <c r="B3717" s="23">
        <v>2024</v>
      </c>
      <c r="C3717" s="23">
        <v>9</v>
      </c>
      <c r="D3717" s="202" t="str">
        <f t="shared" si="1141"/>
        <v>Q2</v>
      </c>
      <c r="E3717" s="33" t="str">
        <f t="shared" si="1115"/>
        <v>FY 24/25</v>
      </c>
      <c r="F3717" s="23">
        <v>2024</v>
      </c>
      <c r="G3717" s="23">
        <v>10</v>
      </c>
      <c r="H3717" s="29"/>
      <c r="I3717" s="204" t="str">
        <f t="shared" si="1130"/>
        <v>Q3</v>
      </c>
      <c r="J3717" s="188" t="s">
        <v>3567</v>
      </c>
      <c r="K3717" s="29" t="s">
        <v>3568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40"/>
        <v>MAIN UNIT</v>
      </c>
      <c r="Q3717" s="22" t="s">
        <v>69</v>
      </c>
      <c r="R3717" s="22" t="s">
        <v>63</v>
      </c>
      <c r="S3717" s="22" t="s">
        <v>52</v>
      </c>
      <c r="T3717" s="22" t="s">
        <v>3569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43"/>
        <v>1.13</v>
      </c>
      <c r="Z3717" s="196">
        <f t="shared" si="1142"/>
        <v>820000</v>
      </c>
      <c r="AA3717" s="22">
        <v>1.1080000000000001</v>
      </c>
      <c r="AB3717" s="197">
        <f t="shared" si="1120"/>
        <v>804035.39823008876</v>
      </c>
      <c r="AC3717" s="198">
        <f t="shared" si="1131"/>
        <v>96484.247787610642</v>
      </c>
      <c r="AD3717" s="169">
        <v>0.12</v>
      </c>
      <c r="AE3717" s="199">
        <f t="shared" si="1132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44"/>
        <v>25860689.500884958</v>
      </c>
      <c r="AJ3717" s="200">
        <f t="shared" si="1145"/>
        <v>3153620.4547964605</v>
      </c>
      <c r="AK3717" s="201">
        <f t="shared" si="1133"/>
        <v>0.1219464954593938</v>
      </c>
      <c r="AL3717" s="24"/>
      <c r="AM3717" s="24"/>
      <c r="AN3717" s="24"/>
      <c r="AO3717" s="24"/>
      <c r="AP3717" s="165" t="str">
        <f t="shared" si="1134"/>
        <v>202410</v>
      </c>
      <c r="AQ3717" s="203" t="str">
        <f t="shared" si="1135"/>
        <v>202410RMB</v>
      </c>
      <c r="AR3717" s="206" t="str">
        <f t="shared" si="1136"/>
        <v>YAMAHA_Mounter</v>
      </c>
      <c r="AS3717" s="22">
        <f t="shared" si="1137"/>
        <v>1</v>
      </c>
      <c r="AT3717" s="24" t="str">
        <f t="shared" si="1138"/>
        <v>0-3 months</v>
      </c>
    </row>
    <row r="3718" spans="1:46">
      <c r="A3718" s="33" t="str">
        <f t="shared" si="1129"/>
        <v>FY 24/25</v>
      </c>
      <c r="B3718" s="23">
        <v>2024</v>
      </c>
      <c r="C3718" s="23">
        <v>9</v>
      </c>
      <c r="D3718" s="202" t="str">
        <f t="shared" si="1141"/>
        <v>Q2</v>
      </c>
      <c r="E3718" s="33" t="str">
        <f t="shared" si="1115"/>
        <v>FY 24/25</v>
      </c>
      <c r="F3718" s="23">
        <v>2024</v>
      </c>
      <c r="G3718" s="23">
        <v>10</v>
      </c>
      <c r="H3718" s="29"/>
      <c r="I3718" s="204" t="str">
        <f t="shared" si="1130"/>
        <v>Q3</v>
      </c>
      <c r="J3718" s="188" t="s">
        <v>3567</v>
      </c>
      <c r="K3718" s="29" t="s">
        <v>3568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40"/>
        <v>MAIN UNIT</v>
      </c>
      <c r="Q3718" s="22" t="s">
        <v>69</v>
      </c>
      <c r="R3718" s="22" t="s">
        <v>63</v>
      </c>
      <c r="S3718" s="22" t="s">
        <v>52</v>
      </c>
      <c r="T3718" s="22" t="s">
        <v>3569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43"/>
        <v>1.13</v>
      </c>
      <c r="Z3718" s="196">
        <f t="shared" si="1142"/>
        <v>723360</v>
      </c>
      <c r="AA3718" s="22">
        <v>1.1080000000000001</v>
      </c>
      <c r="AB3718" s="197">
        <f t="shared" si="1120"/>
        <v>709276.88495575229</v>
      </c>
      <c r="AC3718" s="198">
        <f t="shared" si="1131"/>
        <v>85113.226194690273</v>
      </c>
      <c r="AD3718" s="169">
        <v>0.12</v>
      </c>
      <c r="AE3718" s="199">
        <f t="shared" si="1132"/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44"/>
        <v>25860689.500884958</v>
      </c>
      <c r="AJ3718" s="200">
        <f t="shared" si="1145"/>
        <v>3153620.4547964605</v>
      </c>
      <c r="AK3718" s="201">
        <f t="shared" si="1133"/>
        <v>0.1219464954593938</v>
      </c>
      <c r="AL3718" s="24"/>
      <c r="AM3718" s="24"/>
      <c r="AN3718" s="24"/>
      <c r="AO3718" s="24"/>
      <c r="AP3718" s="165" t="str">
        <f t="shared" si="1134"/>
        <v>202410</v>
      </c>
      <c r="AQ3718" s="203" t="str">
        <f t="shared" si="1135"/>
        <v>202410RMB</v>
      </c>
      <c r="AR3718" s="206" t="str">
        <f t="shared" si="1136"/>
        <v>YAMAHA_Mounter</v>
      </c>
      <c r="AS3718" s="22">
        <f t="shared" si="1137"/>
        <v>1</v>
      </c>
      <c r="AT3718" s="24" t="str">
        <f t="shared" si="1138"/>
        <v>0-3 months</v>
      </c>
    </row>
    <row r="3719" spans="1:46">
      <c r="A3719" s="33" t="str">
        <f t="shared" si="1129"/>
        <v>FY 24/25</v>
      </c>
      <c r="B3719" s="23">
        <v>2024</v>
      </c>
      <c r="C3719" s="23">
        <v>9</v>
      </c>
      <c r="D3719" s="202" t="str">
        <f t="shared" si="1141"/>
        <v>Q2</v>
      </c>
      <c r="E3719" s="33" t="str">
        <f t="shared" si="1115"/>
        <v>FY 24/25</v>
      </c>
      <c r="F3719" s="23">
        <v>2024</v>
      </c>
      <c r="G3719" s="23">
        <v>10</v>
      </c>
      <c r="H3719" s="29"/>
      <c r="I3719" s="204" t="str">
        <f t="shared" si="1130"/>
        <v>Q3</v>
      </c>
      <c r="J3719" s="188" t="s">
        <v>3573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40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43"/>
        <v>1.13</v>
      </c>
      <c r="Z3719" s="196">
        <f t="shared" si="1142"/>
        <v>645000</v>
      </c>
      <c r="AA3719" s="22">
        <v>1.1080000000000001</v>
      </c>
      <c r="AB3719" s="197">
        <f t="shared" si="1120"/>
        <v>632442.47787610628</v>
      </c>
      <c r="AC3719" s="198">
        <f t="shared" si="1131"/>
        <v>75893.097345132745</v>
      </c>
      <c r="AD3719" s="169">
        <v>0.12</v>
      </c>
      <c r="AE3719" s="199">
        <f t="shared" si="1132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44"/>
        <v>25860689.500884958</v>
      </c>
      <c r="AJ3719" s="200">
        <f t="shared" si="1145"/>
        <v>3153620.4547964605</v>
      </c>
      <c r="AK3719" s="201">
        <f t="shared" si="1133"/>
        <v>0.1219464954593938</v>
      </c>
      <c r="AL3719" s="24"/>
      <c r="AM3719" s="24"/>
      <c r="AN3719" s="24"/>
      <c r="AO3719" s="24"/>
      <c r="AP3719" s="165" t="str">
        <f t="shared" si="1134"/>
        <v>202410</v>
      </c>
      <c r="AQ3719" s="203" t="str">
        <f t="shared" si="1135"/>
        <v>202410RMB</v>
      </c>
      <c r="AR3719" s="206" t="str">
        <f t="shared" si="1136"/>
        <v>YAMAHA_Mounter</v>
      </c>
      <c r="AS3719" s="22">
        <f t="shared" si="1137"/>
        <v>1</v>
      </c>
      <c r="AT3719" s="24" t="str">
        <f t="shared" si="1138"/>
        <v>0-3 months</v>
      </c>
    </row>
    <row r="3720" spans="1:46">
      <c r="A3720" s="33" t="str">
        <f t="shared" si="1129"/>
        <v>FY 24/25</v>
      </c>
      <c r="B3720" s="23">
        <v>2024</v>
      </c>
      <c r="C3720" s="23">
        <v>9</v>
      </c>
      <c r="D3720" s="202" t="str">
        <f t="shared" si="1141"/>
        <v>Q2</v>
      </c>
      <c r="E3720" s="33" t="str">
        <f t="shared" si="1115"/>
        <v>FY 24/25</v>
      </c>
      <c r="F3720" s="23">
        <v>2024</v>
      </c>
      <c r="G3720" s="23">
        <v>10</v>
      </c>
      <c r="H3720" s="29"/>
      <c r="I3720" s="204" t="str">
        <f t="shared" si="1130"/>
        <v>Q3</v>
      </c>
      <c r="J3720" s="188" t="s">
        <v>3573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40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43"/>
        <v>1.13</v>
      </c>
      <c r="Z3720" s="196">
        <f t="shared" si="1142"/>
        <v>645000</v>
      </c>
      <c r="AA3720" s="22">
        <v>1.1080000000000001</v>
      </c>
      <c r="AB3720" s="197">
        <f t="shared" si="1120"/>
        <v>632442.47787610628</v>
      </c>
      <c r="AC3720" s="198">
        <f t="shared" si="1131"/>
        <v>75893.097345132745</v>
      </c>
      <c r="AD3720" s="169">
        <v>0.12</v>
      </c>
      <c r="AE3720" s="199">
        <f t="shared" si="1132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44"/>
        <v>25860689.500884958</v>
      </c>
      <c r="AJ3720" s="200">
        <f t="shared" si="1145"/>
        <v>3153620.4547964605</v>
      </c>
      <c r="AK3720" s="201">
        <f t="shared" si="1133"/>
        <v>0.1219464954593938</v>
      </c>
      <c r="AL3720" s="24"/>
      <c r="AM3720" s="24"/>
      <c r="AN3720" s="24"/>
      <c r="AO3720" s="24"/>
      <c r="AP3720" s="165" t="str">
        <f t="shared" si="1134"/>
        <v>202410</v>
      </c>
      <c r="AQ3720" s="203" t="str">
        <f t="shared" si="1135"/>
        <v>202410RMB</v>
      </c>
      <c r="AR3720" s="206" t="str">
        <f t="shared" si="1136"/>
        <v>YAMAHA_Mounter</v>
      </c>
      <c r="AS3720" s="22">
        <f t="shared" si="1137"/>
        <v>1</v>
      </c>
      <c r="AT3720" s="24" t="str">
        <f t="shared" si="1138"/>
        <v>0-3 months</v>
      </c>
    </row>
    <row r="3721" spans="1:46" ht="42">
      <c r="A3721" s="33" t="str">
        <f t="shared" si="1129"/>
        <v/>
      </c>
      <c r="B3721" s="23"/>
      <c r="C3721" s="23"/>
      <c r="D3721" s="202" t="str">
        <f t="shared" si="1141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30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40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43"/>
        <v/>
      </c>
      <c r="Z3721" s="196" t="str">
        <f t="shared" si="1142"/>
        <v/>
      </c>
      <c r="AA3721" s="22"/>
      <c r="AB3721" s="197">
        <v>79000</v>
      </c>
      <c r="AC3721" s="198">
        <f t="shared" si="1131"/>
        <v>23700</v>
      </c>
      <c r="AD3721" s="162">
        <v>0.3</v>
      </c>
      <c r="AE3721" s="199">
        <f t="shared" si="1132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44"/>
        <v>35931087.732566379</v>
      </c>
      <c r="AJ3721" s="200">
        <f t="shared" si="1145"/>
        <v>4346699.6584161064</v>
      </c>
      <c r="AK3721" s="201">
        <f t="shared" si="1133"/>
        <v>0.12097322771769156</v>
      </c>
      <c r="AL3721" s="24"/>
      <c r="AM3721" s="24"/>
      <c r="AN3721" s="24"/>
      <c r="AO3721" s="24"/>
      <c r="AP3721" s="165" t="str">
        <f t="shared" si="1134"/>
        <v>20249</v>
      </c>
      <c r="AQ3721" s="203" t="str">
        <f t="shared" si="1135"/>
        <v/>
      </c>
      <c r="AR3721" s="206" t="str">
        <f t="shared" si="1136"/>
        <v>C66 SERVICE</v>
      </c>
      <c r="AS3721" s="22" t="str">
        <f t="shared" si="1137"/>
        <v/>
      </c>
      <c r="AT3721" s="24" t="str">
        <f t="shared" si="1138"/>
        <v/>
      </c>
    </row>
    <row r="3722" spans="1:46" ht="42">
      <c r="A3722" s="33" t="str">
        <f t="shared" si="1129"/>
        <v/>
      </c>
      <c r="B3722" s="23"/>
      <c r="C3722" s="23"/>
      <c r="D3722" s="202" t="str">
        <f t="shared" si="1141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30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40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43"/>
        <v/>
      </c>
      <c r="Z3722" s="196" t="str">
        <f t="shared" si="1142"/>
        <v/>
      </c>
      <c r="AA3722" s="22"/>
      <c r="AB3722" s="197">
        <v>65000</v>
      </c>
      <c r="AC3722" s="198">
        <f t="shared" si="1131"/>
        <v>19500</v>
      </c>
      <c r="AD3722" s="162">
        <v>0.3</v>
      </c>
      <c r="AE3722" s="199">
        <f t="shared" si="1132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44"/>
        <v>35931087.732566379</v>
      </c>
      <c r="AJ3722" s="200">
        <f t="shared" si="1145"/>
        <v>4346699.6584161064</v>
      </c>
      <c r="AK3722" s="201">
        <f t="shared" si="1133"/>
        <v>0.12097322771769156</v>
      </c>
      <c r="AL3722" s="24"/>
      <c r="AM3722" s="24"/>
      <c r="AN3722" s="24"/>
      <c r="AO3722" s="24"/>
      <c r="AP3722" s="165" t="str">
        <f t="shared" si="1134"/>
        <v>20249</v>
      </c>
      <c r="AQ3722" s="203" t="str">
        <f t="shared" si="1135"/>
        <v/>
      </c>
      <c r="AR3722" s="206" t="str">
        <f t="shared" si="1136"/>
        <v>C66 SERVICE</v>
      </c>
      <c r="AS3722" s="22" t="str">
        <f t="shared" si="1137"/>
        <v/>
      </c>
      <c r="AT3722" s="24" t="str">
        <f t="shared" si="1138"/>
        <v/>
      </c>
    </row>
    <row r="3723" spans="1:46" ht="42">
      <c r="A3723" s="33" t="str">
        <f t="shared" si="1129"/>
        <v/>
      </c>
      <c r="B3723" s="23"/>
      <c r="C3723" s="23"/>
      <c r="D3723" s="202" t="str">
        <f t="shared" si="1141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30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40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43"/>
        <v/>
      </c>
      <c r="Z3723" s="196" t="str">
        <f t="shared" si="1142"/>
        <v/>
      </c>
      <c r="AA3723" s="22"/>
      <c r="AB3723" s="197">
        <v>6000</v>
      </c>
      <c r="AC3723" s="198">
        <f t="shared" si="1131"/>
        <v>1800</v>
      </c>
      <c r="AD3723" s="162">
        <v>0.3</v>
      </c>
      <c r="AE3723" s="199">
        <f t="shared" si="1132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44"/>
        <v>35931087.732566379</v>
      </c>
      <c r="AJ3723" s="200">
        <f t="shared" si="1145"/>
        <v>4346699.6584161064</v>
      </c>
      <c r="AK3723" s="201">
        <f t="shared" si="1133"/>
        <v>0.12097322771769156</v>
      </c>
      <c r="AL3723" s="24"/>
      <c r="AM3723" s="24"/>
      <c r="AN3723" s="24"/>
      <c r="AO3723" s="24"/>
      <c r="AP3723" s="165" t="str">
        <f t="shared" si="1134"/>
        <v>20249</v>
      </c>
      <c r="AQ3723" s="203" t="str">
        <f t="shared" si="1135"/>
        <v/>
      </c>
      <c r="AR3723" s="206" t="str">
        <f t="shared" si="1136"/>
        <v>C66 SERVICE</v>
      </c>
      <c r="AS3723" s="22" t="str">
        <f t="shared" si="1137"/>
        <v/>
      </c>
      <c r="AT3723" s="24" t="str">
        <f t="shared" si="1138"/>
        <v/>
      </c>
    </row>
    <row r="3724" spans="1:46" ht="42">
      <c r="A3724" s="33" t="str">
        <f t="shared" si="1129"/>
        <v/>
      </c>
      <c r="B3724" s="23"/>
      <c r="C3724" s="23"/>
      <c r="D3724" s="202" t="str">
        <f t="shared" si="1141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30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40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43"/>
        <v/>
      </c>
      <c r="Z3724" s="196" t="str">
        <f t="shared" si="1142"/>
        <v/>
      </c>
      <c r="AA3724" s="22"/>
      <c r="AB3724" s="197">
        <v>211000</v>
      </c>
      <c r="AC3724" s="198">
        <f t="shared" si="1131"/>
        <v>63300</v>
      </c>
      <c r="AD3724" s="162">
        <v>0.3</v>
      </c>
      <c r="AE3724" s="199">
        <f t="shared" si="1132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44"/>
        <v>35931087.732566379</v>
      </c>
      <c r="AJ3724" s="200">
        <f t="shared" si="1145"/>
        <v>4346699.6584161064</v>
      </c>
      <c r="AK3724" s="201">
        <f t="shared" si="1133"/>
        <v>0.12097322771769156</v>
      </c>
      <c r="AL3724" s="24"/>
      <c r="AM3724" s="24"/>
      <c r="AN3724" s="24"/>
      <c r="AO3724" s="24"/>
      <c r="AP3724" s="165" t="str">
        <f t="shared" si="1134"/>
        <v>20249</v>
      </c>
      <c r="AQ3724" s="203" t="str">
        <f t="shared" si="1135"/>
        <v/>
      </c>
      <c r="AR3724" s="206" t="str">
        <f t="shared" si="1136"/>
        <v>C66 SERVICE</v>
      </c>
      <c r="AS3724" s="22" t="str">
        <f t="shared" si="1137"/>
        <v/>
      </c>
      <c r="AT3724" s="24" t="str">
        <f t="shared" si="1138"/>
        <v/>
      </c>
    </row>
    <row r="3725" spans="1:46">
      <c r="A3725" s="33" t="str">
        <f t="shared" si="1129"/>
        <v/>
      </c>
      <c r="B3725" s="23"/>
      <c r="C3725" s="23"/>
      <c r="D3725" s="202" t="str">
        <f t="shared" si="1141"/>
        <v/>
      </c>
      <c r="E3725" s="33" t="str">
        <f t="shared" si="1115"/>
        <v/>
      </c>
      <c r="F3725" s="23"/>
      <c r="G3725" s="23"/>
      <c r="H3725" s="29"/>
      <c r="I3725" s="204" t="str">
        <f t="shared" si="1130"/>
        <v/>
      </c>
      <c r="J3725" s="188"/>
      <c r="K3725" s="29"/>
      <c r="L3725" s="24"/>
      <c r="M3725" s="22"/>
      <c r="N3725" s="22"/>
      <c r="O3725" s="22"/>
      <c r="P3725" s="202" t="str">
        <f t="shared" si="1140"/>
        <v/>
      </c>
      <c r="Q3725" s="22"/>
      <c r="R3725" s="22"/>
      <c r="S3725" s="22"/>
      <c r="T3725" s="22"/>
      <c r="U3725" s="22"/>
      <c r="V3725" s="22"/>
      <c r="W3725" s="22"/>
      <c r="X3725" s="104"/>
      <c r="Y3725" s="195" t="str">
        <f t="shared" si="1143"/>
        <v/>
      </c>
      <c r="Z3725" s="196" t="str">
        <f t="shared" si="1142"/>
        <v/>
      </c>
      <c r="AA3725" s="22"/>
      <c r="AB3725" s="197" t="str">
        <f t="shared" si="1120"/>
        <v/>
      </c>
      <c r="AC3725" s="198" t="str">
        <f t="shared" si="1131"/>
        <v/>
      </c>
      <c r="AD3725" s="162"/>
      <c r="AE3725" s="199" t="str">
        <f t="shared" si="1132"/>
        <v/>
      </c>
      <c r="AF3725" s="199" t="str">
        <f>IF(AND(COUNTIFS($J$18:J3725,J3725)=1,AE3725=1),1,"")</f>
        <v/>
      </c>
      <c r="AG3725" s="199" t="str">
        <f>IF(C3725="","",IF(AND(COUNTIFS($J$18:J3725,J3725)=1,C3725&lt;&gt;""),1,""))</f>
        <v/>
      </c>
      <c r="AH3725" s="199" t="str">
        <f>IF(G3725="","",IF(AND(COUNTIFS($J$18:J3725,J3725)=1,G3725&lt;&gt;""),1,""))</f>
        <v/>
      </c>
      <c r="AI3725" s="200">
        <f t="shared" si="1144"/>
        <v>0</v>
      </c>
      <c r="AJ3725" s="200">
        <f t="shared" si="1145"/>
        <v>0</v>
      </c>
      <c r="AK3725" s="201" t="str">
        <f t="shared" si="1133"/>
        <v/>
      </c>
      <c r="AL3725" s="24"/>
      <c r="AM3725" s="24"/>
      <c r="AN3725" s="24"/>
      <c r="AO3725" s="24"/>
      <c r="AP3725" s="165" t="str">
        <f t="shared" si="1134"/>
        <v/>
      </c>
      <c r="AQ3725" s="203" t="str">
        <f t="shared" si="1135"/>
        <v/>
      </c>
      <c r="AR3725" s="206">
        <f t="shared" si="1136"/>
        <v>0</v>
      </c>
      <c r="AS3725" s="22" t="str">
        <f t="shared" si="1137"/>
        <v/>
      </c>
      <c r="AT3725" s="24" t="str">
        <f t="shared" si="1138"/>
        <v/>
      </c>
    </row>
    <row r="3726" spans="1:46">
      <c r="A3726" s="33" t="str">
        <f t="shared" si="1129"/>
        <v/>
      </c>
      <c r="B3726" s="23"/>
      <c r="C3726" s="23"/>
      <c r="D3726" s="202" t="str">
        <f t="shared" si="1141"/>
        <v/>
      </c>
      <c r="E3726" s="33" t="str">
        <f t="shared" si="1115"/>
        <v/>
      </c>
      <c r="F3726" s="23"/>
      <c r="G3726" s="23"/>
      <c r="H3726" s="29"/>
      <c r="I3726" s="204" t="str">
        <f t="shared" si="1130"/>
        <v/>
      </c>
      <c r="J3726" s="188"/>
      <c r="K3726" s="29"/>
      <c r="L3726" s="24"/>
      <c r="M3726" s="22"/>
      <c r="N3726" s="22"/>
      <c r="O3726" s="22"/>
      <c r="P3726" s="202" t="str">
        <f t="shared" si="1140"/>
        <v/>
      </c>
      <c r="Q3726" s="22"/>
      <c r="R3726" s="22"/>
      <c r="S3726" s="22"/>
      <c r="T3726" s="22"/>
      <c r="U3726" s="22"/>
      <c r="V3726" s="22"/>
      <c r="W3726" s="22"/>
      <c r="X3726" s="104"/>
      <c r="Y3726" s="195" t="str">
        <f t="shared" si="1143"/>
        <v/>
      </c>
      <c r="Z3726" s="196" t="str">
        <f t="shared" si="1142"/>
        <v/>
      </c>
      <c r="AA3726" s="22"/>
      <c r="AB3726" s="197" t="str">
        <f t="shared" si="1120"/>
        <v/>
      </c>
      <c r="AC3726" s="198" t="str">
        <f t="shared" si="1131"/>
        <v/>
      </c>
      <c r="AD3726" s="162"/>
      <c r="AE3726" s="199" t="str">
        <f t="shared" si="1132"/>
        <v/>
      </c>
      <c r="AF3726" s="199" t="str">
        <f>IF(AND(COUNTIFS($J$18:J3726,J3726)=1,AE3726=1),1,"")</f>
        <v/>
      </c>
      <c r="AG3726" s="199" t="str">
        <f>IF(C3726="","",IF(AND(COUNTIFS($J$18:J3726,J3726)=1,C3726&lt;&gt;""),1,""))</f>
        <v/>
      </c>
      <c r="AH3726" s="199" t="str">
        <f>IF(G3726="","",IF(AND(COUNTIFS($J$18:J3726,J3726)=1,G3726&lt;&gt;""),1,""))</f>
        <v/>
      </c>
      <c r="AI3726" s="200">
        <f t="shared" si="1144"/>
        <v>0</v>
      </c>
      <c r="AJ3726" s="200">
        <f t="shared" si="1145"/>
        <v>0</v>
      </c>
      <c r="AK3726" s="201" t="str">
        <f t="shared" si="1133"/>
        <v/>
      </c>
      <c r="AL3726" s="24"/>
      <c r="AM3726" s="24"/>
      <c r="AN3726" s="24"/>
      <c r="AO3726" s="24"/>
      <c r="AP3726" s="165" t="str">
        <f t="shared" si="1134"/>
        <v/>
      </c>
      <c r="AQ3726" s="203" t="str">
        <f t="shared" si="1135"/>
        <v/>
      </c>
      <c r="AR3726" s="206">
        <f t="shared" si="1136"/>
        <v>0</v>
      </c>
      <c r="AS3726" s="22" t="str">
        <f t="shared" si="1137"/>
        <v/>
      </c>
      <c r="AT3726" s="24" t="str">
        <f t="shared" si="1138"/>
        <v/>
      </c>
    </row>
    <row r="3727" spans="1:46">
      <c r="A3727" s="33" t="str">
        <f t="shared" si="1129"/>
        <v/>
      </c>
      <c r="B3727" s="23"/>
      <c r="C3727" s="23"/>
      <c r="D3727" s="202" t="str">
        <f t="shared" si="1141"/>
        <v/>
      </c>
      <c r="E3727" s="33" t="str">
        <f t="shared" si="1115"/>
        <v/>
      </c>
      <c r="F3727" s="23"/>
      <c r="G3727" s="23"/>
      <c r="H3727" s="29"/>
      <c r="I3727" s="204" t="str">
        <f t="shared" si="1130"/>
        <v/>
      </c>
      <c r="J3727" s="188"/>
      <c r="K3727" s="29"/>
      <c r="L3727" s="24"/>
      <c r="M3727" s="22"/>
      <c r="N3727" s="22"/>
      <c r="O3727" s="22"/>
      <c r="P3727" s="202" t="str">
        <f t="shared" si="1140"/>
        <v/>
      </c>
      <c r="Q3727" s="22"/>
      <c r="R3727" s="22"/>
      <c r="S3727" s="22"/>
      <c r="T3727" s="22"/>
      <c r="U3727" s="22"/>
      <c r="V3727" s="22"/>
      <c r="W3727" s="22"/>
      <c r="X3727" s="104"/>
      <c r="Y3727" s="195" t="str">
        <f t="shared" si="1143"/>
        <v/>
      </c>
      <c r="Z3727" s="196" t="str">
        <f t="shared" si="1142"/>
        <v/>
      </c>
      <c r="AA3727" s="22"/>
      <c r="AB3727" s="197" t="str">
        <f t="shared" si="1120"/>
        <v/>
      </c>
      <c r="AC3727" s="198" t="str">
        <f t="shared" si="1131"/>
        <v/>
      </c>
      <c r="AD3727" s="162"/>
      <c r="AE3727" s="199" t="str">
        <f t="shared" si="1132"/>
        <v/>
      </c>
      <c r="AF3727" s="199" t="str">
        <f>IF(AND(COUNTIFS($J$18:J3727,J3727)=1,AE3727=1),1,"")</f>
        <v/>
      </c>
      <c r="AG3727" s="199" t="str">
        <f>IF(C3727="","",IF(AND(COUNTIFS($J$18:J3727,J3727)=1,C3727&lt;&gt;""),1,""))</f>
        <v/>
      </c>
      <c r="AH3727" s="199" t="str">
        <f>IF(G3727="","",IF(AND(COUNTIFS($J$18:J3727,J3727)=1,G3727&lt;&gt;""),1,""))</f>
        <v/>
      </c>
      <c r="AI3727" s="200">
        <f t="shared" si="1144"/>
        <v>0</v>
      </c>
      <c r="AJ3727" s="200">
        <f t="shared" si="1145"/>
        <v>0</v>
      </c>
      <c r="AK3727" s="201" t="str">
        <f t="shared" si="1133"/>
        <v/>
      </c>
      <c r="AL3727" s="24"/>
      <c r="AM3727" s="24"/>
      <c r="AN3727" s="24"/>
      <c r="AO3727" s="24"/>
      <c r="AP3727" s="165" t="str">
        <f t="shared" si="1134"/>
        <v/>
      </c>
      <c r="AQ3727" s="203" t="str">
        <f t="shared" si="1135"/>
        <v/>
      </c>
      <c r="AR3727" s="206">
        <f t="shared" si="1136"/>
        <v>0</v>
      </c>
      <c r="AS3727" s="22" t="str">
        <f t="shared" si="1137"/>
        <v/>
      </c>
      <c r="AT3727" s="24" t="str">
        <f t="shared" si="1138"/>
        <v/>
      </c>
    </row>
    <row r="3728" spans="1:46">
      <c r="A3728" s="33" t="str">
        <f t="shared" si="1129"/>
        <v/>
      </c>
      <c r="B3728" s="23"/>
      <c r="C3728" s="23"/>
      <c r="D3728" s="202" t="str">
        <f t="shared" si="1141"/>
        <v/>
      </c>
      <c r="E3728" s="33" t="str">
        <f t="shared" si="1115"/>
        <v/>
      </c>
      <c r="F3728" s="23"/>
      <c r="G3728" s="23"/>
      <c r="H3728" s="29"/>
      <c r="I3728" s="204" t="str">
        <f t="shared" si="1130"/>
        <v/>
      </c>
      <c r="J3728" s="188"/>
      <c r="K3728" s="29"/>
      <c r="L3728" s="24"/>
      <c r="M3728" s="22"/>
      <c r="N3728" s="22"/>
      <c r="O3728" s="22"/>
      <c r="P3728" s="202" t="str">
        <f t="shared" si="1140"/>
        <v/>
      </c>
      <c r="Q3728" s="22"/>
      <c r="R3728" s="22"/>
      <c r="S3728" s="22"/>
      <c r="T3728" s="22"/>
      <c r="U3728" s="22"/>
      <c r="V3728" s="22"/>
      <c r="W3728" s="22"/>
      <c r="X3728" s="104"/>
      <c r="Y3728" s="195" t="str">
        <f t="shared" si="1143"/>
        <v/>
      </c>
      <c r="Z3728" s="196" t="str">
        <f t="shared" si="1142"/>
        <v/>
      </c>
      <c r="AA3728" s="22"/>
      <c r="AB3728" s="197" t="str">
        <f t="shared" si="1120"/>
        <v/>
      </c>
      <c r="AC3728" s="198" t="str">
        <f t="shared" si="1131"/>
        <v/>
      </c>
      <c r="AD3728" s="162"/>
      <c r="AE3728" s="199" t="str">
        <f t="shared" si="1132"/>
        <v/>
      </c>
      <c r="AF3728" s="199" t="str">
        <f>IF(AND(COUNTIFS($J$18:J3728,J3728)=1,AE3728=1),1,"")</f>
        <v/>
      </c>
      <c r="AG3728" s="199" t="str">
        <f>IF(C3728="","",IF(AND(COUNTIFS($J$18:J3728,J3728)=1,C3728&lt;&gt;""),1,""))</f>
        <v/>
      </c>
      <c r="AH3728" s="199" t="str">
        <f>IF(G3728="","",IF(AND(COUNTIFS($J$18:J3728,J3728)=1,G3728&lt;&gt;""),1,""))</f>
        <v/>
      </c>
      <c r="AI3728" s="200">
        <f t="shared" si="1144"/>
        <v>0</v>
      </c>
      <c r="AJ3728" s="200">
        <f t="shared" si="1145"/>
        <v>0</v>
      </c>
      <c r="AK3728" s="201" t="str">
        <f t="shared" si="1133"/>
        <v/>
      </c>
      <c r="AL3728" s="24"/>
      <c r="AM3728" s="24"/>
      <c r="AN3728" s="24"/>
      <c r="AO3728" s="24"/>
      <c r="AP3728" s="165" t="str">
        <f t="shared" si="1134"/>
        <v/>
      </c>
      <c r="AQ3728" s="203" t="str">
        <f t="shared" si="1135"/>
        <v/>
      </c>
      <c r="AR3728" s="206">
        <f t="shared" si="1136"/>
        <v>0</v>
      </c>
      <c r="AS3728" s="22" t="str">
        <f t="shared" si="1137"/>
        <v/>
      </c>
      <c r="AT3728" s="24" t="str">
        <f t="shared" si="1138"/>
        <v/>
      </c>
    </row>
    <row r="3729" spans="1:46">
      <c r="A3729" s="33" t="str">
        <f t="shared" si="1129"/>
        <v/>
      </c>
      <c r="B3729" s="23"/>
      <c r="C3729" s="23"/>
      <c r="D3729" s="202" t="str">
        <f t="shared" si="1141"/>
        <v/>
      </c>
      <c r="E3729" s="33" t="str">
        <f t="shared" si="1115"/>
        <v/>
      </c>
      <c r="F3729" s="23"/>
      <c r="G3729" s="23"/>
      <c r="H3729" s="29"/>
      <c r="I3729" s="204" t="str">
        <f t="shared" si="1130"/>
        <v/>
      </c>
      <c r="J3729" s="188"/>
      <c r="K3729" s="29"/>
      <c r="L3729" s="24"/>
      <c r="M3729" s="22"/>
      <c r="N3729" s="22"/>
      <c r="O3729" s="22"/>
      <c r="P3729" s="202" t="str">
        <f t="shared" si="1140"/>
        <v/>
      </c>
      <c r="Q3729" s="22"/>
      <c r="R3729" s="22"/>
      <c r="S3729" s="22"/>
      <c r="T3729" s="22"/>
      <c r="U3729" s="22"/>
      <c r="V3729" s="22"/>
      <c r="W3729" s="22"/>
      <c r="X3729" s="104"/>
      <c r="Y3729" s="195" t="str">
        <f t="shared" si="1143"/>
        <v/>
      </c>
      <c r="Z3729" s="196" t="str">
        <f t="shared" si="1142"/>
        <v/>
      </c>
      <c r="AA3729" s="22"/>
      <c r="AB3729" s="197" t="str">
        <f t="shared" si="1120"/>
        <v/>
      </c>
      <c r="AC3729" s="198" t="str">
        <f t="shared" si="1131"/>
        <v/>
      </c>
      <c r="AD3729" s="162"/>
      <c r="AE3729" s="199" t="str">
        <f t="shared" si="1132"/>
        <v/>
      </c>
      <c r="AF3729" s="199" t="str">
        <f>IF(AND(COUNTIFS($J$18:J3729,J3729)=1,AE3729=1),1,"")</f>
        <v/>
      </c>
      <c r="AG3729" s="199" t="str">
        <f>IF(C3729="","",IF(AND(COUNTIFS($J$18:J3729,J3729)=1,C3729&lt;&gt;""),1,""))</f>
        <v/>
      </c>
      <c r="AH3729" s="199" t="str">
        <f>IF(G3729="","",IF(AND(COUNTIFS($J$18:J3729,J3729)=1,G3729&lt;&gt;""),1,""))</f>
        <v/>
      </c>
      <c r="AI3729" s="200">
        <f t="shared" si="1144"/>
        <v>0</v>
      </c>
      <c r="AJ3729" s="200">
        <f t="shared" si="1145"/>
        <v>0</v>
      </c>
      <c r="AK3729" s="201" t="str">
        <f t="shared" si="1133"/>
        <v/>
      </c>
      <c r="AL3729" s="24"/>
      <c r="AM3729" s="24"/>
      <c r="AN3729" s="24"/>
      <c r="AO3729" s="24"/>
      <c r="AP3729" s="165" t="str">
        <f t="shared" si="1134"/>
        <v/>
      </c>
      <c r="AQ3729" s="203" t="str">
        <f t="shared" si="1135"/>
        <v/>
      </c>
      <c r="AR3729" s="206">
        <f t="shared" si="1136"/>
        <v>0</v>
      </c>
      <c r="AS3729" s="22" t="str">
        <f t="shared" si="1137"/>
        <v/>
      </c>
      <c r="AT3729" s="24" t="str">
        <f t="shared" si="1138"/>
        <v/>
      </c>
    </row>
    <row r="3730" spans="1:46">
      <c r="A3730" s="33" t="str">
        <f t="shared" si="1129"/>
        <v/>
      </c>
      <c r="B3730" s="23"/>
      <c r="C3730" s="23"/>
      <c r="D3730" s="202" t="str">
        <f t="shared" si="1141"/>
        <v/>
      </c>
      <c r="E3730" s="33" t="str">
        <f t="shared" si="1115"/>
        <v/>
      </c>
      <c r="F3730" s="23"/>
      <c r="G3730" s="23"/>
      <c r="H3730" s="29"/>
      <c r="I3730" s="204" t="str">
        <f t="shared" si="1130"/>
        <v/>
      </c>
      <c r="J3730" s="188"/>
      <c r="K3730" s="29"/>
      <c r="L3730" s="24"/>
      <c r="M3730" s="22"/>
      <c r="N3730" s="22"/>
      <c r="O3730" s="22"/>
      <c r="P3730" s="202" t="str">
        <f t="shared" si="1140"/>
        <v/>
      </c>
      <c r="Q3730" s="22"/>
      <c r="R3730" s="22"/>
      <c r="S3730" s="22"/>
      <c r="T3730" s="22"/>
      <c r="U3730" s="22"/>
      <c r="V3730" s="22"/>
      <c r="W3730" s="22"/>
      <c r="X3730" s="104"/>
      <c r="Y3730" s="195" t="str">
        <f t="shared" si="1143"/>
        <v/>
      </c>
      <c r="Z3730" s="196" t="str">
        <f t="shared" si="1142"/>
        <v/>
      </c>
      <c r="AA3730" s="22"/>
      <c r="AB3730" s="197" t="str">
        <f t="shared" ref="AB3730:AB3793" si="1146">IF(AND(R3730&lt;&gt;"C66",R3730&lt;&gt;""),Z3730/Y3730*AA3730,"")</f>
        <v/>
      </c>
      <c r="AC3730" s="198" t="str">
        <f t="shared" si="1131"/>
        <v/>
      </c>
      <c r="AD3730" s="162"/>
      <c r="AE3730" s="199" t="str">
        <f t="shared" si="1132"/>
        <v/>
      </c>
      <c r="AF3730" s="199" t="str">
        <f>IF(AND(COUNTIFS($J$18:J3730,J3730)=1,AE3730=1),1,"")</f>
        <v/>
      </c>
      <c r="AG3730" s="199" t="str">
        <f>IF(C3730="","",IF(AND(COUNTIFS($J$18:J3730,J3730)=1,C3730&lt;&gt;""),1,""))</f>
        <v/>
      </c>
      <c r="AH3730" s="199" t="str">
        <f>IF(G3730="","",IF(AND(COUNTIFS($J$18:J3730,J3730)=1,G3730&lt;&gt;""),1,""))</f>
        <v/>
      </c>
      <c r="AI3730" s="200">
        <f t="shared" si="1144"/>
        <v>0</v>
      </c>
      <c r="AJ3730" s="200">
        <f t="shared" si="1145"/>
        <v>0</v>
      </c>
      <c r="AK3730" s="201" t="str">
        <f t="shared" si="1133"/>
        <v/>
      </c>
      <c r="AL3730" s="24"/>
      <c r="AM3730" s="24"/>
      <c r="AN3730" s="24"/>
      <c r="AO3730" s="24"/>
      <c r="AP3730" s="165" t="str">
        <f t="shared" si="1134"/>
        <v/>
      </c>
      <c r="AQ3730" s="203" t="str">
        <f t="shared" si="1135"/>
        <v/>
      </c>
      <c r="AR3730" s="206">
        <f t="shared" si="1136"/>
        <v>0</v>
      </c>
      <c r="AS3730" s="22" t="str">
        <f t="shared" si="1137"/>
        <v/>
      </c>
      <c r="AT3730" s="24" t="str">
        <f t="shared" si="1138"/>
        <v/>
      </c>
    </row>
    <row r="3731" spans="1:46">
      <c r="A3731" s="33" t="str">
        <f t="shared" si="1129"/>
        <v/>
      </c>
      <c r="B3731" s="23"/>
      <c r="C3731" s="23"/>
      <c r="D3731" s="202" t="str">
        <f t="shared" si="1141"/>
        <v/>
      </c>
      <c r="E3731" s="33" t="str">
        <f t="shared" si="1115"/>
        <v/>
      </c>
      <c r="F3731" s="23"/>
      <c r="G3731" s="23"/>
      <c r="H3731" s="29"/>
      <c r="I3731" s="204" t="str">
        <f t="shared" si="1130"/>
        <v/>
      </c>
      <c r="J3731" s="188"/>
      <c r="K3731" s="29"/>
      <c r="L3731" s="24"/>
      <c r="M3731" s="22"/>
      <c r="N3731" s="22"/>
      <c r="O3731" s="22"/>
      <c r="P3731" s="202" t="str">
        <f t="shared" si="1140"/>
        <v/>
      </c>
      <c r="Q3731" s="22"/>
      <c r="R3731" s="22"/>
      <c r="S3731" s="22"/>
      <c r="T3731" s="22"/>
      <c r="U3731" s="22"/>
      <c r="V3731" s="22"/>
      <c r="W3731" s="22"/>
      <c r="X3731" s="104"/>
      <c r="Y3731" s="195" t="str">
        <f t="shared" si="1143"/>
        <v/>
      </c>
      <c r="Z3731" s="196" t="str">
        <f t="shared" si="1142"/>
        <v/>
      </c>
      <c r="AA3731" s="22"/>
      <c r="AB3731" s="197" t="str">
        <f t="shared" si="1146"/>
        <v/>
      </c>
      <c r="AC3731" s="198" t="str">
        <f t="shared" si="1131"/>
        <v/>
      </c>
      <c r="AD3731" s="162"/>
      <c r="AE3731" s="199" t="str">
        <f t="shared" si="1132"/>
        <v/>
      </c>
      <c r="AF3731" s="199" t="str">
        <f>IF(AND(COUNTIFS($J$18:J3731,J3731)=1,AE3731=1),1,"")</f>
        <v/>
      </c>
      <c r="AG3731" s="199" t="str">
        <f>IF(C3731="","",IF(AND(COUNTIFS($J$18:J3731,J3731)=1,C3731&lt;&gt;""),1,""))</f>
        <v/>
      </c>
      <c r="AH3731" s="199" t="str">
        <f>IF(G3731="","",IF(AND(COUNTIFS($J$18:J3731,J3731)=1,G3731&lt;&gt;""),1,""))</f>
        <v/>
      </c>
      <c r="AI3731" s="200">
        <f t="shared" si="1144"/>
        <v>0</v>
      </c>
      <c r="AJ3731" s="200">
        <f t="shared" si="1145"/>
        <v>0</v>
      </c>
      <c r="AK3731" s="201" t="str">
        <f t="shared" si="1133"/>
        <v/>
      </c>
      <c r="AL3731" s="24"/>
      <c r="AM3731" s="24"/>
      <c r="AN3731" s="24"/>
      <c r="AO3731" s="24"/>
      <c r="AP3731" s="165" t="str">
        <f t="shared" si="1134"/>
        <v/>
      </c>
      <c r="AQ3731" s="203" t="str">
        <f t="shared" si="1135"/>
        <v/>
      </c>
      <c r="AR3731" s="206">
        <f t="shared" si="1136"/>
        <v>0</v>
      </c>
      <c r="AS3731" s="22" t="str">
        <f t="shared" si="1137"/>
        <v/>
      </c>
      <c r="AT3731" s="24" t="str">
        <f t="shared" si="1138"/>
        <v/>
      </c>
    </row>
    <row r="3732" spans="1:46">
      <c r="A3732" s="33" t="str">
        <f t="shared" si="1129"/>
        <v/>
      </c>
      <c r="B3732" s="23"/>
      <c r="C3732" s="23"/>
      <c r="D3732" s="202" t="str">
        <f t="shared" si="1141"/>
        <v/>
      </c>
      <c r="E3732" s="33" t="str">
        <f t="shared" si="1115"/>
        <v/>
      </c>
      <c r="F3732" s="23"/>
      <c r="G3732" s="23"/>
      <c r="H3732" s="29"/>
      <c r="I3732" s="204" t="str">
        <f t="shared" si="1130"/>
        <v/>
      </c>
      <c r="J3732" s="188"/>
      <c r="K3732" s="29"/>
      <c r="L3732" s="24"/>
      <c r="M3732" s="22"/>
      <c r="N3732" s="22"/>
      <c r="O3732" s="22"/>
      <c r="P3732" s="202" t="str">
        <f t="shared" si="1140"/>
        <v/>
      </c>
      <c r="Q3732" s="22"/>
      <c r="R3732" s="22"/>
      <c r="S3732" s="22"/>
      <c r="T3732" s="22"/>
      <c r="U3732" s="22"/>
      <c r="V3732" s="22"/>
      <c r="W3732" s="22"/>
      <c r="X3732" s="104"/>
      <c r="Y3732" s="195" t="str">
        <f t="shared" si="1143"/>
        <v/>
      </c>
      <c r="Z3732" s="196" t="str">
        <f t="shared" si="1142"/>
        <v/>
      </c>
      <c r="AA3732" s="22"/>
      <c r="AB3732" s="197" t="str">
        <f t="shared" si="1146"/>
        <v/>
      </c>
      <c r="AC3732" s="198" t="str">
        <f t="shared" si="1131"/>
        <v/>
      </c>
      <c r="AD3732" s="162"/>
      <c r="AE3732" s="199" t="str">
        <f t="shared" si="1132"/>
        <v/>
      </c>
      <c r="AF3732" s="199" t="str">
        <f>IF(AND(COUNTIFS($J$18:J3732,J3732)=1,AE3732=1),1,"")</f>
        <v/>
      </c>
      <c r="AG3732" s="199" t="str">
        <f>IF(C3732="","",IF(AND(COUNTIFS($J$18:J3732,J3732)=1,C3732&lt;&gt;""),1,""))</f>
        <v/>
      </c>
      <c r="AH3732" s="199" t="str">
        <f>IF(G3732="","",IF(AND(COUNTIFS($J$18:J3732,J3732)=1,G3732&lt;&gt;""),1,""))</f>
        <v/>
      </c>
      <c r="AI3732" s="200">
        <f t="shared" si="1144"/>
        <v>0</v>
      </c>
      <c r="AJ3732" s="200">
        <f t="shared" si="1145"/>
        <v>0</v>
      </c>
      <c r="AK3732" s="201" t="str">
        <f t="shared" si="1133"/>
        <v/>
      </c>
      <c r="AL3732" s="24"/>
      <c r="AM3732" s="24"/>
      <c r="AN3732" s="24"/>
      <c r="AO3732" s="24"/>
      <c r="AP3732" s="165" t="str">
        <f t="shared" si="1134"/>
        <v/>
      </c>
      <c r="AQ3732" s="203" t="str">
        <f t="shared" si="1135"/>
        <v/>
      </c>
      <c r="AR3732" s="206">
        <f t="shared" si="1136"/>
        <v>0</v>
      </c>
      <c r="AS3732" s="22" t="str">
        <f t="shared" si="1137"/>
        <v/>
      </c>
      <c r="AT3732" s="24" t="str">
        <f t="shared" si="1138"/>
        <v/>
      </c>
    </row>
    <row r="3733" spans="1:46">
      <c r="A3733" s="33" t="str">
        <f t="shared" si="1129"/>
        <v/>
      </c>
      <c r="B3733" s="23"/>
      <c r="C3733" s="23"/>
      <c r="D3733" s="202" t="str">
        <f t="shared" si="1141"/>
        <v/>
      </c>
      <c r="E3733" s="33" t="str">
        <f t="shared" si="1115"/>
        <v/>
      </c>
      <c r="F3733" s="23"/>
      <c r="G3733" s="23"/>
      <c r="H3733" s="29"/>
      <c r="I3733" s="204" t="str">
        <f t="shared" si="1130"/>
        <v/>
      </c>
      <c r="J3733" s="188"/>
      <c r="K3733" s="29"/>
      <c r="L3733" s="24"/>
      <c r="M3733" s="22"/>
      <c r="N3733" s="22"/>
      <c r="O3733" s="22"/>
      <c r="P3733" s="202" t="str">
        <f t="shared" si="1140"/>
        <v/>
      </c>
      <c r="Q3733" s="22"/>
      <c r="R3733" s="22"/>
      <c r="S3733" s="22"/>
      <c r="T3733" s="22"/>
      <c r="U3733" s="22"/>
      <c r="V3733" s="22"/>
      <c r="W3733" s="22"/>
      <c r="X3733" s="104"/>
      <c r="Y3733" s="195" t="str">
        <f t="shared" si="1143"/>
        <v/>
      </c>
      <c r="Z3733" s="196" t="str">
        <f t="shared" si="1142"/>
        <v/>
      </c>
      <c r="AA3733" s="22"/>
      <c r="AB3733" s="197" t="str">
        <f t="shared" si="1146"/>
        <v/>
      </c>
      <c r="AC3733" s="198" t="str">
        <f t="shared" si="1131"/>
        <v/>
      </c>
      <c r="AD3733" s="162"/>
      <c r="AE3733" s="199" t="str">
        <f t="shared" si="1132"/>
        <v/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44"/>
        <v>0</v>
      </c>
      <c r="AJ3733" s="200">
        <f t="shared" si="1145"/>
        <v>0</v>
      </c>
      <c r="AK3733" s="201" t="str">
        <f t="shared" si="1133"/>
        <v/>
      </c>
      <c r="AL3733" s="24"/>
      <c r="AM3733" s="24"/>
      <c r="AN3733" s="24"/>
      <c r="AO3733" s="24"/>
      <c r="AP3733" s="165" t="str">
        <f t="shared" si="1134"/>
        <v/>
      </c>
      <c r="AQ3733" s="203" t="str">
        <f t="shared" si="1135"/>
        <v/>
      </c>
      <c r="AR3733" s="206">
        <f t="shared" si="1136"/>
        <v>0</v>
      </c>
      <c r="AS3733" s="22" t="str">
        <f t="shared" si="1137"/>
        <v/>
      </c>
      <c r="AT3733" s="24" t="str">
        <f t="shared" si="1138"/>
        <v/>
      </c>
    </row>
    <row r="3734" spans="1:46">
      <c r="A3734" s="33" t="str">
        <f t="shared" si="1129"/>
        <v/>
      </c>
      <c r="B3734" s="23"/>
      <c r="C3734" s="23"/>
      <c r="D3734" s="202" t="str">
        <f t="shared" si="1141"/>
        <v/>
      </c>
      <c r="E3734" s="33" t="str">
        <f t="shared" si="1115"/>
        <v/>
      </c>
      <c r="F3734" s="23"/>
      <c r="G3734" s="23"/>
      <c r="H3734" s="29"/>
      <c r="I3734" s="204" t="str">
        <f t="shared" si="1130"/>
        <v/>
      </c>
      <c r="J3734" s="188"/>
      <c r="K3734" s="29"/>
      <c r="L3734" s="24"/>
      <c r="M3734" s="22"/>
      <c r="N3734" s="22"/>
      <c r="O3734" s="22"/>
      <c r="P3734" s="202" t="str">
        <f t="shared" si="1140"/>
        <v/>
      </c>
      <c r="Q3734" s="22"/>
      <c r="R3734" s="22"/>
      <c r="S3734" s="22"/>
      <c r="T3734" s="22"/>
      <c r="U3734" s="22"/>
      <c r="V3734" s="22"/>
      <c r="W3734" s="22"/>
      <c r="X3734" s="104"/>
      <c r="Y3734" s="195" t="str">
        <f t="shared" si="1143"/>
        <v/>
      </c>
      <c r="Z3734" s="196" t="str">
        <f t="shared" si="1142"/>
        <v/>
      </c>
      <c r="AA3734" s="22"/>
      <c r="AB3734" s="197" t="str">
        <f t="shared" si="1146"/>
        <v/>
      </c>
      <c r="AC3734" s="198" t="str">
        <f t="shared" si="1131"/>
        <v/>
      </c>
      <c r="AD3734" s="162"/>
      <c r="AE3734" s="199" t="str">
        <f t="shared" si="1132"/>
        <v/>
      </c>
      <c r="AF3734" s="199" t="str">
        <f>IF(AND(COUNTIFS($J$18:J3734,J3734)=1,AE3734=1),1,"")</f>
        <v/>
      </c>
      <c r="AG3734" s="199" t="str">
        <f>IF(C3734="","",IF(AND(COUNTIFS($J$18:J3734,J3734)=1,C3734&lt;&gt;""),1,""))</f>
        <v/>
      </c>
      <c r="AH3734" s="199" t="str">
        <f>IF(G3734="","",IF(AND(COUNTIFS($J$18:J3734,J3734)=1,G3734&lt;&gt;""),1,""))</f>
        <v/>
      </c>
      <c r="AI3734" s="200">
        <f t="shared" si="1144"/>
        <v>0</v>
      </c>
      <c r="AJ3734" s="200">
        <f t="shared" si="1145"/>
        <v>0</v>
      </c>
      <c r="AK3734" s="201" t="str">
        <f t="shared" si="1133"/>
        <v/>
      </c>
      <c r="AL3734" s="24"/>
      <c r="AM3734" s="24"/>
      <c r="AN3734" s="24"/>
      <c r="AO3734" s="24"/>
      <c r="AP3734" s="165" t="str">
        <f t="shared" si="1134"/>
        <v/>
      </c>
      <c r="AQ3734" s="203" t="str">
        <f t="shared" si="1135"/>
        <v/>
      </c>
      <c r="AR3734" s="206">
        <f t="shared" si="1136"/>
        <v>0</v>
      </c>
      <c r="AS3734" s="22" t="str">
        <f t="shared" si="1137"/>
        <v/>
      </c>
      <c r="AT3734" s="24" t="str">
        <f t="shared" si="1138"/>
        <v/>
      </c>
    </row>
    <row r="3735" spans="1:46">
      <c r="A3735" s="33" t="str">
        <f t="shared" si="1129"/>
        <v/>
      </c>
      <c r="B3735" s="23"/>
      <c r="C3735" s="23"/>
      <c r="D3735" s="202" t="str">
        <f t="shared" si="1141"/>
        <v/>
      </c>
      <c r="E3735" s="33" t="str">
        <f t="shared" si="1115"/>
        <v/>
      </c>
      <c r="F3735" s="23"/>
      <c r="G3735" s="23"/>
      <c r="H3735" s="29"/>
      <c r="I3735" s="204" t="str">
        <f t="shared" si="1130"/>
        <v/>
      </c>
      <c r="J3735" s="188"/>
      <c r="K3735" s="29"/>
      <c r="L3735" s="24"/>
      <c r="M3735" s="22"/>
      <c r="N3735" s="22"/>
      <c r="O3735" s="22"/>
      <c r="P3735" s="202" t="str">
        <f t="shared" si="1140"/>
        <v/>
      </c>
      <c r="Q3735" s="22"/>
      <c r="R3735" s="22"/>
      <c r="S3735" s="22"/>
      <c r="T3735" s="22"/>
      <c r="U3735" s="22"/>
      <c r="V3735" s="22"/>
      <c r="W3735" s="22"/>
      <c r="X3735" s="104"/>
      <c r="Y3735" s="195" t="str">
        <f t="shared" si="1143"/>
        <v/>
      </c>
      <c r="Z3735" s="196" t="str">
        <f t="shared" si="1142"/>
        <v/>
      </c>
      <c r="AA3735" s="22"/>
      <c r="AB3735" s="197" t="str">
        <f t="shared" si="1146"/>
        <v/>
      </c>
      <c r="AC3735" s="198" t="str">
        <f t="shared" si="1131"/>
        <v/>
      </c>
      <c r="AD3735" s="162"/>
      <c r="AE3735" s="199" t="str">
        <f t="shared" si="1132"/>
        <v/>
      </c>
      <c r="AF3735" s="199" t="str">
        <f>IF(AND(COUNTIFS($J$18:J3735,J3735)=1,AE3735=1),1,"")</f>
        <v/>
      </c>
      <c r="AG3735" s="199" t="str">
        <f>IF(C3735="","",IF(AND(COUNTIFS($J$18:J3735,J3735)=1,C3735&lt;&gt;""),1,""))</f>
        <v/>
      </c>
      <c r="AH3735" s="199" t="str">
        <f>IF(G3735="","",IF(AND(COUNTIFS($J$18:J3735,J3735)=1,G3735&lt;&gt;""),1,""))</f>
        <v/>
      </c>
      <c r="AI3735" s="200">
        <f t="shared" si="1144"/>
        <v>0</v>
      </c>
      <c r="AJ3735" s="200">
        <f t="shared" si="1145"/>
        <v>0</v>
      </c>
      <c r="AK3735" s="201" t="str">
        <f t="shared" si="1133"/>
        <v/>
      </c>
      <c r="AL3735" s="24"/>
      <c r="AM3735" s="24"/>
      <c r="AN3735" s="24"/>
      <c r="AO3735" s="24"/>
      <c r="AP3735" s="165" t="str">
        <f t="shared" si="1134"/>
        <v/>
      </c>
      <c r="AQ3735" s="203" t="str">
        <f t="shared" si="1135"/>
        <v/>
      </c>
      <c r="AR3735" s="206">
        <f t="shared" si="1136"/>
        <v>0</v>
      </c>
      <c r="AS3735" s="22" t="str">
        <f t="shared" si="1137"/>
        <v/>
      </c>
      <c r="AT3735" s="24" t="str">
        <f t="shared" si="1138"/>
        <v/>
      </c>
    </row>
    <row r="3736" spans="1:46">
      <c r="A3736" s="33" t="str">
        <f t="shared" si="1129"/>
        <v/>
      </c>
      <c r="B3736" s="23"/>
      <c r="C3736" s="23"/>
      <c r="D3736" s="202" t="str">
        <f t="shared" si="1141"/>
        <v/>
      </c>
      <c r="E3736" s="33" t="str">
        <f t="shared" ref="E3736:E3799" si="1147">IF(G3736="Cancel","Cancel",IF(G3736="TBA","TBA",IFERROR(IF(I3736="Q4","FY "&amp;RIGHT(F3736,2)-1&amp;"/"&amp;RIGHT(F3736,2),"FY "&amp;RIGHT(F3736,2)&amp;"/"&amp;RIGHT(F3736,2)+1),"")))</f>
        <v/>
      </c>
      <c r="F3736" s="23"/>
      <c r="G3736" s="23"/>
      <c r="H3736" s="29"/>
      <c r="I3736" s="204" t="str">
        <f t="shared" si="1130"/>
        <v/>
      </c>
      <c r="J3736" s="188"/>
      <c r="K3736" s="29"/>
      <c r="L3736" s="24"/>
      <c r="M3736" s="22"/>
      <c r="N3736" s="22"/>
      <c r="O3736" s="22"/>
      <c r="P3736" s="202" t="str">
        <f t="shared" si="1140"/>
        <v/>
      </c>
      <c r="Q3736" s="22"/>
      <c r="R3736" s="22"/>
      <c r="S3736" s="22"/>
      <c r="T3736" s="22"/>
      <c r="U3736" s="22"/>
      <c r="V3736" s="22"/>
      <c r="W3736" s="22"/>
      <c r="X3736" s="104"/>
      <c r="Y3736" s="195" t="str">
        <f t="shared" si="1143"/>
        <v/>
      </c>
      <c r="Z3736" s="196" t="str">
        <f t="shared" si="1142"/>
        <v/>
      </c>
      <c r="AA3736" s="22"/>
      <c r="AB3736" s="197" t="str">
        <f t="shared" si="1146"/>
        <v/>
      </c>
      <c r="AC3736" s="198" t="str">
        <f t="shared" si="1131"/>
        <v/>
      </c>
      <c r="AD3736" s="162"/>
      <c r="AE3736" s="199" t="str">
        <f t="shared" si="1132"/>
        <v/>
      </c>
      <c r="AF3736" s="199" t="str">
        <f>IF(AND(COUNTIFS($J$18:J3736,J3736)=1,AE3736=1),1,"")</f>
        <v/>
      </c>
      <c r="AG3736" s="199" t="str">
        <f>IF(C3736="","",IF(AND(COUNTIFS($J$18:J3736,J3736)=1,C3736&lt;&gt;""),1,""))</f>
        <v/>
      </c>
      <c r="AH3736" s="199" t="str">
        <f>IF(G3736="","",IF(AND(COUNTIFS($J$18:J3736,J3736)=1,G3736&lt;&gt;""),1,""))</f>
        <v/>
      </c>
      <c r="AI3736" s="200">
        <f t="shared" si="1144"/>
        <v>0</v>
      </c>
      <c r="AJ3736" s="200">
        <f t="shared" si="1145"/>
        <v>0</v>
      </c>
      <c r="AK3736" s="201" t="str">
        <f t="shared" si="1133"/>
        <v/>
      </c>
      <c r="AL3736" s="24"/>
      <c r="AM3736" s="24"/>
      <c r="AN3736" s="24"/>
      <c r="AO3736" s="24"/>
      <c r="AP3736" s="165" t="str">
        <f t="shared" si="1134"/>
        <v/>
      </c>
      <c r="AQ3736" s="203" t="str">
        <f t="shared" si="1135"/>
        <v/>
      </c>
      <c r="AR3736" s="206">
        <f t="shared" si="1136"/>
        <v>0</v>
      </c>
      <c r="AS3736" s="22" t="str">
        <f t="shared" si="1137"/>
        <v/>
      </c>
      <c r="AT3736" s="24" t="str">
        <f t="shared" si="1138"/>
        <v/>
      </c>
    </row>
    <row r="3737" spans="1:46">
      <c r="A3737" s="33" t="str">
        <f t="shared" si="1129"/>
        <v/>
      </c>
      <c r="B3737" s="23"/>
      <c r="C3737" s="23"/>
      <c r="D3737" s="202" t="str">
        <f t="shared" si="1141"/>
        <v/>
      </c>
      <c r="E3737" s="33" t="str">
        <f t="shared" si="1147"/>
        <v/>
      </c>
      <c r="F3737" s="23"/>
      <c r="G3737" s="23"/>
      <c r="H3737" s="29"/>
      <c r="I3737" s="204" t="str">
        <f t="shared" si="1130"/>
        <v/>
      </c>
      <c r="J3737" s="188"/>
      <c r="K3737" s="29"/>
      <c r="L3737" s="24"/>
      <c r="M3737" s="22"/>
      <c r="N3737" s="22"/>
      <c r="O3737" s="22"/>
      <c r="P3737" s="202" t="str">
        <f t="shared" si="1140"/>
        <v/>
      </c>
      <c r="Q3737" s="22"/>
      <c r="R3737" s="22"/>
      <c r="S3737" s="22"/>
      <c r="T3737" s="22"/>
      <c r="U3737" s="22"/>
      <c r="V3737" s="22"/>
      <c r="W3737" s="22"/>
      <c r="X3737" s="104"/>
      <c r="Y3737" s="195" t="str">
        <f t="shared" si="1143"/>
        <v/>
      </c>
      <c r="Z3737" s="196" t="str">
        <f t="shared" si="1142"/>
        <v/>
      </c>
      <c r="AA3737" s="22"/>
      <c r="AB3737" s="197" t="str">
        <f t="shared" si="1146"/>
        <v/>
      </c>
      <c r="AC3737" s="198" t="str">
        <f t="shared" si="1131"/>
        <v/>
      </c>
      <c r="AD3737" s="162"/>
      <c r="AE3737" s="199" t="str">
        <f t="shared" si="1132"/>
        <v/>
      </c>
      <c r="AF3737" s="199" t="str">
        <f>IF(AND(COUNTIFS($J$18:J3737,J3737)=1,AE3737=1),1,"")</f>
        <v/>
      </c>
      <c r="AG3737" s="199" t="str">
        <f>IF(C3737="","",IF(AND(COUNTIFS($J$18:J3737,J3737)=1,C3737&lt;&gt;""),1,""))</f>
        <v/>
      </c>
      <c r="AH3737" s="199" t="str">
        <f>IF(G3737="","",IF(AND(COUNTIFS($J$18:J3737,J3737)=1,G3737&lt;&gt;""),1,""))</f>
        <v/>
      </c>
      <c r="AI3737" s="200">
        <f t="shared" si="1144"/>
        <v>0</v>
      </c>
      <c r="AJ3737" s="200">
        <f t="shared" si="1145"/>
        <v>0</v>
      </c>
      <c r="AK3737" s="201" t="str">
        <f t="shared" si="1133"/>
        <v/>
      </c>
      <c r="AL3737" s="24"/>
      <c r="AM3737" s="24"/>
      <c r="AN3737" s="24"/>
      <c r="AO3737" s="24"/>
      <c r="AP3737" s="165" t="str">
        <f t="shared" si="1134"/>
        <v/>
      </c>
      <c r="AQ3737" s="203" t="str">
        <f t="shared" si="1135"/>
        <v/>
      </c>
      <c r="AR3737" s="206">
        <f t="shared" si="1136"/>
        <v>0</v>
      </c>
      <c r="AS3737" s="22" t="str">
        <f t="shared" si="1137"/>
        <v/>
      </c>
      <c r="AT3737" s="24" t="str">
        <f t="shared" si="1138"/>
        <v/>
      </c>
    </row>
    <row r="3738" spans="1:46">
      <c r="A3738" s="33" t="str">
        <f t="shared" si="1129"/>
        <v/>
      </c>
      <c r="B3738" s="23"/>
      <c r="C3738" s="23"/>
      <c r="D3738" s="202" t="str">
        <f t="shared" si="1141"/>
        <v/>
      </c>
      <c r="E3738" s="33" t="str">
        <f t="shared" si="1147"/>
        <v/>
      </c>
      <c r="F3738" s="23"/>
      <c r="G3738" s="23"/>
      <c r="H3738" s="29"/>
      <c r="I3738" s="204" t="str">
        <f t="shared" si="1130"/>
        <v/>
      </c>
      <c r="J3738" s="188"/>
      <c r="K3738" s="29"/>
      <c r="L3738" s="24"/>
      <c r="M3738" s="22"/>
      <c r="N3738" s="22"/>
      <c r="O3738" s="22"/>
      <c r="P3738" s="202" t="str">
        <f t="shared" si="1140"/>
        <v/>
      </c>
      <c r="Q3738" s="22"/>
      <c r="R3738" s="22"/>
      <c r="S3738" s="22"/>
      <c r="T3738" s="22"/>
      <c r="U3738" s="22"/>
      <c r="V3738" s="22"/>
      <c r="W3738" s="22"/>
      <c r="X3738" s="104"/>
      <c r="Y3738" s="195" t="str">
        <f t="shared" si="1143"/>
        <v/>
      </c>
      <c r="Z3738" s="196" t="str">
        <f t="shared" si="1142"/>
        <v/>
      </c>
      <c r="AA3738" s="22"/>
      <c r="AB3738" s="197" t="str">
        <f t="shared" si="1146"/>
        <v/>
      </c>
      <c r="AC3738" s="198" t="str">
        <f t="shared" si="1131"/>
        <v/>
      </c>
      <c r="AD3738" s="162"/>
      <c r="AE3738" s="199" t="str">
        <f t="shared" si="1132"/>
        <v/>
      </c>
      <c r="AF3738" s="199" t="str">
        <f>IF(AND(COUNTIFS($J$18:J3738,J3738)=1,AE3738=1),1,"")</f>
        <v/>
      </c>
      <c r="AG3738" s="199" t="str">
        <f>IF(C3738="","",IF(AND(COUNTIFS($J$18:J3738,J3738)=1,C3738&lt;&gt;""),1,""))</f>
        <v/>
      </c>
      <c r="AH3738" s="199" t="str">
        <f>IF(G3738="","",IF(AND(COUNTIFS($J$18:J3738,J3738)=1,G3738&lt;&gt;""),1,""))</f>
        <v/>
      </c>
      <c r="AI3738" s="200">
        <f t="shared" si="1144"/>
        <v>0</v>
      </c>
      <c r="AJ3738" s="200">
        <f t="shared" si="1145"/>
        <v>0</v>
      </c>
      <c r="AK3738" s="201" t="str">
        <f t="shared" si="1133"/>
        <v/>
      </c>
      <c r="AL3738" s="24"/>
      <c r="AM3738" s="24"/>
      <c r="AN3738" s="24"/>
      <c r="AO3738" s="24"/>
      <c r="AP3738" s="165" t="str">
        <f t="shared" si="1134"/>
        <v/>
      </c>
      <c r="AQ3738" s="203" t="str">
        <f t="shared" si="1135"/>
        <v/>
      </c>
      <c r="AR3738" s="206">
        <f t="shared" si="1136"/>
        <v>0</v>
      </c>
      <c r="AS3738" s="22" t="str">
        <f t="shared" si="1137"/>
        <v/>
      </c>
      <c r="AT3738" s="24" t="str">
        <f t="shared" si="1138"/>
        <v/>
      </c>
    </row>
    <row r="3739" spans="1:46">
      <c r="A3739" s="33" t="str">
        <f t="shared" si="1129"/>
        <v/>
      </c>
      <c r="B3739" s="23"/>
      <c r="C3739" s="23"/>
      <c r="D3739" s="202" t="str">
        <f t="shared" si="1141"/>
        <v/>
      </c>
      <c r="E3739" s="33" t="str">
        <f t="shared" si="1147"/>
        <v/>
      </c>
      <c r="F3739" s="23"/>
      <c r="G3739" s="23"/>
      <c r="H3739" s="29"/>
      <c r="I3739" s="204" t="str">
        <f t="shared" si="1130"/>
        <v/>
      </c>
      <c r="J3739" s="188"/>
      <c r="K3739" s="29"/>
      <c r="L3739" s="24"/>
      <c r="M3739" s="22"/>
      <c r="N3739" s="22"/>
      <c r="O3739" s="22"/>
      <c r="P3739" s="202" t="str">
        <f t="shared" si="1140"/>
        <v/>
      </c>
      <c r="Q3739" s="22"/>
      <c r="R3739" s="22"/>
      <c r="S3739" s="22"/>
      <c r="T3739" s="22"/>
      <c r="U3739" s="22"/>
      <c r="V3739" s="22"/>
      <c r="W3739" s="22"/>
      <c r="X3739" s="104"/>
      <c r="Y3739" s="195" t="str">
        <f t="shared" si="1143"/>
        <v/>
      </c>
      <c r="Z3739" s="196" t="str">
        <f t="shared" si="1142"/>
        <v/>
      </c>
      <c r="AA3739" s="22"/>
      <c r="AB3739" s="197" t="str">
        <f t="shared" si="1146"/>
        <v/>
      </c>
      <c r="AC3739" s="198" t="str">
        <f t="shared" si="1131"/>
        <v/>
      </c>
      <c r="AD3739" s="162"/>
      <c r="AE3739" s="199" t="str">
        <f t="shared" si="1132"/>
        <v/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44"/>
        <v>0</v>
      </c>
      <c r="AJ3739" s="200">
        <f t="shared" si="1145"/>
        <v>0</v>
      </c>
      <c r="AK3739" s="201" t="str">
        <f t="shared" si="1133"/>
        <v/>
      </c>
      <c r="AL3739" s="24"/>
      <c r="AM3739" s="24"/>
      <c r="AN3739" s="24"/>
      <c r="AO3739" s="24"/>
      <c r="AP3739" s="165" t="str">
        <f t="shared" si="1134"/>
        <v/>
      </c>
      <c r="AQ3739" s="203" t="str">
        <f t="shared" si="1135"/>
        <v/>
      </c>
      <c r="AR3739" s="206">
        <f t="shared" si="1136"/>
        <v>0</v>
      </c>
      <c r="AS3739" s="22" t="str">
        <f t="shared" si="1137"/>
        <v/>
      </c>
      <c r="AT3739" s="24" t="str">
        <f t="shared" si="1138"/>
        <v/>
      </c>
    </row>
    <row r="3740" spans="1:46">
      <c r="A3740" s="33" t="str">
        <f t="shared" si="1129"/>
        <v/>
      </c>
      <c r="B3740" s="23"/>
      <c r="C3740" s="23"/>
      <c r="D3740" s="202" t="str">
        <f t="shared" si="1141"/>
        <v/>
      </c>
      <c r="E3740" s="33" t="str">
        <f t="shared" si="1147"/>
        <v/>
      </c>
      <c r="F3740" s="23"/>
      <c r="G3740" s="23"/>
      <c r="H3740" s="29"/>
      <c r="I3740" s="204" t="str">
        <f t="shared" si="1130"/>
        <v/>
      </c>
      <c r="J3740" s="188"/>
      <c r="K3740" s="29"/>
      <c r="L3740" s="24"/>
      <c r="M3740" s="22"/>
      <c r="N3740" s="22"/>
      <c r="O3740" s="22"/>
      <c r="P3740" s="202" t="str">
        <f t="shared" si="1140"/>
        <v/>
      </c>
      <c r="Q3740" s="22"/>
      <c r="R3740" s="22"/>
      <c r="S3740" s="22"/>
      <c r="T3740" s="22"/>
      <c r="U3740" s="22"/>
      <c r="V3740" s="22"/>
      <c r="W3740" s="22"/>
      <c r="X3740" s="104"/>
      <c r="Y3740" s="195" t="str">
        <f t="shared" si="1143"/>
        <v/>
      </c>
      <c r="Z3740" s="196" t="str">
        <f t="shared" si="1142"/>
        <v/>
      </c>
      <c r="AA3740" s="22"/>
      <c r="AB3740" s="197" t="str">
        <f t="shared" si="1146"/>
        <v/>
      </c>
      <c r="AC3740" s="198" t="str">
        <f t="shared" si="1131"/>
        <v/>
      </c>
      <c r="AD3740" s="162"/>
      <c r="AE3740" s="199" t="str">
        <f t="shared" si="1132"/>
        <v/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44"/>
        <v>0</v>
      </c>
      <c r="AJ3740" s="200">
        <f t="shared" si="1145"/>
        <v>0</v>
      </c>
      <c r="AK3740" s="201" t="str">
        <f t="shared" si="1133"/>
        <v/>
      </c>
      <c r="AL3740" s="24"/>
      <c r="AM3740" s="24"/>
      <c r="AN3740" s="24"/>
      <c r="AO3740" s="24"/>
      <c r="AP3740" s="165" t="str">
        <f t="shared" si="1134"/>
        <v/>
      </c>
      <c r="AQ3740" s="203" t="str">
        <f t="shared" si="1135"/>
        <v/>
      </c>
      <c r="AR3740" s="206">
        <f t="shared" si="1136"/>
        <v>0</v>
      </c>
      <c r="AS3740" s="22" t="str">
        <f t="shared" si="1137"/>
        <v/>
      </c>
      <c r="AT3740" s="24" t="str">
        <f t="shared" si="1138"/>
        <v/>
      </c>
    </row>
    <row r="3741" spans="1:46">
      <c r="A3741" s="33" t="str">
        <f t="shared" si="1129"/>
        <v/>
      </c>
      <c r="B3741" s="23"/>
      <c r="C3741" s="23"/>
      <c r="D3741" s="202" t="str">
        <f t="shared" si="1141"/>
        <v/>
      </c>
      <c r="E3741" s="33" t="str">
        <f t="shared" si="1147"/>
        <v/>
      </c>
      <c r="F3741" s="23"/>
      <c r="G3741" s="23"/>
      <c r="H3741" s="29"/>
      <c r="I3741" s="204" t="str">
        <f t="shared" si="1130"/>
        <v/>
      </c>
      <c r="J3741" s="188"/>
      <c r="K3741" s="29"/>
      <c r="L3741" s="24"/>
      <c r="M3741" s="22"/>
      <c r="N3741" s="22"/>
      <c r="O3741" s="22"/>
      <c r="P3741" s="202" t="str">
        <f t="shared" si="1140"/>
        <v/>
      </c>
      <c r="Q3741" s="22"/>
      <c r="R3741" s="22"/>
      <c r="S3741" s="22"/>
      <c r="T3741" s="22"/>
      <c r="U3741" s="22"/>
      <c r="V3741" s="22"/>
      <c r="W3741" s="22"/>
      <c r="X3741" s="104"/>
      <c r="Y3741" s="195" t="str">
        <f t="shared" si="1143"/>
        <v/>
      </c>
      <c r="Z3741" s="196" t="str">
        <f t="shared" si="1142"/>
        <v/>
      </c>
      <c r="AA3741" s="22"/>
      <c r="AB3741" s="197" t="str">
        <f t="shared" si="1146"/>
        <v/>
      </c>
      <c r="AC3741" s="198" t="str">
        <f t="shared" si="1131"/>
        <v/>
      </c>
      <c r="AD3741" s="162"/>
      <c r="AE3741" s="199" t="str">
        <f t="shared" si="1132"/>
        <v/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44"/>
        <v>0</v>
      </c>
      <c r="AJ3741" s="200">
        <f t="shared" si="1145"/>
        <v>0</v>
      </c>
      <c r="AK3741" s="201" t="str">
        <f t="shared" si="1133"/>
        <v/>
      </c>
      <c r="AL3741" s="24"/>
      <c r="AM3741" s="24"/>
      <c r="AN3741" s="24"/>
      <c r="AO3741" s="24"/>
      <c r="AP3741" s="165" t="str">
        <f t="shared" si="1134"/>
        <v/>
      </c>
      <c r="AQ3741" s="203" t="str">
        <f t="shared" si="1135"/>
        <v/>
      </c>
      <c r="AR3741" s="206">
        <f t="shared" si="1136"/>
        <v>0</v>
      </c>
      <c r="AS3741" s="22" t="str">
        <f t="shared" si="1137"/>
        <v/>
      </c>
      <c r="AT3741" s="24" t="str">
        <f t="shared" si="1138"/>
        <v/>
      </c>
    </row>
    <row r="3742" spans="1:46">
      <c r="A3742" s="33" t="str">
        <f t="shared" si="1129"/>
        <v/>
      </c>
      <c r="B3742" s="23"/>
      <c r="C3742" s="23"/>
      <c r="D3742" s="202" t="str">
        <f t="shared" si="1141"/>
        <v/>
      </c>
      <c r="E3742" s="33" t="str">
        <f t="shared" si="1147"/>
        <v/>
      </c>
      <c r="F3742" s="23"/>
      <c r="G3742" s="23"/>
      <c r="H3742" s="29"/>
      <c r="I3742" s="204" t="str">
        <f t="shared" si="1130"/>
        <v/>
      </c>
      <c r="J3742" s="188"/>
      <c r="K3742" s="29"/>
      <c r="L3742" s="24"/>
      <c r="M3742" s="22"/>
      <c r="N3742" s="22"/>
      <c r="O3742" s="22"/>
      <c r="P3742" s="202" t="str">
        <f t="shared" si="1140"/>
        <v/>
      </c>
      <c r="Q3742" s="22"/>
      <c r="R3742" s="22"/>
      <c r="S3742" s="22"/>
      <c r="T3742" s="22"/>
      <c r="U3742" s="22"/>
      <c r="V3742" s="22"/>
      <c r="W3742" s="22"/>
      <c r="X3742" s="104"/>
      <c r="Y3742" s="195" t="str">
        <f t="shared" si="1143"/>
        <v/>
      </c>
      <c r="Z3742" s="196" t="str">
        <f t="shared" si="1142"/>
        <v/>
      </c>
      <c r="AA3742" s="22"/>
      <c r="AB3742" s="197" t="str">
        <f t="shared" si="1146"/>
        <v/>
      </c>
      <c r="AC3742" s="198" t="str">
        <f t="shared" si="1131"/>
        <v/>
      </c>
      <c r="AD3742" s="162"/>
      <c r="AE3742" s="199" t="str">
        <f t="shared" si="1132"/>
        <v/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44"/>
        <v>0</v>
      </c>
      <c r="AJ3742" s="200">
        <f t="shared" si="1145"/>
        <v>0</v>
      </c>
      <c r="AK3742" s="201" t="str">
        <f t="shared" si="1133"/>
        <v/>
      </c>
      <c r="AL3742" s="24"/>
      <c r="AM3742" s="24"/>
      <c r="AN3742" s="24"/>
      <c r="AO3742" s="24"/>
      <c r="AP3742" s="165" t="str">
        <f t="shared" si="1134"/>
        <v/>
      </c>
      <c r="AQ3742" s="203" t="str">
        <f t="shared" si="1135"/>
        <v/>
      </c>
      <c r="AR3742" s="206">
        <f t="shared" si="1136"/>
        <v>0</v>
      </c>
      <c r="AS3742" s="22" t="str">
        <f t="shared" si="1137"/>
        <v/>
      </c>
      <c r="AT3742" s="24" t="str">
        <f t="shared" si="1138"/>
        <v/>
      </c>
    </row>
    <row r="3743" spans="1:46">
      <c r="A3743" s="33" t="str">
        <f t="shared" si="1129"/>
        <v/>
      </c>
      <c r="B3743" s="23"/>
      <c r="C3743" s="23"/>
      <c r="D3743" s="202" t="str">
        <f t="shared" si="1141"/>
        <v/>
      </c>
      <c r="E3743" s="33" t="str">
        <f t="shared" si="1147"/>
        <v/>
      </c>
      <c r="F3743" s="23"/>
      <c r="G3743" s="23"/>
      <c r="H3743" s="29"/>
      <c r="I3743" s="204" t="str">
        <f t="shared" si="1130"/>
        <v/>
      </c>
      <c r="J3743" s="188"/>
      <c r="K3743" s="29"/>
      <c r="L3743" s="24"/>
      <c r="M3743" s="22"/>
      <c r="N3743" s="22"/>
      <c r="O3743" s="22"/>
      <c r="P3743" s="202" t="str">
        <f t="shared" si="1140"/>
        <v/>
      </c>
      <c r="Q3743" s="22"/>
      <c r="R3743" s="22"/>
      <c r="S3743" s="22"/>
      <c r="T3743" s="22"/>
      <c r="U3743" s="22"/>
      <c r="V3743" s="22"/>
      <c r="W3743" s="22"/>
      <c r="X3743" s="104"/>
      <c r="Y3743" s="195" t="str">
        <f t="shared" si="1143"/>
        <v/>
      </c>
      <c r="Z3743" s="196" t="str">
        <f t="shared" si="1142"/>
        <v/>
      </c>
      <c r="AA3743" s="22"/>
      <c r="AB3743" s="197" t="str">
        <f t="shared" si="1146"/>
        <v/>
      </c>
      <c r="AC3743" s="198" t="str">
        <f t="shared" si="1131"/>
        <v/>
      </c>
      <c r="AD3743" s="162"/>
      <c r="AE3743" s="199" t="str">
        <f t="shared" si="1132"/>
        <v/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44"/>
        <v>0</v>
      </c>
      <c r="AJ3743" s="200">
        <f t="shared" si="1145"/>
        <v>0</v>
      </c>
      <c r="AK3743" s="201" t="str">
        <f t="shared" si="1133"/>
        <v/>
      </c>
      <c r="AL3743" s="24"/>
      <c r="AM3743" s="24"/>
      <c r="AN3743" s="24"/>
      <c r="AO3743" s="24"/>
      <c r="AP3743" s="165" t="str">
        <f t="shared" si="1134"/>
        <v/>
      </c>
      <c r="AQ3743" s="203" t="str">
        <f t="shared" si="1135"/>
        <v/>
      </c>
      <c r="AR3743" s="206">
        <f t="shared" si="1136"/>
        <v>0</v>
      </c>
      <c r="AS3743" s="22" t="str">
        <f t="shared" si="1137"/>
        <v/>
      </c>
      <c r="AT3743" s="24" t="str">
        <f t="shared" si="1138"/>
        <v/>
      </c>
    </row>
    <row r="3744" spans="1:46">
      <c r="A3744" s="33" t="str">
        <f t="shared" ref="A3744:A3807" si="1148">IF(C3744="cancel","cancel",IFERROR(IF(D3744="Q4","FY "&amp;RIGHT(B3744,2)-1&amp;"/"&amp;RIGHT(B3744,2),"FY "&amp;RIGHT(B3744,2)&amp;"/"&amp;RIGHT(B3744,2)+1),""))</f>
        <v/>
      </c>
      <c r="B3744" s="23"/>
      <c r="C3744" s="23"/>
      <c r="D3744" s="202" t="str">
        <f t="shared" si="1141"/>
        <v/>
      </c>
      <c r="E3744" s="33" t="str">
        <f t="shared" si="1147"/>
        <v/>
      </c>
      <c r="F3744" s="23"/>
      <c r="G3744" s="23"/>
      <c r="H3744" s="29"/>
      <c r="I3744" s="204" t="str">
        <f t="shared" ref="I3744:I3807" si="1149">IFERROR(IF(F3744="","",IF(F3744="TBA","TBA",IF(F3744="Cancel","Cancel",IF(AND(G3744&gt;=10,G3744&lt;=12),"Q3",IF(AND(G3744&gt;=1,G3744&lt;=3),"Q4",IF(AND(G3744&gt;=7,G3744&lt;=9),"Q2",IF(AND(G3744&gt;=4,G3744&lt;=6),"Q1"))))))),"")</f>
        <v/>
      </c>
      <c r="J3744" s="188"/>
      <c r="K3744" s="29"/>
      <c r="L3744" s="24"/>
      <c r="M3744" s="22"/>
      <c r="N3744" s="22"/>
      <c r="O3744" s="22"/>
      <c r="P3744" s="202" t="str">
        <f t="shared" si="1140"/>
        <v/>
      </c>
      <c r="Q3744" s="22"/>
      <c r="R3744" s="22"/>
      <c r="S3744" s="22"/>
      <c r="T3744" s="22"/>
      <c r="U3744" s="22"/>
      <c r="V3744" s="22"/>
      <c r="W3744" s="22"/>
      <c r="X3744" s="104"/>
      <c r="Y3744" s="195" t="str">
        <f t="shared" si="1143"/>
        <v/>
      </c>
      <c r="Z3744" s="196" t="str">
        <f t="shared" si="1142"/>
        <v/>
      </c>
      <c r="AA3744" s="22"/>
      <c r="AB3744" s="197" t="str">
        <f t="shared" si="1146"/>
        <v/>
      </c>
      <c r="AC3744" s="198" t="str">
        <f t="shared" ref="AC3744:AC3807" si="1150">IF(R3744&lt;&gt;"",AB3744*AD3744,"")</f>
        <v/>
      </c>
      <c r="AD3744" s="162"/>
      <c r="AE3744" s="199" t="str">
        <f t="shared" ref="AE3744:AE3807" si="1151">IF(Q3744="","",IF(Q3744="Yes",1,0))</f>
        <v/>
      </c>
      <c r="AF3744" s="199" t="str">
        <f>IF(AND(COUNTIFS($J$18:J3744,J3744)=1,AE3744=1),1,"")</f>
        <v/>
      </c>
      <c r="AG3744" s="199" t="str">
        <f>IF(C3744="","",IF(AND(COUNTIFS($J$18:J3744,J3744)=1,C3744&lt;&gt;""),1,""))</f>
        <v/>
      </c>
      <c r="AH3744" s="199" t="str">
        <f>IF(G3744="","",IF(AND(COUNTIFS($J$18:J3744,J3744)=1,G3744&lt;&gt;""),1,""))</f>
        <v/>
      </c>
      <c r="AI3744" s="200">
        <f t="shared" si="1144"/>
        <v>0</v>
      </c>
      <c r="AJ3744" s="200">
        <f t="shared" si="1145"/>
        <v>0</v>
      </c>
      <c r="AK3744" s="201" t="str">
        <f t="shared" ref="AK3744:AK3807" si="1152">IF(AJ3744&gt;0,AJ3744/AI3744,"")</f>
        <v/>
      </c>
      <c r="AL3744" s="24"/>
      <c r="AM3744" s="24"/>
      <c r="AN3744" s="24"/>
      <c r="AO3744" s="24"/>
      <c r="AP3744" s="165" t="str">
        <f t="shared" ref="AP3744:AP3807" si="1153">IF(F3744="","",F3744&amp;G3744)</f>
        <v/>
      </c>
      <c r="AQ3744" s="203" t="str">
        <f t="shared" ref="AQ3744:AQ3807" si="1154">IF(W3744="","",F3744&amp;G3744&amp;W3744)</f>
        <v/>
      </c>
      <c r="AR3744" s="206">
        <f t="shared" ref="AR3744:AR3807" si="1155">IFERROR(IF(AND(M3744="YAMAHA", R3744="C28"), "YAMAHA_Non_Mounter", IF(AND(M3744="YAMAHA", R3744="C49"), "YAMAHA_Mounter", M3744)),"")</f>
        <v>0</v>
      </c>
      <c r="AS3744" s="22" t="str">
        <f t="shared" ref="AS3744:AS3807" si="1156">IFERROR(IF(OR(G3744="TBA", G3744=""), "", DATEDIF(DATE(B3744, C3744, 1), DATE(F3744, G3744, 1), "M")),"")</f>
        <v/>
      </c>
      <c r="AT3744" s="24" t="str">
        <f t="shared" ref="AT3744:AT3807" si="1157">IF(ISNUMBER(AS3744), IF(AS3744&gt;=0, IF(AS3744&lt;=3, "0-3 months", IF(AS3744&lt;=6, "4-6 months", "&gt; 6 months"))), "")</f>
        <v/>
      </c>
    </row>
    <row r="3745" spans="1:46">
      <c r="A3745" s="33" t="str">
        <f t="shared" si="1148"/>
        <v/>
      </c>
      <c r="B3745" s="23"/>
      <c r="C3745" s="23"/>
      <c r="D3745" s="202" t="str">
        <f t="shared" si="1141"/>
        <v/>
      </c>
      <c r="E3745" s="33" t="str">
        <f t="shared" si="1147"/>
        <v/>
      </c>
      <c r="F3745" s="23"/>
      <c r="G3745" s="23"/>
      <c r="H3745" s="29"/>
      <c r="I3745" s="204" t="str">
        <f t="shared" si="1149"/>
        <v/>
      </c>
      <c r="J3745" s="188"/>
      <c r="K3745" s="29"/>
      <c r="L3745" s="24"/>
      <c r="M3745" s="22"/>
      <c r="N3745" s="22"/>
      <c r="O3745" s="22"/>
      <c r="P3745" s="202" t="str">
        <f t="shared" ref="P3745:P3808" si="1158">IF(M3745="","",IF(AND(N3745&gt;0,L3745&lt;&gt;""),"MAIN UNIT",IF(AND(O3745&gt;0,L3745&lt;&gt;""),"SERVICE/ PARTS","C66 SERVICE/OTHERS")))</f>
        <v/>
      </c>
      <c r="Q3745" s="22"/>
      <c r="R3745" s="22"/>
      <c r="S3745" s="22"/>
      <c r="T3745" s="22"/>
      <c r="U3745" s="22"/>
      <c r="V3745" s="22"/>
      <c r="W3745" s="22"/>
      <c r="X3745" s="104"/>
      <c r="Y3745" s="195" t="str">
        <f t="shared" si="1143"/>
        <v/>
      </c>
      <c r="Z3745" s="196" t="str">
        <f t="shared" si="1142"/>
        <v/>
      </c>
      <c r="AA3745" s="22"/>
      <c r="AB3745" s="197" t="str">
        <f t="shared" si="1146"/>
        <v/>
      </c>
      <c r="AC3745" s="198" t="str">
        <f t="shared" si="1150"/>
        <v/>
      </c>
      <c r="AD3745" s="162"/>
      <c r="AE3745" s="199" t="str">
        <f t="shared" si="1151"/>
        <v/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44"/>
        <v>0</v>
      </c>
      <c r="AJ3745" s="200">
        <f t="shared" si="1145"/>
        <v>0</v>
      </c>
      <c r="AK3745" s="201" t="str">
        <f t="shared" si="1152"/>
        <v/>
      </c>
      <c r="AL3745" s="24"/>
      <c r="AM3745" s="24"/>
      <c r="AN3745" s="24"/>
      <c r="AO3745" s="24"/>
      <c r="AP3745" s="165" t="str">
        <f t="shared" si="1153"/>
        <v/>
      </c>
      <c r="AQ3745" s="203" t="str">
        <f t="shared" si="1154"/>
        <v/>
      </c>
      <c r="AR3745" s="206">
        <f t="shared" si="1155"/>
        <v>0</v>
      </c>
      <c r="AS3745" s="22" t="str">
        <f t="shared" si="1156"/>
        <v/>
      </c>
      <c r="AT3745" s="24" t="str">
        <f t="shared" si="1157"/>
        <v/>
      </c>
    </row>
    <row r="3746" spans="1:46">
      <c r="A3746" s="33" t="str">
        <f t="shared" si="1148"/>
        <v/>
      </c>
      <c r="B3746" s="23"/>
      <c r="C3746" s="23"/>
      <c r="D3746" s="202" t="str">
        <f t="shared" si="1141"/>
        <v/>
      </c>
      <c r="E3746" s="33" t="str">
        <f t="shared" si="1147"/>
        <v/>
      </c>
      <c r="F3746" s="23"/>
      <c r="G3746" s="23"/>
      <c r="H3746" s="29"/>
      <c r="I3746" s="204" t="str">
        <f t="shared" si="1149"/>
        <v/>
      </c>
      <c r="J3746" s="188"/>
      <c r="K3746" s="29"/>
      <c r="L3746" s="24"/>
      <c r="M3746" s="22"/>
      <c r="N3746" s="22"/>
      <c r="O3746" s="22"/>
      <c r="P3746" s="202" t="str">
        <f t="shared" si="1158"/>
        <v/>
      </c>
      <c r="Q3746" s="22"/>
      <c r="R3746" s="22"/>
      <c r="S3746" s="22"/>
      <c r="T3746" s="22"/>
      <c r="U3746" s="22"/>
      <c r="V3746" s="22"/>
      <c r="W3746" s="22"/>
      <c r="X3746" s="104"/>
      <c r="Y3746" s="195" t="str">
        <f t="shared" si="1143"/>
        <v/>
      </c>
      <c r="Z3746" s="196" t="str">
        <f t="shared" si="1142"/>
        <v/>
      </c>
      <c r="AA3746" s="22"/>
      <c r="AB3746" s="197" t="str">
        <f t="shared" si="1146"/>
        <v/>
      </c>
      <c r="AC3746" s="198" t="str">
        <f t="shared" si="1150"/>
        <v/>
      </c>
      <c r="AD3746" s="162"/>
      <c r="AE3746" s="199" t="str">
        <f t="shared" si="1151"/>
        <v/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44"/>
        <v>0</v>
      </c>
      <c r="AJ3746" s="200">
        <f t="shared" si="1145"/>
        <v>0</v>
      </c>
      <c r="AK3746" s="201" t="str">
        <f t="shared" si="1152"/>
        <v/>
      </c>
      <c r="AL3746" s="24"/>
      <c r="AM3746" s="24"/>
      <c r="AN3746" s="24"/>
      <c r="AO3746" s="24"/>
      <c r="AP3746" s="165" t="str">
        <f t="shared" si="1153"/>
        <v/>
      </c>
      <c r="AQ3746" s="203" t="str">
        <f t="shared" si="1154"/>
        <v/>
      </c>
      <c r="AR3746" s="206">
        <f t="shared" si="1155"/>
        <v>0</v>
      </c>
      <c r="AS3746" s="22" t="str">
        <f t="shared" si="1156"/>
        <v/>
      </c>
      <c r="AT3746" s="24" t="str">
        <f t="shared" si="1157"/>
        <v/>
      </c>
    </row>
    <row r="3747" spans="1:46">
      <c r="A3747" s="33" t="str">
        <f t="shared" si="1148"/>
        <v/>
      </c>
      <c r="B3747" s="23"/>
      <c r="C3747" s="23"/>
      <c r="D3747" s="202" t="str">
        <f t="shared" si="1141"/>
        <v/>
      </c>
      <c r="E3747" s="33" t="str">
        <f t="shared" si="1147"/>
        <v/>
      </c>
      <c r="F3747" s="23"/>
      <c r="G3747" s="23"/>
      <c r="H3747" s="29"/>
      <c r="I3747" s="204" t="str">
        <f t="shared" si="1149"/>
        <v/>
      </c>
      <c r="J3747" s="188"/>
      <c r="K3747" s="29"/>
      <c r="L3747" s="24"/>
      <c r="M3747" s="22"/>
      <c r="N3747" s="22"/>
      <c r="O3747" s="22"/>
      <c r="P3747" s="202" t="str">
        <f t="shared" si="1158"/>
        <v/>
      </c>
      <c r="Q3747" s="22"/>
      <c r="R3747" s="22"/>
      <c r="S3747" s="22"/>
      <c r="T3747" s="22"/>
      <c r="U3747" s="22"/>
      <c r="V3747" s="22"/>
      <c r="W3747" s="22"/>
      <c r="X3747" s="104"/>
      <c r="Y3747" s="195" t="str">
        <f t="shared" si="1143"/>
        <v/>
      </c>
      <c r="Z3747" s="196" t="str">
        <f t="shared" si="1142"/>
        <v/>
      </c>
      <c r="AA3747" s="22"/>
      <c r="AB3747" s="197" t="str">
        <f t="shared" si="1146"/>
        <v/>
      </c>
      <c r="AC3747" s="198" t="str">
        <f t="shared" si="1150"/>
        <v/>
      </c>
      <c r="AD3747" s="162"/>
      <c r="AE3747" s="199" t="str">
        <f t="shared" si="1151"/>
        <v/>
      </c>
      <c r="AF3747" s="199" t="str">
        <f>IF(AND(COUNTIFS($J$18:J3747,J3747)=1,AE3747=1),1,"")</f>
        <v/>
      </c>
      <c r="AG3747" s="199" t="str">
        <f>IF(C3747="","",IF(AND(COUNTIFS($J$18:J3747,J3747)=1,C3747&lt;&gt;""),1,""))</f>
        <v/>
      </c>
      <c r="AH3747" s="199" t="str">
        <f>IF(G3747="","",IF(AND(COUNTIFS($J$18:J3747,J3747)=1,G3747&lt;&gt;""),1,""))</f>
        <v/>
      </c>
      <c r="AI3747" s="200">
        <f t="shared" si="1144"/>
        <v>0</v>
      </c>
      <c r="AJ3747" s="200">
        <f t="shared" si="1145"/>
        <v>0</v>
      </c>
      <c r="AK3747" s="201" t="str">
        <f t="shared" si="1152"/>
        <v/>
      </c>
      <c r="AL3747" s="24"/>
      <c r="AM3747" s="24"/>
      <c r="AN3747" s="24"/>
      <c r="AO3747" s="24"/>
      <c r="AP3747" s="165" t="str">
        <f t="shared" si="1153"/>
        <v/>
      </c>
      <c r="AQ3747" s="203" t="str">
        <f t="shared" si="1154"/>
        <v/>
      </c>
      <c r="AR3747" s="206">
        <f t="shared" si="1155"/>
        <v>0</v>
      </c>
      <c r="AS3747" s="22" t="str">
        <f t="shared" si="1156"/>
        <v/>
      </c>
      <c r="AT3747" s="24" t="str">
        <f t="shared" si="1157"/>
        <v/>
      </c>
    </row>
    <row r="3748" spans="1:46">
      <c r="A3748" s="33" t="str">
        <f t="shared" si="1148"/>
        <v/>
      </c>
      <c r="B3748" s="23"/>
      <c r="C3748" s="23"/>
      <c r="D3748" s="202" t="str">
        <f t="shared" si="1141"/>
        <v/>
      </c>
      <c r="E3748" s="33" t="str">
        <f t="shared" si="1147"/>
        <v/>
      </c>
      <c r="F3748" s="23"/>
      <c r="G3748" s="23"/>
      <c r="H3748" s="29"/>
      <c r="I3748" s="204" t="str">
        <f t="shared" si="1149"/>
        <v/>
      </c>
      <c r="J3748" s="188"/>
      <c r="K3748" s="29"/>
      <c r="L3748" s="24"/>
      <c r="M3748" s="22"/>
      <c r="N3748" s="22"/>
      <c r="O3748" s="22"/>
      <c r="P3748" s="202" t="str">
        <f t="shared" si="1158"/>
        <v/>
      </c>
      <c r="Q3748" s="22"/>
      <c r="R3748" s="22"/>
      <c r="S3748" s="22"/>
      <c r="T3748" s="22"/>
      <c r="U3748" s="22"/>
      <c r="V3748" s="22"/>
      <c r="W3748" s="22"/>
      <c r="X3748" s="104"/>
      <c r="Y3748" s="195" t="str">
        <f t="shared" si="1143"/>
        <v/>
      </c>
      <c r="Z3748" s="196" t="str">
        <f t="shared" si="1142"/>
        <v/>
      </c>
      <c r="AA3748" s="22"/>
      <c r="AB3748" s="197" t="str">
        <f t="shared" si="1146"/>
        <v/>
      </c>
      <c r="AC3748" s="198" t="str">
        <f t="shared" si="1150"/>
        <v/>
      </c>
      <c r="AD3748" s="162"/>
      <c r="AE3748" s="199" t="str">
        <f t="shared" si="1151"/>
        <v/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44"/>
        <v>0</v>
      </c>
      <c r="AJ3748" s="200">
        <f t="shared" si="1145"/>
        <v>0</v>
      </c>
      <c r="AK3748" s="201" t="str">
        <f t="shared" si="1152"/>
        <v/>
      </c>
      <c r="AL3748" s="24"/>
      <c r="AM3748" s="24"/>
      <c r="AN3748" s="24"/>
      <c r="AO3748" s="24"/>
      <c r="AP3748" s="165" t="str">
        <f t="shared" si="1153"/>
        <v/>
      </c>
      <c r="AQ3748" s="203" t="str">
        <f t="shared" si="1154"/>
        <v/>
      </c>
      <c r="AR3748" s="206">
        <f t="shared" si="1155"/>
        <v>0</v>
      </c>
      <c r="AS3748" s="22" t="str">
        <f t="shared" si="1156"/>
        <v/>
      </c>
      <c r="AT3748" s="24" t="str">
        <f t="shared" si="1157"/>
        <v/>
      </c>
    </row>
    <row r="3749" spans="1:46">
      <c r="A3749" s="33" t="str">
        <f t="shared" si="1148"/>
        <v/>
      </c>
      <c r="B3749" s="23"/>
      <c r="C3749" s="23"/>
      <c r="D3749" s="202" t="str">
        <f t="shared" si="1141"/>
        <v/>
      </c>
      <c r="E3749" s="33" t="str">
        <f t="shared" si="1147"/>
        <v/>
      </c>
      <c r="F3749" s="23"/>
      <c r="G3749" s="23"/>
      <c r="H3749" s="29"/>
      <c r="I3749" s="204" t="str">
        <f t="shared" si="1149"/>
        <v/>
      </c>
      <c r="J3749" s="188"/>
      <c r="K3749" s="29"/>
      <c r="L3749" s="24"/>
      <c r="M3749" s="22"/>
      <c r="N3749" s="22"/>
      <c r="O3749" s="22"/>
      <c r="P3749" s="202" t="str">
        <f t="shared" si="1158"/>
        <v/>
      </c>
      <c r="Q3749" s="22"/>
      <c r="R3749" s="22"/>
      <c r="S3749" s="22"/>
      <c r="T3749" s="22"/>
      <c r="U3749" s="22"/>
      <c r="V3749" s="22"/>
      <c r="W3749" s="22"/>
      <c r="X3749" s="104"/>
      <c r="Y3749" s="195" t="str">
        <f t="shared" si="1143"/>
        <v/>
      </c>
      <c r="Z3749" s="196" t="str">
        <f t="shared" si="1142"/>
        <v/>
      </c>
      <c r="AA3749" s="22"/>
      <c r="AB3749" s="197" t="str">
        <f t="shared" si="1146"/>
        <v/>
      </c>
      <c r="AC3749" s="198" t="str">
        <f t="shared" si="1150"/>
        <v/>
      </c>
      <c r="AD3749" s="162"/>
      <c r="AE3749" s="199" t="str">
        <f t="shared" si="1151"/>
        <v/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44"/>
        <v>0</v>
      </c>
      <c r="AJ3749" s="200">
        <f t="shared" si="1145"/>
        <v>0</v>
      </c>
      <c r="AK3749" s="201" t="str">
        <f t="shared" si="1152"/>
        <v/>
      </c>
      <c r="AL3749" s="24"/>
      <c r="AM3749" s="24"/>
      <c r="AN3749" s="24"/>
      <c r="AO3749" s="24"/>
      <c r="AP3749" s="165" t="str">
        <f t="shared" si="1153"/>
        <v/>
      </c>
      <c r="AQ3749" s="203" t="str">
        <f t="shared" si="1154"/>
        <v/>
      </c>
      <c r="AR3749" s="206">
        <f t="shared" si="1155"/>
        <v>0</v>
      </c>
      <c r="AS3749" s="22" t="str">
        <f t="shared" si="1156"/>
        <v/>
      </c>
      <c r="AT3749" s="24" t="str">
        <f t="shared" si="1157"/>
        <v/>
      </c>
    </row>
    <row r="3750" spans="1:46">
      <c r="A3750" s="33" t="str">
        <f t="shared" si="1148"/>
        <v/>
      </c>
      <c r="B3750" s="23"/>
      <c r="C3750" s="23"/>
      <c r="D3750" s="202" t="str">
        <f t="shared" si="1141"/>
        <v/>
      </c>
      <c r="E3750" s="33" t="str">
        <f t="shared" si="1147"/>
        <v/>
      </c>
      <c r="F3750" s="23"/>
      <c r="G3750" s="23"/>
      <c r="H3750" s="29"/>
      <c r="I3750" s="204" t="str">
        <f t="shared" si="1149"/>
        <v/>
      </c>
      <c r="J3750" s="188"/>
      <c r="K3750" s="29"/>
      <c r="L3750" s="24"/>
      <c r="M3750" s="22"/>
      <c r="N3750" s="22"/>
      <c r="O3750" s="22"/>
      <c r="P3750" s="202" t="str">
        <f t="shared" si="1158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143"/>
        <v/>
      </c>
      <c r="Z3750" s="196" t="str">
        <f t="shared" si="1142"/>
        <v/>
      </c>
      <c r="AA3750" s="22"/>
      <c r="AB3750" s="197" t="str">
        <f t="shared" si="1146"/>
        <v/>
      </c>
      <c r="AC3750" s="198" t="str">
        <f t="shared" si="1150"/>
        <v/>
      </c>
      <c r="AD3750" s="162"/>
      <c r="AE3750" s="199" t="str">
        <f t="shared" si="1151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 t="shared" si="1144"/>
        <v>0</v>
      </c>
      <c r="AJ3750" s="200">
        <f t="shared" si="1145"/>
        <v>0</v>
      </c>
      <c r="AK3750" s="201" t="str">
        <f t="shared" si="1152"/>
        <v/>
      </c>
      <c r="AL3750" s="24"/>
      <c r="AM3750" s="24"/>
      <c r="AN3750" s="24"/>
      <c r="AO3750" s="24"/>
      <c r="AP3750" s="165" t="str">
        <f t="shared" si="1153"/>
        <v/>
      </c>
      <c r="AQ3750" s="203" t="str">
        <f t="shared" si="1154"/>
        <v/>
      </c>
      <c r="AR3750" s="206">
        <f t="shared" si="1155"/>
        <v>0</v>
      </c>
      <c r="AS3750" s="22" t="str">
        <f t="shared" si="1156"/>
        <v/>
      </c>
      <c r="AT3750" s="24" t="str">
        <f t="shared" si="1157"/>
        <v/>
      </c>
    </row>
    <row r="3751" spans="1:46">
      <c r="A3751" s="33" t="str">
        <f t="shared" si="1148"/>
        <v/>
      </c>
      <c r="B3751" s="23"/>
      <c r="C3751" s="23"/>
      <c r="D3751" s="202" t="str">
        <f t="shared" si="1141"/>
        <v/>
      </c>
      <c r="E3751" s="33" t="str">
        <f t="shared" si="1147"/>
        <v/>
      </c>
      <c r="F3751" s="23"/>
      <c r="G3751" s="23"/>
      <c r="H3751" s="29"/>
      <c r="I3751" s="204" t="str">
        <f t="shared" si="1149"/>
        <v/>
      </c>
      <c r="J3751" s="188"/>
      <c r="K3751" s="29"/>
      <c r="L3751" s="24"/>
      <c r="M3751" s="22"/>
      <c r="N3751" s="22"/>
      <c r="O3751" s="22"/>
      <c r="P3751" s="202" t="str">
        <f t="shared" si="1158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143"/>
        <v/>
      </c>
      <c r="Z3751" s="196" t="str">
        <f t="shared" si="1142"/>
        <v/>
      </c>
      <c r="AA3751" s="22"/>
      <c r="AB3751" s="197" t="str">
        <f t="shared" si="1146"/>
        <v/>
      </c>
      <c r="AC3751" s="198" t="str">
        <f t="shared" si="1150"/>
        <v/>
      </c>
      <c r="AD3751" s="162"/>
      <c r="AE3751" s="199" t="str">
        <f t="shared" si="1151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44"/>
        <v>0</v>
      </c>
      <c r="AJ3751" s="200">
        <f t="shared" si="1145"/>
        <v>0</v>
      </c>
      <c r="AK3751" s="201" t="str">
        <f t="shared" si="1152"/>
        <v/>
      </c>
      <c r="AL3751" s="24"/>
      <c r="AM3751" s="24"/>
      <c r="AN3751" s="24"/>
      <c r="AO3751" s="24"/>
      <c r="AP3751" s="165" t="str">
        <f t="shared" si="1153"/>
        <v/>
      </c>
      <c r="AQ3751" s="203" t="str">
        <f t="shared" si="1154"/>
        <v/>
      </c>
      <c r="AR3751" s="206">
        <f t="shared" si="1155"/>
        <v>0</v>
      </c>
      <c r="AS3751" s="22" t="str">
        <f t="shared" si="1156"/>
        <v/>
      </c>
      <c r="AT3751" s="24" t="str">
        <f t="shared" si="1157"/>
        <v/>
      </c>
    </row>
    <row r="3752" spans="1:46">
      <c r="A3752" s="33" t="str">
        <f t="shared" si="1148"/>
        <v/>
      </c>
      <c r="B3752" s="23"/>
      <c r="C3752" s="23"/>
      <c r="D3752" s="202" t="str">
        <f t="shared" si="1141"/>
        <v/>
      </c>
      <c r="E3752" s="33" t="str">
        <f t="shared" si="1147"/>
        <v/>
      </c>
      <c r="F3752" s="23"/>
      <c r="G3752" s="23"/>
      <c r="H3752" s="29"/>
      <c r="I3752" s="204" t="str">
        <f t="shared" si="1149"/>
        <v/>
      </c>
      <c r="J3752" s="188"/>
      <c r="K3752" s="29"/>
      <c r="L3752" s="24"/>
      <c r="M3752" s="22"/>
      <c r="N3752" s="22"/>
      <c r="O3752" s="22"/>
      <c r="P3752" s="202" t="str">
        <f t="shared" si="1158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143"/>
        <v/>
      </c>
      <c r="Z3752" s="196" t="str">
        <f t="shared" si="1142"/>
        <v/>
      </c>
      <c r="AA3752" s="22"/>
      <c r="AB3752" s="197" t="str">
        <f t="shared" si="1146"/>
        <v/>
      </c>
      <c r="AC3752" s="198" t="str">
        <f t="shared" si="1150"/>
        <v/>
      </c>
      <c r="AD3752" s="162"/>
      <c r="AE3752" s="199" t="str">
        <f t="shared" si="1151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44"/>
        <v>0</v>
      </c>
      <c r="AJ3752" s="200">
        <f t="shared" si="1145"/>
        <v>0</v>
      </c>
      <c r="AK3752" s="201" t="str">
        <f t="shared" si="1152"/>
        <v/>
      </c>
      <c r="AL3752" s="24"/>
      <c r="AM3752" s="24"/>
      <c r="AN3752" s="24"/>
      <c r="AO3752" s="24"/>
      <c r="AP3752" s="165" t="str">
        <f t="shared" si="1153"/>
        <v/>
      </c>
      <c r="AQ3752" s="203" t="str">
        <f t="shared" si="1154"/>
        <v/>
      </c>
      <c r="AR3752" s="206">
        <f t="shared" si="1155"/>
        <v>0</v>
      </c>
      <c r="AS3752" s="22" t="str">
        <f t="shared" si="1156"/>
        <v/>
      </c>
      <c r="AT3752" s="24" t="str">
        <f t="shared" si="1157"/>
        <v/>
      </c>
    </row>
    <row r="3753" spans="1:46">
      <c r="A3753" s="33" t="str">
        <f t="shared" si="1148"/>
        <v/>
      </c>
      <c r="B3753" s="23"/>
      <c r="C3753" s="23"/>
      <c r="D3753" s="202" t="str">
        <f t="shared" si="1141"/>
        <v/>
      </c>
      <c r="E3753" s="33" t="str">
        <f t="shared" si="1147"/>
        <v/>
      </c>
      <c r="F3753" s="23"/>
      <c r="G3753" s="23"/>
      <c r="H3753" s="29"/>
      <c r="I3753" s="204" t="str">
        <f t="shared" si="1149"/>
        <v/>
      </c>
      <c r="J3753" s="188"/>
      <c r="K3753" s="29"/>
      <c r="L3753" s="24"/>
      <c r="M3753" s="22"/>
      <c r="N3753" s="22"/>
      <c r="O3753" s="22"/>
      <c r="P3753" s="202" t="str">
        <f t="shared" si="1158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143"/>
        <v/>
      </c>
      <c r="Z3753" s="196" t="str">
        <f t="shared" si="1142"/>
        <v/>
      </c>
      <c r="AA3753" s="22"/>
      <c r="AB3753" s="197" t="str">
        <f t="shared" si="1146"/>
        <v/>
      </c>
      <c r="AC3753" s="198" t="str">
        <f t="shared" si="1150"/>
        <v/>
      </c>
      <c r="AD3753" s="162"/>
      <c r="AE3753" s="199" t="str">
        <f t="shared" si="1151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44"/>
        <v>0</v>
      </c>
      <c r="AJ3753" s="200">
        <f t="shared" si="1145"/>
        <v>0</v>
      </c>
      <c r="AK3753" s="201" t="str">
        <f t="shared" si="1152"/>
        <v/>
      </c>
      <c r="AL3753" s="24"/>
      <c r="AM3753" s="24"/>
      <c r="AN3753" s="24"/>
      <c r="AO3753" s="24"/>
      <c r="AP3753" s="165" t="str">
        <f t="shared" si="1153"/>
        <v/>
      </c>
      <c r="AQ3753" s="203" t="str">
        <f t="shared" si="1154"/>
        <v/>
      </c>
      <c r="AR3753" s="206">
        <f t="shared" si="1155"/>
        <v>0</v>
      </c>
      <c r="AS3753" s="22" t="str">
        <f t="shared" si="1156"/>
        <v/>
      </c>
      <c r="AT3753" s="24" t="str">
        <f t="shared" si="1157"/>
        <v/>
      </c>
    </row>
    <row r="3754" spans="1:46">
      <c r="A3754" s="33" t="str">
        <f t="shared" si="1148"/>
        <v/>
      </c>
      <c r="B3754" s="23"/>
      <c r="C3754" s="23"/>
      <c r="D3754" s="202" t="str">
        <f t="shared" si="1141"/>
        <v/>
      </c>
      <c r="E3754" s="33" t="str">
        <f t="shared" si="1147"/>
        <v/>
      </c>
      <c r="F3754" s="23"/>
      <c r="G3754" s="23"/>
      <c r="H3754" s="29"/>
      <c r="I3754" s="204" t="str">
        <f t="shared" si="1149"/>
        <v/>
      </c>
      <c r="J3754" s="188"/>
      <c r="K3754" s="29"/>
      <c r="L3754" s="24"/>
      <c r="M3754" s="22"/>
      <c r="N3754" s="22"/>
      <c r="O3754" s="22"/>
      <c r="P3754" s="202" t="str">
        <f t="shared" si="1158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43"/>
        <v/>
      </c>
      <c r="Z3754" s="196" t="str">
        <f t="shared" si="1142"/>
        <v/>
      </c>
      <c r="AA3754" s="22"/>
      <c r="AB3754" s="197" t="str">
        <f t="shared" si="1146"/>
        <v/>
      </c>
      <c r="AC3754" s="198" t="str">
        <f t="shared" si="1150"/>
        <v/>
      </c>
      <c r="AD3754" s="162"/>
      <c r="AE3754" s="199" t="str">
        <f t="shared" si="1151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44"/>
        <v>0</v>
      </c>
      <c r="AJ3754" s="200">
        <f t="shared" si="1145"/>
        <v>0</v>
      </c>
      <c r="AK3754" s="201" t="str">
        <f t="shared" si="1152"/>
        <v/>
      </c>
      <c r="AL3754" s="24"/>
      <c r="AM3754" s="24"/>
      <c r="AN3754" s="24"/>
      <c r="AO3754" s="24"/>
      <c r="AP3754" s="165" t="str">
        <f t="shared" si="1153"/>
        <v/>
      </c>
      <c r="AQ3754" s="203" t="str">
        <f t="shared" si="1154"/>
        <v/>
      </c>
      <c r="AR3754" s="206">
        <f t="shared" si="1155"/>
        <v>0</v>
      </c>
      <c r="AS3754" s="22" t="str">
        <f t="shared" si="1156"/>
        <v/>
      </c>
      <c r="AT3754" s="24" t="str">
        <f t="shared" si="1157"/>
        <v/>
      </c>
    </row>
    <row r="3755" spans="1:46">
      <c r="A3755" s="33" t="str">
        <f t="shared" si="1148"/>
        <v/>
      </c>
      <c r="B3755" s="23"/>
      <c r="C3755" s="23"/>
      <c r="D3755" s="202" t="str">
        <f t="shared" si="1141"/>
        <v/>
      </c>
      <c r="E3755" s="33" t="str">
        <f t="shared" si="1147"/>
        <v/>
      </c>
      <c r="F3755" s="23"/>
      <c r="G3755" s="23"/>
      <c r="H3755" s="29"/>
      <c r="I3755" s="204" t="str">
        <f t="shared" si="1149"/>
        <v/>
      </c>
      <c r="J3755" s="188"/>
      <c r="K3755" s="29"/>
      <c r="L3755" s="24"/>
      <c r="M3755" s="22"/>
      <c r="N3755" s="22"/>
      <c r="O3755" s="22"/>
      <c r="P3755" s="202" t="str">
        <f t="shared" si="1158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43"/>
        <v/>
      </c>
      <c r="Z3755" s="196" t="str">
        <f t="shared" si="1142"/>
        <v/>
      </c>
      <c r="AA3755" s="22"/>
      <c r="AB3755" s="197" t="str">
        <f t="shared" si="1146"/>
        <v/>
      </c>
      <c r="AC3755" s="198" t="str">
        <f t="shared" si="1150"/>
        <v/>
      </c>
      <c r="AD3755" s="162"/>
      <c r="AE3755" s="199" t="str">
        <f t="shared" si="1151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44"/>
        <v>0</v>
      </c>
      <c r="AJ3755" s="200">
        <f t="shared" si="1145"/>
        <v>0</v>
      </c>
      <c r="AK3755" s="201" t="str">
        <f t="shared" si="1152"/>
        <v/>
      </c>
      <c r="AL3755" s="24"/>
      <c r="AM3755" s="24"/>
      <c r="AN3755" s="24"/>
      <c r="AO3755" s="24"/>
      <c r="AP3755" s="165" t="str">
        <f t="shared" si="1153"/>
        <v/>
      </c>
      <c r="AQ3755" s="203" t="str">
        <f t="shared" si="1154"/>
        <v/>
      </c>
      <c r="AR3755" s="206">
        <f t="shared" si="1155"/>
        <v>0</v>
      </c>
      <c r="AS3755" s="22" t="str">
        <f t="shared" si="1156"/>
        <v/>
      </c>
      <c r="AT3755" s="24" t="str">
        <f t="shared" si="1157"/>
        <v/>
      </c>
    </row>
    <row r="3756" spans="1:46">
      <c r="A3756" s="33" t="str">
        <f t="shared" si="1148"/>
        <v/>
      </c>
      <c r="B3756" s="23"/>
      <c r="C3756" s="23"/>
      <c r="D3756" s="202" t="str">
        <f t="shared" si="1141"/>
        <v/>
      </c>
      <c r="E3756" s="33" t="str">
        <f t="shared" si="1147"/>
        <v/>
      </c>
      <c r="F3756" s="23"/>
      <c r="G3756" s="23"/>
      <c r="H3756" s="29"/>
      <c r="I3756" s="204" t="str">
        <f t="shared" si="1149"/>
        <v/>
      </c>
      <c r="J3756" s="188"/>
      <c r="K3756" s="29"/>
      <c r="L3756" s="24"/>
      <c r="M3756" s="22"/>
      <c r="N3756" s="22"/>
      <c r="O3756" s="22"/>
      <c r="P3756" s="202" t="str">
        <f t="shared" si="1158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43"/>
        <v/>
      </c>
      <c r="Z3756" s="196" t="str">
        <f t="shared" si="1142"/>
        <v/>
      </c>
      <c r="AA3756" s="22"/>
      <c r="AB3756" s="197" t="str">
        <f t="shared" si="1146"/>
        <v/>
      </c>
      <c r="AC3756" s="198" t="str">
        <f t="shared" si="1150"/>
        <v/>
      </c>
      <c r="AD3756" s="162"/>
      <c r="AE3756" s="199" t="str">
        <f t="shared" si="1151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44"/>
        <v>0</v>
      </c>
      <c r="AJ3756" s="200">
        <f t="shared" si="1145"/>
        <v>0</v>
      </c>
      <c r="AK3756" s="201" t="str">
        <f t="shared" si="1152"/>
        <v/>
      </c>
      <c r="AL3756" s="24"/>
      <c r="AM3756" s="24"/>
      <c r="AN3756" s="24"/>
      <c r="AO3756" s="24"/>
      <c r="AP3756" s="165" t="str">
        <f t="shared" si="1153"/>
        <v/>
      </c>
      <c r="AQ3756" s="203" t="str">
        <f t="shared" si="1154"/>
        <v/>
      </c>
      <c r="AR3756" s="206">
        <f t="shared" si="1155"/>
        <v>0</v>
      </c>
      <c r="AS3756" s="22" t="str">
        <f t="shared" si="1156"/>
        <v/>
      </c>
      <c r="AT3756" s="24" t="str">
        <f t="shared" si="1157"/>
        <v/>
      </c>
    </row>
    <row r="3757" spans="1:46">
      <c r="A3757" s="33" t="str">
        <f t="shared" si="1148"/>
        <v/>
      </c>
      <c r="B3757" s="23"/>
      <c r="C3757" s="23"/>
      <c r="D3757" s="202" t="str">
        <f t="shared" si="1141"/>
        <v/>
      </c>
      <c r="E3757" s="33" t="str">
        <f t="shared" si="1147"/>
        <v/>
      </c>
      <c r="F3757" s="23"/>
      <c r="G3757" s="23"/>
      <c r="H3757" s="29"/>
      <c r="I3757" s="204" t="str">
        <f t="shared" si="1149"/>
        <v/>
      </c>
      <c r="J3757" s="188"/>
      <c r="K3757" s="29"/>
      <c r="L3757" s="24"/>
      <c r="M3757" s="22"/>
      <c r="N3757" s="22"/>
      <c r="O3757" s="22"/>
      <c r="P3757" s="202" t="str">
        <f t="shared" si="1158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43"/>
        <v/>
      </c>
      <c r="Z3757" s="196" t="str">
        <f t="shared" si="1142"/>
        <v/>
      </c>
      <c r="AA3757" s="22"/>
      <c r="AB3757" s="197" t="str">
        <f t="shared" si="1146"/>
        <v/>
      </c>
      <c r="AC3757" s="198" t="str">
        <f t="shared" si="1150"/>
        <v/>
      </c>
      <c r="AD3757" s="162"/>
      <c r="AE3757" s="199" t="str">
        <f t="shared" si="1151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44"/>
        <v>0</v>
      </c>
      <c r="AJ3757" s="200">
        <f t="shared" si="1145"/>
        <v>0</v>
      </c>
      <c r="AK3757" s="201" t="str">
        <f t="shared" si="1152"/>
        <v/>
      </c>
      <c r="AL3757" s="24"/>
      <c r="AM3757" s="24"/>
      <c r="AN3757" s="24"/>
      <c r="AO3757" s="24"/>
      <c r="AP3757" s="165" t="str">
        <f t="shared" si="1153"/>
        <v/>
      </c>
      <c r="AQ3757" s="203" t="str">
        <f t="shared" si="1154"/>
        <v/>
      </c>
      <c r="AR3757" s="206">
        <f t="shared" si="1155"/>
        <v>0</v>
      </c>
      <c r="AS3757" s="22" t="str">
        <f t="shared" si="1156"/>
        <v/>
      </c>
      <c r="AT3757" s="24" t="str">
        <f t="shared" si="1157"/>
        <v/>
      </c>
    </row>
    <row r="3758" spans="1:46">
      <c r="A3758" s="33" t="str">
        <f t="shared" si="1148"/>
        <v/>
      </c>
      <c r="B3758" s="23"/>
      <c r="C3758" s="23"/>
      <c r="D3758" s="202" t="str">
        <f t="shared" si="1141"/>
        <v/>
      </c>
      <c r="E3758" s="33" t="str">
        <f t="shared" si="1147"/>
        <v/>
      </c>
      <c r="F3758" s="23"/>
      <c r="G3758" s="23"/>
      <c r="H3758" s="29"/>
      <c r="I3758" s="204" t="str">
        <f t="shared" si="1149"/>
        <v/>
      </c>
      <c r="J3758" s="188"/>
      <c r="K3758" s="29"/>
      <c r="L3758" s="24"/>
      <c r="M3758" s="22"/>
      <c r="N3758" s="22"/>
      <c r="O3758" s="22"/>
      <c r="P3758" s="202" t="str">
        <f t="shared" si="1158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43"/>
        <v/>
      </c>
      <c r="Z3758" s="196" t="str">
        <f t="shared" si="1142"/>
        <v/>
      </c>
      <c r="AA3758" s="22"/>
      <c r="AB3758" s="197" t="str">
        <f t="shared" si="1146"/>
        <v/>
      </c>
      <c r="AC3758" s="198" t="str">
        <f t="shared" si="1150"/>
        <v/>
      </c>
      <c r="AD3758" s="162"/>
      <c r="AE3758" s="199" t="str">
        <f t="shared" si="1151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44"/>
        <v>0</v>
      </c>
      <c r="AJ3758" s="200">
        <f t="shared" si="1145"/>
        <v>0</v>
      </c>
      <c r="AK3758" s="201" t="str">
        <f t="shared" si="1152"/>
        <v/>
      </c>
      <c r="AL3758" s="24"/>
      <c r="AM3758" s="24"/>
      <c r="AN3758" s="24"/>
      <c r="AO3758" s="24"/>
      <c r="AP3758" s="165" t="str">
        <f t="shared" si="1153"/>
        <v/>
      </c>
      <c r="AQ3758" s="203" t="str">
        <f t="shared" si="1154"/>
        <v/>
      </c>
      <c r="AR3758" s="206">
        <f t="shared" si="1155"/>
        <v>0</v>
      </c>
      <c r="AS3758" s="22" t="str">
        <f t="shared" si="1156"/>
        <v/>
      </c>
      <c r="AT3758" s="24" t="str">
        <f t="shared" si="1157"/>
        <v/>
      </c>
    </row>
    <row r="3759" spans="1:46">
      <c r="A3759" s="33" t="str">
        <f t="shared" si="1148"/>
        <v/>
      </c>
      <c r="B3759" s="23"/>
      <c r="C3759" s="23"/>
      <c r="D3759" s="202" t="str">
        <f t="shared" si="1141"/>
        <v/>
      </c>
      <c r="E3759" s="33" t="str">
        <f t="shared" si="1147"/>
        <v/>
      </c>
      <c r="F3759" s="23"/>
      <c r="G3759" s="23"/>
      <c r="H3759" s="29"/>
      <c r="I3759" s="204" t="str">
        <f t="shared" si="1149"/>
        <v/>
      </c>
      <c r="J3759" s="188"/>
      <c r="K3759" s="29"/>
      <c r="L3759" s="24"/>
      <c r="M3759" s="22"/>
      <c r="N3759" s="22"/>
      <c r="O3759" s="22"/>
      <c r="P3759" s="202" t="str">
        <f t="shared" si="1158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43"/>
        <v/>
      </c>
      <c r="Z3759" s="196" t="str">
        <f t="shared" si="1142"/>
        <v/>
      </c>
      <c r="AA3759" s="22"/>
      <c r="AB3759" s="197" t="str">
        <f t="shared" si="1146"/>
        <v/>
      </c>
      <c r="AC3759" s="198" t="str">
        <f t="shared" si="1150"/>
        <v/>
      </c>
      <c r="AD3759" s="162"/>
      <c r="AE3759" s="199" t="str">
        <f t="shared" si="1151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44"/>
        <v>0</v>
      </c>
      <c r="AJ3759" s="200">
        <f t="shared" si="1145"/>
        <v>0</v>
      </c>
      <c r="AK3759" s="201" t="str">
        <f t="shared" si="1152"/>
        <v/>
      </c>
      <c r="AL3759" s="24"/>
      <c r="AM3759" s="24"/>
      <c r="AN3759" s="24"/>
      <c r="AO3759" s="24"/>
      <c r="AP3759" s="165" t="str">
        <f t="shared" si="1153"/>
        <v/>
      </c>
      <c r="AQ3759" s="203" t="str">
        <f t="shared" si="1154"/>
        <v/>
      </c>
      <c r="AR3759" s="206">
        <f t="shared" si="1155"/>
        <v>0</v>
      </c>
      <c r="AS3759" s="22" t="str">
        <f t="shared" si="1156"/>
        <v/>
      </c>
      <c r="AT3759" s="24" t="str">
        <f t="shared" si="1157"/>
        <v/>
      </c>
    </row>
    <row r="3760" spans="1:46">
      <c r="A3760" s="33" t="str">
        <f t="shared" si="1148"/>
        <v/>
      </c>
      <c r="B3760" s="23"/>
      <c r="C3760" s="23"/>
      <c r="D3760" s="202" t="str">
        <f t="shared" si="1141"/>
        <v/>
      </c>
      <c r="E3760" s="33" t="str">
        <f t="shared" si="1147"/>
        <v/>
      </c>
      <c r="F3760" s="23"/>
      <c r="G3760" s="23"/>
      <c r="H3760" s="29"/>
      <c r="I3760" s="204" t="str">
        <f t="shared" si="1149"/>
        <v/>
      </c>
      <c r="J3760" s="188"/>
      <c r="K3760" s="29"/>
      <c r="L3760" s="24"/>
      <c r="M3760" s="22"/>
      <c r="N3760" s="22"/>
      <c r="O3760" s="22"/>
      <c r="P3760" s="202" t="str">
        <f t="shared" si="1158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43"/>
        <v/>
      </c>
      <c r="Z3760" s="196" t="str">
        <f t="shared" si="1142"/>
        <v/>
      </c>
      <c r="AA3760" s="22"/>
      <c r="AB3760" s="197" t="str">
        <f t="shared" si="1146"/>
        <v/>
      </c>
      <c r="AC3760" s="198" t="str">
        <f t="shared" si="1150"/>
        <v/>
      </c>
      <c r="AD3760" s="162"/>
      <c r="AE3760" s="199" t="str">
        <f t="shared" si="1151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44"/>
        <v>0</v>
      </c>
      <c r="AJ3760" s="200">
        <f t="shared" si="1145"/>
        <v>0</v>
      </c>
      <c r="AK3760" s="201" t="str">
        <f t="shared" si="1152"/>
        <v/>
      </c>
      <c r="AL3760" s="24"/>
      <c r="AM3760" s="24"/>
      <c r="AN3760" s="24"/>
      <c r="AO3760" s="24"/>
      <c r="AP3760" s="165" t="str">
        <f t="shared" si="1153"/>
        <v/>
      </c>
      <c r="AQ3760" s="203" t="str">
        <f t="shared" si="1154"/>
        <v/>
      </c>
      <c r="AR3760" s="206">
        <f t="shared" si="1155"/>
        <v>0</v>
      </c>
      <c r="AS3760" s="22" t="str">
        <f t="shared" si="1156"/>
        <v/>
      </c>
      <c r="AT3760" s="24" t="str">
        <f t="shared" si="1157"/>
        <v/>
      </c>
    </row>
    <row r="3761" spans="1:46">
      <c r="A3761" s="33" t="str">
        <f t="shared" si="1148"/>
        <v/>
      </c>
      <c r="B3761" s="23"/>
      <c r="C3761" s="23"/>
      <c r="D3761" s="202" t="str">
        <f t="shared" si="1141"/>
        <v/>
      </c>
      <c r="E3761" s="33" t="str">
        <f t="shared" si="1147"/>
        <v/>
      </c>
      <c r="F3761" s="23"/>
      <c r="G3761" s="23"/>
      <c r="H3761" s="29"/>
      <c r="I3761" s="204" t="str">
        <f t="shared" si="1149"/>
        <v/>
      </c>
      <c r="J3761" s="188"/>
      <c r="K3761" s="29"/>
      <c r="L3761" s="24"/>
      <c r="M3761" s="22"/>
      <c r="N3761" s="22"/>
      <c r="O3761" s="22"/>
      <c r="P3761" s="202" t="str">
        <f t="shared" si="1158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43"/>
        <v/>
      </c>
      <c r="Z3761" s="196" t="str">
        <f t="shared" si="1142"/>
        <v/>
      </c>
      <c r="AA3761" s="22"/>
      <c r="AB3761" s="197" t="str">
        <f t="shared" si="1146"/>
        <v/>
      </c>
      <c r="AC3761" s="198" t="str">
        <f t="shared" si="1150"/>
        <v/>
      </c>
      <c r="AD3761" s="162"/>
      <c r="AE3761" s="199" t="str">
        <f t="shared" si="1151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44"/>
        <v>0</v>
      </c>
      <c r="AJ3761" s="200">
        <f t="shared" si="1145"/>
        <v>0</v>
      </c>
      <c r="AK3761" s="201" t="str">
        <f t="shared" si="1152"/>
        <v/>
      </c>
      <c r="AL3761" s="24"/>
      <c r="AM3761" s="24"/>
      <c r="AN3761" s="24"/>
      <c r="AO3761" s="24"/>
      <c r="AP3761" s="165" t="str">
        <f t="shared" si="1153"/>
        <v/>
      </c>
      <c r="AQ3761" s="203" t="str">
        <f t="shared" si="1154"/>
        <v/>
      </c>
      <c r="AR3761" s="206">
        <f t="shared" si="1155"/>
        <v>0</v>
      </c>
      <c r="AS3761" s="22" t="str">
        <f t="shared" si="1156"/>
        <v/>
      </c>
      <c r="AT3761" s="24" t="str">
        <f t="shared" si="1157"/>
        <v/>
      </c>
    </row>
    <row r="3762" spans="1:46">
      <c r="A3762" s="33" t="str">
        <f t="shared" si="1148"/>
        <v/>
      </c>
      <c r="B3762" s="23"/>
      <c r="C3762" s="23"/>
      <c r="D3762" s="202" t="str">
        <f t="shared" ref="D3762:D3825" si="1159">IF(B3762="","",IF(AND(C3762&gt;=10,C3762&lt;=12),"Q3",IF(AND(C3762&gt;=1,C3762&lt;=3),"Q4",IF(AND(C3762&gt;=7,C3762&lt;=9),"Q2",IF(AND(C3762&gt;=4,C3762&lt;=6),"Q1")))))</f>
        <v/>
      </c>
      <c r="E3762" s="33" t="str">
        <f t="shared" si="1147"/>
        <v/>
      </c>
      <c r="F3762" s="23"/>
      <c r="G3762" s="23"/>
      <c r="H3762" s="29"/>
      <c r="I3762" s="204" t="str">
        <f t="shared" si="1149"/>
        <v/>
      </c>
      <c r="J3762" s="188"/>
      <c r="K3762" s="29"/>
      <c r="L3762" s="24"/>
      <c r="M3762" s="22"/>
      <c r="N3762" s="22"/>
      <c r="O3762" s="22"/>
      <c r="P3762" s="202" t="str">
        <f t="shared" si="1158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43"/>
        <v/>
      </c>
      <c r="Z3762" s="196" t="str">
        <f t="shared" ref="Z3762:Z3825" si="1160">IF(X3762="","",X3762*MAX(O3762,N3762))</f>
        <v/>
      </c>
      <c r="AA3762" s="22"/>
      <c r="AB3762" s="197" t="str">
        <f t="shared" si="1146"/>
        <v/>
      </c>
      <c r="AC3762" s="198" t="str">
        <f t="shared" si="1150"/>
        <v/>
      </c>
      <c r="AD3762" s="162"/>
      <c r="AE3762" s="199" t="str">
        <f t="shared" si="1151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44"/>
        <v>0</v>
      </c>
      <c r="AJ3762" s="200">
        <f t="shared" si="1145"/>
        <v>0</v>
      </c>
      <c r="AK3762" s="201" t="str">
        <f t="shared" si="1152"/>
        <v/>
      </c>
      <c r="AL3762" s="24"/>
      <c r="AM3762" s="24"/>
      <c r="AN3762" s="24"/>
      <c r="AO3762" s="24"/>
      <c r="AP3762" s="165" t="str">
        <f t="shared" si="1153"/>
        <v/>
      </c>
      <c r="AQ3762" s="203" t="str">
        <f t="shared" si="1154"/>
        <v/>
      </c>
      <c r="AR3762" s="206">
        <f t="shared" si="1155"/>
        <v>0</v>
      </c>
      <c r="AS3762" s="22" t="str">
        <f t="shared" si="1156"/>
        <v/>
      </c>
      <c r="AT3762" s="24" t="str">
        <f t="shared" si="1157"/>
        <v/>
      </c>
    </row>
    <row r="3763" spans="1:46">
      <c r="A3763" s="33" t="str">
        <f t="shared" si="1148"/>
        <v/>
      </c>
      <c r="B3763" s="23"/>
      <c r="C3763" s="23"/>
      <c r="D3763" s="202" t="str">
        <f t="shared" si="1159"/>
        <v/>
      </c>
      <c r="E3763" s="33" t="str">
        <f t="shared" si="1147"/>
        <v/>
      </c>
      <c r="F3763" s="23"/>
      <c r="G3763" s="23"/>
      <c r="H3763" s="29"/>
      <c r="I3763" s="204" t="str">
        <f t="shared" si="1149"/>
        <v/>
      </c>
      <c r="J3763" s="188"/>
      <c r="K3763" s="29"/>
      <c r="L3763" s="24"/>
      <c r="M3763" s="22"/>
      <c r="N3763" s="22"/>
      <c r="O3763" s="22"/>
      <c r="P3763" s="202" t="str">
        <f t="shared" si="1158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43"/>
        <v/>
      </c>
      <c r="Z3763" s="196" t="str">
        <f t="shared" si="1160"/>
        <v/>
      </c>
      <c r="AA3763" s="22"/>
      <c r="AB3763" s="197" t="str">
        <f t="shared" si="1146"/>
        <v/>
      </c>
      <c r="AC3763" s="198" t="str">
        <f t="shared" si="1150"/>
        <v/>
      </c>
      <c r="AD3763" s="162"/>
      <c r="AE3763" s="199" t="str">
        <f t="shared" si="1151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44"/>
        <v>0</v>
      </c>
      <c r="AJ3763" s="200">
        <f t="shared" si="1145"/>
        <v>0</v>
      </c>
      <c r="AK3763" s="201" t="str">
        <f t="shared" si="1152"/>
        <v/>
      </c>
      <c r="AL3763" s="24"/>
      <c r="AM3763" s="24"/>
      <c r="AN3763" s="24"/>
      <c r="AO3763" s="24"/>
      <c r="AP3763" s="165" t="str">
        <f t="shared" si="1153"/>
        <v/>
      </c>
      <c r="AQ3763" s="203" t="str">
        <f t="shared" si="1154"/>
        <v/>
      </c>
      <c r="AR3763" s="206">
        <f t="shared" si="1155"/>
        <v>0</v>
      </c>
      <c r="AS3763" s="22" t="str">
        <f t="shared" si="1156"/>
        <v/>
      </c>
      <c r="AT3763" s="24" t="str">
        <f t="shared" si="1157"/>
        <v/>
      </c>
    </row>
    <row r="3764" spans="1:46">
      <c r="A3764" s="33" t="str">
        <f t="shared" si="1148"/>
        <v/>
      </c>
      <c r="B3764" s="23"/>
      <c r="C3764" s="23"/>
      <c r="D3764" s="202" t="str">
        <f t="shared" si="1159"/>
        <v/>
      </c>
      <c r="E3764" s="33" t="str">
        <f t="shared" si="1147"/>
        <v/>
      </c>
      <c r="F3764" s="23"/>
      <c r="G3764" s="23"/>
      <c r="H3764" s="29"/>
      <c r="I3764" s="204" t="str">
        <f t="shared" si="1149"/>
        <v/>
      </c>
      <c r="J3764" s="188"/>
      <c r="K3764" s="29"/>
      <c r="L3764" s="24"/>
      <c r="M3764" s="22"/>
      <c r="N3764" s="22"/>
      <c r="O3764" s="22"/>
      <c r="P3764" s="202" t="str">
        <f t="shared" si="1158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61">IF(W3764="","",IF(W3764="RMB","1.13", "1"))</f>
        <v/>
      </c>
      <c r="Z3764" s="196" t="str">
        <f t="shared" si="1160"/>
        <v/>
      </c>
      <c r="AA3764" s="22"/>
      <c r="AB3764" s="197" t="str">
        <f t="shared" si="1146"/>
        <v/>
      </c>
      <c r="AC3764" s="198" t="str">
        <f t="shared" si="1150"/>
        <v/>
      </c>
      <c r="AD3764" s="162"/>
      <c r="AE3764" s="199" t="str">
        <f t="shared" si="1151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44"/>
        <v>0</v>
      </c>
      <c r="AJ3764" s="200">
        <f t="shared" si="1145"/>
        <v>0</v>
      </c>
      <c r="AK3764" s="201" t="str">
        <f t="shared" si="1152"/>
        <v/>
      </c>
      <c r="AL3764" s="24"/>
      <c r="AM3764" s="24"/>
      <c r="AN3764" s="24"/>
      <c r="AO3764" s="24"/>
      <c r="AP3764" s="165" t="str">
        <f t="shared" si="1153"/>
        <v/>
      </c>
      <c r="AQ3764" s="203" t="str">
        <f t="shared" si="1154"/>
        <v/>
      </c>
      <c r="AR3764" s="206">
        <f t="shared" si="1155"/>
        <v>0</v>
      </c>
      <c r="AS3764" s="22" t="str">
        <f t="shared" si="1156"/>
        <v/>
      </c>
      <c r="AT3764" s="24" t="str">
        <f t="shared" si="1157"/>
        <v/>
      </c>
    </row>
    <row r="3765" spans="1:46">
      <c r="A3765" s="33" t="str">
        <f t="shared" si="1148"/>
        <v/>
      </c>
      <c r="B3765" s="23"/>
      <c r="C3765" s="23"/>
      <c r="D3765" s="202" t="str">
        <f t="shared" si="1159"/>
        <v/>
      </c>
      <c r="E3765" s="33" t="str">
        <f t="shared" si="1147"/>
        <v/>
      </c>
      <c r="F3765" s="23"/>
      <c r="G3765" s="23"/>
      <c r="H3765" s="29"/>
      <c r="I3765" s="204" t="str">
        <f t="shared" si="1149"/>
        <v/>
      </c>
      <c r="J3765" s="188"/>
      <c r="K3765" s="29"/>
      <c r="L3765" s="24"/>
      <c r="M3765" s="22"/>
      <c r="N3765" s="22"/>
      <c r="O3765" s="22"/>
      <c r="P3765" s="202" t="str">
        <f t="shared" si="1158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61"/>
        <v/>
      </c>
      <c r="Z3765" s="196" t="str">
        <f t="shared" si="1160"/>
        <v/>
      </c>
      <c r="AA3765" s="22"/>
      <c r="AB3765" s="197" t="str">
        <f t="shared" si="1146"/>
        <v/>
      </c>
      <c r="AC3765" s="198" t="str">
        <f t="shared" si="1150"/>
        <v/>
      </c>
      <c r="AD3765" s="162"/>
      <c r="AE3765" s="199" t="str">
        <f t="shared" si="1151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44"/>
        <v>0</v>
      </c>
      <c r="AJ3765" s="200">
        <f t="shared" si="1145"/>
        <v>0</v>
      </c>
      <c r="AK3765" s="201" t="str">
        <f t="shared" si="1152"/>
        <v/>
      </c>
      <c r="AL3765" s="24"/>
      <c r="AM3765" s="24"/>
      <c r="AN3765" s="24"/>
      <c r="AO3765" s="24"/>
      <c r="AP3765" s="165" t="str">
        <f t="shared" si="1153"/>
        <v/>
      </c>
      <c r="AQ3765" s="203" t="str">
        <f t="shared" si="1154"/>
        <v/>
      </c>
      <c r="AR3765" s="206">
        <f t="shared" si="1155"/>
        <v>0</v>
      </c>
      <c r="AS3765" s="22" t="str">
        <f t="shared" si="1156"/>
        <v/>
      </c>
      <c r="AT3765" s="24" t="str">
        <f t="shared" si="1157"/>
        <v/>
      </c>
    </row>
    <row r="3766" spans="1:46">
      <c r="A3766" s="33" t="str">
        <f t="shared" si="1148"/>
        <v/>
      </c>
      <c r="B3766" s="23"/>
      <c r="C3766" s="23"/>
      <c r="D3766" s="202" t="str">
        <f t="shared" si="1159"/>
        <v/>
      </c>
      <c r="E3766" s="33" t="str">
        <f t="shared" si="1147"/>
        <v/>
      </c>
      <c r="F3766" s="23"/>
      <c r="G3766" s="23"/>
      <c r="H3766" s="29"/>
      <c r="I3766" s="204" t="str">
        <f t="shared" si="1149"/>
        <v/>
      </c>
      <c r="J3766" s="188"/>
      <c r="K3766" s="29"/>
      <c r="L3766" s="24"/>
      <c r="M3766" s="22"/>
      <c r="N3766" s="22"/>
      <c r="O3766" s="22"/>
      <c r="P3766" s="202" t="str">
        <f t="shared" si="1158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61"/>
        <v/>
      </c>
      <c r="Z3766" s="196" t="str">
        <f t="shared" si="1160"/>
        <v/>
      </c>
      <c r="AA3766" s="22"/>
      <c r="AB3766" s="197" t="str">
        <f t="shared" si="1146"/>
        <v/>
      </c>
      <c r="AC3766" s="198" t="str">
        <f t="shared" si="1150"/>
        <v/>
      </c>
      <c r="AD3766" s="162"/>
      <c r="AE3766" s="199" t="str">
        <f t="shared" si="1151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44"/>
        <v>0</v>
      </c>
      <c r="AJ3766" s="200">
        <f t="shared" si="1145"/>
        <v>0</v>
      </c>
      <c r="AK3766" s="201" t="str">
        <f t="shared" si="1152"/>
        <v/>
      </c>
      <c r="AL3766" s="24"/>
      <c r="AM3766" s="24"/>
      <c r="AN3766" s="24"/>
      <c r="AO3766" s="24"/>
      <c r="AP3766" s="165" t="str">
        <f t="shared" si="1153"/>
        <v/>
      </c>
      <c r="AQ3766" s="203" t="str">
        <f t="shared" si="1154"/>
        <v/>
      </c>
      <c r="AR3766" s="206">
        <f t="shared" si="1155"/>
        <v>0</v>
      </c>
      <c r="AS3766" s="22" t="str">
        <f t="shared" si="1156"/>
        <v/>
      </c>
      <c r="AT3766" s="24" t="str">
        <f t="shared" si="1157"/>
        <v/>
      </c>
    </row>
    <row r="3767" spans="1:46">
      <c r="A3767" s="33" t="str">
        <f t="shared" si="1148"/>
        <v/>
      </c>
      <c r="B3767" s="23"/>
      <c r="C3767" s="23"/>
      <c r="D3767" s="202" t="str">
        <f t="shared" si="1159"/>
        <v/>
      </c>
      <c r="E3767" s="33" t="str">
        <f t="shared" si="1147"/>
        <v/>
      </c>
      <c r="F3767" s="23"/>
      <c r="G3767" s="23"/>
      <c r="H3767" s="29"/>
      <c r="I3767" s="204" t="str">
        <f t="shared" si="1149"/>
        <v/>
      </c>
      <c r="J3767" s="188"/>
      <c r="K3767" s="29"/>
      <c r="L3767" s="24"/>
      <c r="M3767" s="22"/>
      <c r="N3767" s="22"/>
      <c r="O3767" s="22"/>
      <c r="P3767" s="202" t="str">
        <f t="shared" si="1158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61"/>
        <v/>
      </c>
      <c r="Z3767" s="196" t="str">
        <f t="shared" si="1160"/>
        <v/>
      </c>
      <c r="AA3767" s="22"/>
      <c r="AB3767" s="197" t="str">
        <f t="shared" si="1146"/>
        <v/>
      </c>
      <c r="AC3767" s="198" t="str">
        <f t="shared" si="1150"/>
        <v/>
      </c>
      <c r="AD3767" s="162"/>
      <c r="AE3767" s="199" t="str">
        <f t="shared" si="1151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44"/>
        <v>0</v>
      </c>
      <c r="AJ3767" s="200">
        <f t="shared" si="1145"/>
        <v>0</v>
      </c>
      <c r="AK3767" s="201" t="str">
        <f t="shared" si="1152"/>
        <v/>
      </c>
      <c r="AL3767" s="24"/>
      <c r="AM3767" s="24"/>
      <c r="AN3767" s="24"/>
      <c r="AO3767" s="24"/>
      <c r="AP3767" s="165" t="str">
        <f t="shared" si="1153"/>
        <v/>
      </c>
      <c r="AQ3767" s="203" t="str">
        <f t="shared" si="1154"/>
        <v/>
      </c>
      <c r="AR3767" s="206">
        <f t="shared" si="1155"/>
        <v>0</v>
      </c>
      <c r="AS3767" s="22" t="str">
        <f t="shared" si="1156"/>
        <v/>
      </c>
      <c r="AT3767" s="24" t="str">
        <f t="shared" si="1157"/>
        <v/>
      </c>
    </row>
    <row r="3768" spans="1:46">
      <c r="A3768" s="33" t="str">
        <f t="shared" si="1148"/>
        <v/>
      </c>
      <c r="B3768" s="23"/>
      <c r="C3768" s="23"/>
      <c r="D3768" s="202" t="str">
        <f t="shared" si="1159"/>
        <v/>
      </c>
      <c r="E3768" s="33" t="str">
        <f t="shared" si="1147"/>
        <v/>
      </c>
      <c r="F3768" s="23"/>
      <c r="G3768" s="23"/>
      <c r="H3768" s="29"/>
      <c r="I3768" s="204" t="str">
        <f t="shared" si="1149"/>
        <v/>
      </c>
      <c r="J3768" s="188"/>
      <c r="K3768" s="29"/>
      <c r="L3768" s="24"/>
      <c r="M3768" s="22"/>
      <c r="N3768" s="22"/>
      <c r="O3768" s="22"/>
      <c r="P3768" s="202" t="str">
        <f t="shared" si="1158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61"/>
        <v/>
      </c>
      <c r="Z3768" s="196" t="str">
        <f t="shared" si="1160"/>
        <v/>
      </c>
      <c r="AA3768" s="22"/>
      <c r="AB3768" s="197" t="str">
        <f t="shared" si="1146"/>
        <v/>
      </c>
      <c r="AC3768" s="198" t="str">
        <f t="shared" si="1150"/>
        <v/>
      </c>
      <c r="AD3768" s="162"/>
      <c r="AE3768" s="199" t="str">
        <f t="shared" si="1151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44"/>
        <v>0</v>
      </c>
      <c r="AJ3768" s="200">
        <f t="shared" si="1145"/>
        <v>0</v>
      </c>
      <c r="AK3768" s="201" t="str">
        <f t="shared" si="1152"/>
        <v/>
      </c>
      <c r="AL3768" s="24"/>
      <c r="AM3768" s="24"/>
      <c r="AN3768" s="24"/>
      <c r="AO3768" s="24"/>
      <c r="AP3768" s="165" t="str">
        <f t="shared" si="1153"/>
        <v/>
      </c>
      <c r="AQ3768" s="203" t="str">
        <f t="shared" si="1154"/>
        <v/>
      </c>
      <c r="AR3768" s="206">
        <f t="shared" si="1155"/>
        <v>0</v>
      </c>
      <c r="AS3768" s="22" t="str">
        <f t="shared" si="1156"/>
        <v/>
      </c>
      <c r="AT3768" s="24" t="str">
        <f t="shared" si="1157"/>
        <v/>
      </c>
    </row>
    <row r="3769" spans="1:46">
      <c r="A3769" s="33" t="str">
        <f t="shared" si="1148"/>
        <v/>
      </c>
      <c r="B3769" s="23"/>
      <c r="C3769" s="23"/>
      <c r="D3769" s="202" t="str">
        <f t="shared" si="1159"/>
        <v/>
      </c>
      <c r="E3769" s="33" t="str">
        <f t="shared" si="1147"/>
        <v/>
      </c>
      <c r="F3769" s="23"/>
      <c r="G3769" s="23"/>
      <c r="H3769" s="29"/>
      <c r="I3769" s="204" t="str">
        <f t="shared" si="1149"/>
        <v/>
      </c>
      <c r="J3769" s="188"/>
      <c r="K3769" s="29"/>
      <c r="L3769" s="24"/>
      <c r="M3769" s="22"/>
      <c r="N3769" s="22"/>
      <c r="O3769" s="22"/>
      <c r="P3769" s="202" t="str">
        <f t="shared" si="1158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61"/>
        <v/>
      </c>
      <c r="Z3769" s="196" t="str">
        <f t="shared" si="1160"/>
        <v/>
      </c>
      <c r="AA3769" s="22"/>
      <c r="AB3769" s="197" t="str">
        <f t="shared" si="1146"/>
        <v/>
      </c>
      <c r="AC3769" s="198" t="str">
        <f t="shared" si="1150"/>
        <v/>
      </c>
      <c r="AD3769" s="162"/>
      <c r="AE3769" s="199" t="str">
        <f t="shared" si="1151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44"/>
        <v>0</v>
      </c>
      <c r="AJ3769" s="200">
        <f t="shared" si="1145"/>
        <v>0</v>
      </c>
      <c r="AK3769" s="201" t="str">
        <f t="shared" si="1152"/>
        <v/>
      </c>
      <c r="AL3769" s="24"/>
      <c r="AM3769" s="24"/>
      <c r="AN3769" s="24"/>
      <c r="AO3769" s="24"/>
      <c r="AP3769" s="165" t="str">
        <f t="shared" si="1153"/>
        <v/>
      </c>
      <c r="AQ3769" s="203" t="str">
        <f t="shared" si="1154"/>
        <v/>
      </c>
      <c r="AR3769" s="206">
        <f t="shared" si="1155"/>
        <v>0</v>
      </c>
      <c r="AS3769" s="22" t="str">
        <f t="shared" si="1156"/>
        <v/>
      </c>
      <c r="AT3769" s="24" t="str">
        <f t="shared" si="1157"/>
        <v/>
      </c>
    </row>
    <row r="3770" spans="1:46">
      <c r="A3770" s="33" t="str">
        <f t="shared" si="1148"/>
        <v/>
      </c>
      <c r="B3770" s="23"/>
      <c r="C3770" s="23"/>
      <c r="D3770" s="202" t="str">
        <f t="shared" si="1159"/>
        <v/>
      </c>
      <c r="E3770" s="33" t="str">
        <f t="shared" si="1147"/>
        <v/>
      </c>
      <c r="F3770" s="23"/>
      <c r="G3770" s="23"/>
      <c r="H3770" s="29"/>
      <c r="I3770" s="204" t="str">
        <f t="shared" si="1149"/>
        <v/>
      </c>
      <c r="J3770" s="188"/>
      <c r="K3770" s="29"/>
      <c r="L3770" s="24"/>
      <c r="M3770" s="22"/>
      <c r="N3770" s="22"/>
      <c r="O3770" s="22"/>
      <c r="P3770" s="202" t="str">
        <f t="shared" si="1158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61"/>
        <v/>
      </c>
      <c r="Z3770" s="196" t="str">
        <f t="shared" si="1160"/>
        <v/>
      </c>
      <c r="AA3770" s="22"/>
      <c r="AB3770" s="197" t="str">
        <f t="shared" si="1146"/>
        <v/>
      </c>
      <c r="AC3770" s="198" t="str">
        <f t="shared" si="1150"/>
        <v/>
      </c>
      <c r="AD3770" s="162"/>
      <c r="AE3770" s="199" t="str">
        <f t="shared" si="1151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44"/>
        <v>0</v>
      </c>
      <c r="AJ3770" s="200">
        <f t="shared" si="1145"/>
        <v>0</v>
      </c>
      <c r="AK3770" s="201" t="str">
        <f t="shared" si="1152"/>
        <v/>
      </c>
      <c r="AL3770" s="24"/>
      <c r="AM3770" s="24"/>
      <c r="AN3770" s="24"/>
      <c r="AO3770" s="24"/>
      <c r="AP3770" s="165" t="str">
        <f t="shared" si="1153"/>
        <v/>
      </c>
      <c r="AQ3770" s="203" t="str">
        <f t="shared" si="1154"/>
        <v/>
      </c>
      <c r="AR3770" s="206">
        <f t="shared" si="1155"/>
        <v>0</v>
      </c>
      <c r="AS3770" s="22" t="str">
        <f t="shared" si="1156"/>
        <v/>
      </c>
      <c r="AT3770" s="24" t="str">
        <f t="shared" si="1157"/>
        <v/>
      </c>
    </row>
    <row r="3771" spans="1:46">
      <c r="A3771" s="33" t="str">
        <f t="shared" si="1148"/>
        <v/>
      </c>
      <c r="B3771" s="23"/>
      <c r="C3771" s="23"/>
      <c r="D3771" s="202" t="str">
        <f t="shared" si="1159"/>
        <v/>
      </c>
      <c r="E3771" s="33" t="str">
        <f t="shared" si="1147"/>
        <v/>
      </c>
      <c r="F3771" s="23"/>
      <c r="G3771" s="23"/>
      <c r="H3771" s="29"/>
      <c r="I3771" s="204" t="str">
        <f t="shared" si="1149"/>
        <v/>
      </c>
      <c r="J3771" s="188"/>
      <c r="K3771" s="29"/>
      <c r="L3771" s="24"/>
      <c r="M3771" s="22"/>
      <c r="N3771" s="22"/>
      <c r="O3771" s="22"/>
      <c r="P3771" s="202" t="str">
        <f t="shared" si="1158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61"/>
        <v/>
      </c>
      <c r="Z3771" s="196" t="str">
        <f t="shared" si="1160"/>
        <v/>
      </c>
      <c r="AA3771" s="22"/>
      <c r="AB3771" s="197" t="str">
        <f t="shared" si="1146"/>
        <v/>
      </c>
      <c r="AC3771" s="198" t="str">
        <f t="shared" si="1150"/>
        <v/>
      </c>
      <c r="AD3771" s="162"/>
      <c r="AE3771" s="199" t="str">
        <f t="shared" si="1151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44"/>
        <v>0</v>
      </c>
      <c r="AJ3771" s="200">
        <f t="shared" si="1145"/>
        <v>0</v>
      </c>
      <c r="AK3771" s="201" t="str">
        <f t="shared" si="1152"/>
        <v/>
      </c>
      <c r="AL3771" s="24"/>
      <c r="AM3771" s="24"/>
      <c r="AN3771" s="24"/>
      <c r="AO3771" s="24"/>
      <c r="AP3771" s="165" t="str">
        <f t="shared" si="1153"/>
        <v/>
      </c>
      <c r="AQ3771" s="203" t="str">
        <f t="shared" si="1154"/>
        <v/>
      </c>
      <c r="AR3771" s="206">
        <f t="shared" si="1155"/>
        <v>0</v>
      </c>
      <c r="AS3771" s="22" t="str">
        <f t="shared" si="1156"/>
        <v/>
      </c>
      <c r="AT3771" s="24" t="str">
        <f t="shared" si="1157"/>
        <v/>
      </c>
    </row>
    <row r="3772" spans="1:46">
      <c r="A3772" s="33" t="str">
        <f t="shared" si="1148"/>
        <v/>
      </c>
      <c r="B3772" s="23"/>
      <c r="C3772" s="23"/>
      <c r="D3772" s="202" t="str">
        <f t="shared" si="1159"/>
        <v/>
      </c>
      <c r="E3772" s="33" t="str">
        <f t="shared" si="1147"/>
        <v/>
      </c>
      <c r="F3772" s="23"/>
      <c r="G3772" s="23"/>
      <c r="H3772" s="29"/>
      <c r="I3772" s="204" t="str">
        <f t="shared" si="1149"/>
        <v/>
      </c>
      <c r="J3772" s="188"/>
      <c r="K3772" s="29"/>
      <c r="L3772" s="24"/>
      <c r="M3772" s="22"/>
      <c r="N3772" s="22"/>
      <c r="O3772" s="22"/>
      <c r="P3772" s="202" t="str">
        <f t="shared" si="1158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61"/>
        <v/>
      </c>
      <c r="Z3772" s="196" t="str">
        <f t="shared" si="1160"/>
        <v/>
      </c>
      <c r="AA3772" s="22"/>
      <c r="AB3772" s="197" t="str">
        <f t="shared" si="1146"/>
        <v/>
      </c>
      <c r="AC3772" s="198" t="str">
        <f t="shared" si="1150"/>
        <v/>
      </c>
      <c r="AD3772" s="162"/>
      <c r="AE3772" s="199" t="str">
        <f t="shared" si="1151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44"/>
        <v>0</v>
      </c>
      <c r="AJ3772" s="200">
        <f t="shared" si="1145"/>
        <v>0</v>
      </c>
      <c r="AK3772" s="201" t="str">
        <f t="shared" si="1152"/>
        <v/>
      </c>
      <c r="AL3772" s="24"/>
      <c r="AM3772" s="24"/>
      <c r="AN3772" s="24"/>
      <c r="AO3772" s="24"/>
      <c r="AP3772" s="165" t="str">
        <f t="shared" si="1153"/>
        <v/>
      </c>
      <c r="AQ3772" s="203" t="str">
        <f t="shared" si="1154"/>
        <v/>
      </c>
      <c r="AR3772" s="206">
        <f t="shared" si="1155"/>
        <v>0</v>
      </c>
      <c r="AS3772" s="22" t="str">
        <f t="shared" si="1156"/>
        <v/>
      </c>
      <c r="AT3772" s="24" t="str">
        <f t="shared" si="1157"/>
        <v/>
      </c>
    </row>
    <row r="3773" spans="1:46">
      <c r="A3773" s="33" t="str">
        <f t="shared" si="1148"/>
        <v/>
      </c>
      <c r="B3773" s="23"/>
      <c r="C3773" s="23"/>
      <c r="D3773" s="202" t="str">
        <f t="shared" si="1159"/>
        <v/>
      </c>
      <c r="E3773" s="33" t="str">
        <f t="shared" si="1147"/>
        <v/>
      </c>
      <c r="F3773" s="23"/>
      <c r="G3773" s="23"/>
      <c r="H3773" s="29"/>
      <c r="I3773" s="204" t="str">
        <f t="shared" si="1149"/>
        <v/>
      </c>
      <c r="J3773" s="188"/>
      <c r="K3773" s="29"/>
      <c r="L3773" s="24"/>
      <c r="M3773" s="22"/>
      <c r="N3773" s="22"/>
      <c r="O3773" s="22"/>
      <c r="P3773" s="202" t="str">
        <f t="shared" si="1158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61"/>
        <v/>
      </c>
      <c r="Z3773" s="196" t="str">
        <f t="shared" si="1160"/>
        <v/>
      </c>
      <c r="AA3773" s="22"/>
      <c r="AB3773" s="197" t="str">
        <f t="shared" si="1146"/>
        <v/>
      </c>
      <c r="AC3773" s="198" t="str">
        <f t="shared" si="1150"/>
        <v/>
      </c>
      <c r="AD3773" s="162"/>
      <c r="AE3773" s="199" t="str">
        <f t="shared" si="1151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44"/>
        <v>0</v>
      </c>
      <c r="AJ3773" s="200">
        <f t="shared" si="1145"/>
        <v>0</v>
      </c>
      <c r="AK3773" s="201" t="str">
        <f t="shared" si="1152"/>
        <v/>
      </c>
      <c r="AL3773" s="24"/>
      <c r="AM3773" s="24"/>
      <c r="AN3773" s="24"/>
      <c r="AO3773" s="24"/>
      <c r="AP3773" s="165" t="str">
        <f t="shared" si="1153"/>
        <v/>
      </c>
      <c r="AQ3773" s="203" t="str">
        <f t="shared" si="1154"/>
        <v/>
      </c>
      <c r="AR3773" s="206">
        <f t="shared" si="1155"/>
        <v>0</v>
      </c>
      <c r="AS3773" s="22" t="str">
        <f t="shared" si="1156"/>
        <v/>
      </c>
      <c r="AT3773" s="24" t="str">
        <f t="shared" si="1157"/>
        <v/>
      </c>
    </row>
    <row r="3774" spans="1:46">
      <c r="A3774" s="33" t="str">
        <f t="shared" si="1148"/>
        <v/>
      </c>
      <c r="B3774" s="23"/>
      <c r="C3774" s="23"/>
      <c r="D3774" s="202" t="str">
        <f t="shared" si="1159"/>
        <v/>
      </c>
      <c r="E3774" s="33" t="str">
        <f t="shared" si="1147"/>
        <v/>
      </c>
      <c r="F3774" s="23"/>
      <c r="G3774" s="23"/>
      <c r="H3774" s="29"/>
      <c r="I3774" s="204" t="str">
        <f t="shared" si="1149"/>
        <v/>
      </c>
      <c r="J3774" s="188"/>
      <c r="K3774" s="29"/>
      <c r="L3774" s="24"/>
      <c r="M3774" s="22"/>
      <c r="N3774" s="22"/>
      <c r="O3774" s="22"/>
      <c r="P3774" s="202" t="str">
        <f t="shared" si="1158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61"/>
        <v/>
      </c>
      <c r="Z3774" s="196" t="str">
        <f t="shared" si="1160"/>
        <v/>
      </c>
      <c r="AA3774" s="22"/>
      <c r="AB3774" s="197" t="str">
        <f t="shared" si="1146"/>
        <v/>
      </c>
      <c r="AC3774" s="198" t="str">
        <f t="shared" si="1150"/>
        <v/>
      </c>
      <c r="AD3774" s="162"/>
      <c r="AE3774" s="199" t="str">
        <f t="shared" si="1151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44"/>
        <v>0</v>
      </c>
      <c r="AJ3774" s="200">
        <f t="shared" si="1145"/>
        <v>0</v>
      </c>
      <c r="AK3774" s="201" t="str">
        <f t="shared" si="1152"/>
        <v/>
      </c>
      <c r="AL3774" s="24"/>
      <c r="AM3774" s="24"/>
      <c r="AN3774" s="24"/>
      <c r="AO3774" s="24"/>
      <c r="AP3774" s="165" t="str">
        <f t="shared" si="1153"/>
        <v/>
      </c>
      <c r="AQ3774" s="203" t="str">
        <f t="shared" si="1154"/>
        <v/>
      </c>
      <c r="AR3774" s="206">
        <f t="shared" si="1155"/>
        <v>0</v>
      </c>
      <c r="AS3774" s="22" t="str">
        <f t="shared" si="1156"/>
        <v/>
      </c>
      <c r="AT3774" s="24" t="str">
        <f t="shared" si="1157"/>
        <v/>
      </c>
    </row>
    <row r="3775" spans="1:46">
      <c r="A3775" s="33" t="str">
        <f t="shared" si="1148"/>
        <v/>
      </c>
      <c r="B3775" s="23"/>
      <c r="C3775" s="23"/>
      <c r="D3775" s="202" t="str">
        <f t="shared" si="1159"/>
        <v/>
      </c>
      <c r="E3775" s="33" t="str">
        <f t="shared" si="1147"/>
        <v/>
      </c>
      <c r="F3775" s="23"/>
      <c r="G3775" s="23"/>
      <c r="H3775" s="29"/>
      <c r="I3775" s="204" t="str">
        <f t="shared" si="1149"/>
        <v/>
      </c>
      <c r="J3775" s="188"/>
      <c r="K3775" s="29"/>
      <c r="L3775" s="24"/>
      <c r="M3775" s="22"/>
      <c r="N3775" s="22"/>
      <c r="O3775" s="22"/>
      <c r="P3775" s="202" t="str">
        <f t="shared" si="1158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61"/>
        <v/>
      </c>
      <c r="Z3775" s="196" t="str">
        <f t="shared" si="1160"/>
        <v/>
      </c>
      <c r="AA3775" s="22"/>
      <c r="AB3775" s="197" t="str">
        <f t="shared" si="1146"/>
        <v/>
      </c>
      <c r="AC3775" s="198" t="str">
        <f t="shared" si="1150"/>
        <v/>
      </c>
      <c r="AD3775" s="162"/>
      <c r="AE3775" s="199" t="str">
        <f t="shared" si="1151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44"/>
        <v>0</v>
      </c>
      <c r="AJ3775" s="200">
        <f t="shared" si="1145"/>
        <v>0</v>
      </c>
      <c r="AK3775" s="201" t="str">
        <f t="shared" si="1152"/>
        <v/>
      </c>
      <c r="AL3775" s="24"/>
      <c r="AM3775" s="24"/>
      <c r="AN3775" s="24"/>
      <c r="AO3775" s="24"/>
      <c r="AP3775" s="165" t="str">
        <f t="shared" si="1153"/>
        <v/>
      </c>
      <c r="AQ3775" s="203" t="str">
        <f t="shared" si="1154"/>
        <v/>
      </c>
      <c r="AR3775" s="206">
        <f t="shared" si="1155"/>
        <v>0</v>
      </c>
      <c r="AS3775" s="22" t="str">
        <f t="shared" si="1156"/>
        <v/>
      </c>
      <c r="AT3775" s="24" t="str">
        <f t="shared" si="1157"/>
        <v/>
      </c>
    </row>
    <row r="3776" spans="1:46">
      <c r="A3776" s="33" t="str">
        <f t="shared" si="1148"/>
        <v/>
      </c>
      <c r="B3776" s="23"/>
      <c r="C3776" s="23"/>
      <c r="D3776" s="202" t="str">
        <f t="shared" si="1159"/>
        <v/>
      </c>
      <c r="E3776" s="33" t="str">
        <f t="shared" si="1147"/>
        <v/>
      </c>
      <c r="F3776" s="23"/>
      <c r="G3776" s="23"/>
      <c r="H3776" s="29"/>
      <c r="I3776" s="204" t="str">
        <f t="shared" si="1149"/>
        <v/>
      </c>
      <c r="J3776" s="188"/>
      <c r="K3776" s="29"/>
      <c r="L3776" s="24"/>
      <c r="M3776" s="22"/>
      <c r="N3776" s="22"/>
      <c r="O3776" s="22"/>
      <c r="P3776" s="202" t="str">
        <f t="shared" si="1158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61"/>
        <v/>
      </c>
      <c r="Z3776" s="196" t="str">
        <f t="shared" si="1160"/>
        <v/>
      </c>
      <c r="AA3776" s="22"/>
      <c r="AB3776" s="197" t="str">
        <f t="shared" si="1146"/>
        <v/>
      </c>
      <c r="AC3776" s="198" t="str">
        <f t="shared" si="1150"/>
        <v/>
      </c>
      <c r="AD3776" s="162"/>
      <c r="AE3776" s="199" t="str">
        <f t="shared" si="1151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44"/>
        <v>0</v>
      </c>
      <c r="AJ3776" s="200">
        <f t="shared" si="1145"/>
        <v>0</v>
      </c>
      <c r="AK3776" s="201" t="str">
        <f t="shared" si="1152"/>
        <v/>
      </c>
      <c r="AL3776" s="24"/>
      <c r="AM3776" s="24"/>
      <c r="AN3776" s="24"/>
      <c r="AO3776" s="24"/>
      <c r="AP3776" s="165" t="str">
        <f t="shared" si="1153"/>
        <v/>
      </c>
      <c r="AQ3776" s="203" t="str">
        <f t="shared" si="1154"/>
        <v/>
      </c>
      <c r="AR3776" s="206">
        <f t="shared" si="1155"/>
        <v>0</v>
      </c>
      <c r="AS3776" s="22" t="str">
        <f t="shared" si="1156"/>
        <v/>
      </c>
      <c r="AT3776" s="24" t="str">
        <f t="shared" si="1157"/>
        <v/>
      </c>
    </row>
    <row r="3777" spans="1:46">
      <c r="A3777" s="33" t="str">
        <f t="shared" si="1148"/>
        <v/>
      </c>
      <c r="B3777" s="23"/>
      <c r="C3777" s="23"/>
      <c r="D3777" s="202" t="str">
        <f t="shared" si="1159"/>
        <v/>
      </c>
      <c r="E3777" s="33" t="str">
        <f t="shared" si="1147"/>
        <v/>
      </c>
      <c r="F3777" s="23"/>
      <c r="G3777" s="23"/>
      <c r="H3777" s="29"/>
      <c r="I3777" s="204" t="str">
        <f t="shared" si="1149"/>
        <v/>
      </c>
      <c r="J3777" s="188"/>
      <c r="K3777" s="29"/>
      <c r="L3777" s="24"/>
      <c r="M3777" s="22"/>
      <c r="N3777" s="22"/>
      <c r="O3777" s="22"/>
      <c r="P3777" s="202" t="str">
        <f t="shared" si="1158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61"/>
        <v/>
      </c>
      <c r="Z3777" s="196" t="str">
        <f t="shared" si="1160"/>
        <v/>
      </c>
      <c r="AA3777" s="22"/>
      <c r="AB3777" s="197" t="str">
        <f t="shared" si="1146"/>
        <v/>
      </c>
      <c r="AC3777" s="198" t="str">
        <f t="shared" si="1150"/>
        <v/>
      </c>
      <c r="AD3777" s="162"/>
      <c r="AE3777" s="199" t="str">
        <f t="shared" si="1151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44"/>
        <v>0</v>
      </c>
      <c r="AJ3777" s="200">
        <f t="shared" si="1145"/>
        <v>0</v>
      </c>
      <c r="AK3777" s="201" t="str">
        <f t="shared" si="1152"/>
        <v/>
      </c>
      <c r="AL3777" s="24"/>
      <c r="AM3777" s="24"/>
      <c r="AN3777" s="24"/>
      <c r="AO3777" s="24"/>
      <c r="AP3777" s="165" t="str">
        <f t="shared" si="1153"/>
        <v/>
      </c>
      <c r="AQ3777" s="203" t="str">
        <f t="shared" si="1154"/>
        <v/>
      </c>
      <c r="AR3777" s="206">
        <f t="shared" si="1155"/>
        <v>0</v>
      </c>
      <c r="AS3777" s="22" t="str">
        <f t="shared" si="1156"/>
        <v/>
      </c>
      <c r="AT3777" s="24" t="str">
        <f t="shared" si="1157"/>
        <v/>
      </c>
    </row>
    <row r="3778" spans="1:46">
      <c r="A3778" s="33" t="str">
        <f t="shared" si="1148"/>
        <v/>
      </c>
      <c r="B3778" s="23"/>
      <c r="C3778" s="23"/>
      <c r="D3778" s="202" t="str">
        <f t="shared" si="1159"/>
        <v/>
      </c>
      <c r="E3778" s="33" t="str">
        <f t="shared" si="1147"/>
        <v/>
      </c>
      <c r="F3778" s="23"/>
      <c r="G3778" s="23"/>
      <c r="H3778" s="29"/>
      <c r="I3778" s="204" t="str">
        <f t="shared" si="1149"/>
        <v/>
      </c>
      <c r="J3778" s="188"/>
      <c r="K3778" s="29"/>
      <c r="L3778" s="24"/>
      <c r="M3778" s="22"/>
      <c r="N3778" s="22"/>
      <c r="O3778" s="22"/>
      <c r="P3778" s="202" t="str">
        <f t="shared" si="1158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61"/>
        <v/>
      </c>
      <c r="Z3778" s="196" t="str">
        <f t="shared" si="1160"/>
        <v/>
      </c>
      <c r="AA3778" s="22"/>
      <c r="AB3778" s="197" t="str">
        <f t="shared" si="1146"/>
        <v/>
      </c>
      <c r="AC3778" s="198" t="str">
        <f t="shared" si="1150"/>
        <v/>
      </c>
      <c r="AD3778" s="162"/>
      <c r="AE3778" s="199" t="str">
        <f t="shared" si="1151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62">IF(P3778="C66 SERVICE","",SUMIFS(AB:AB,F:F,F3778,G:G,G3778,E:E,E3778))</f>
        <v>0</v>
      </c>
      <c r="AJ3778" s="200">
        <f t="shared" ref="AJ3778:AJ3841" si="1163">IF(P3778="C66 SERVICE","",SUMIFS(AC:AC,F:F,F3778,G:G,G3778,E:E,E3778))</f>
        <v>0</v>
      </c>
      <c r="AK3778" s="201" t="str">
        <f t="shared" si="1152"/>
        <v/>
      </c>
      <c r="AL3778" s="24"/>
      <c r="AM3778" s="24"/>
      <c r="AN3778" s="24"/>
      <c r="AO3778" s="24"/>
      <c r="AP3778" s="165" t="str">
        <f t="shared" si="1153"/>
        <v/>
      </c>
      <c r="AQ3778" s="203" t="str">
        <f t="shared" si="1154"/>
        <v/>
      </c>
      <c r="AR3778" s="206">
        <f t="shared" si="1155"/>
        <v>0</v>
      </c>
      <c r="AS3778" s="22" t="str">
        <f t="shared" si="1156"/>
        <v/>
      </c>
      <c r="AT3778" s="24" t="str">
        <f t="shared" si="1157"/>
        <v/>
      </c>
    </row>
    <row r="3779" spans="1:46">
      <c r="A3779" s="33" t="str">
        <f t="shared" si="1148"/>
        <v/>
      </c>
      <c r="B3779" s="23"/>
      <c r="C3779" s="23"/>
      <c r="D3779" s="202" t="str">
        <f t="shared" si="1159"/>
        <v/>
      </c>
      <c r="E3779" s="33" t="str">
        <f t="shared" si="1147"/>
        <v/>
      </c>
      <c r="F3779" s="23"/>
      <c r="G3779" s="23"/>
      <c r="H3779" s="29"/>
      <c r="I3779" s="204" t="str">
        <f t="shared" si="1149"/>
        <v/>
      </c>
      <c r="J3779" s="188"/>
      <c r="K3779" s="29"/>
      <c r="L3779" s="24"/>
      <c r="M3779" s="22"/>
      <c r="N3779" s="22"/>
      <c r="O3779" s="22"/>
      <c r="P3779" s="202" t="str">
        <f t="shared" si="1158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61"/>
        <v/>
      </c>
      <c r="Z3779" s="196" t="str">
        <f t="shared" si="1160"/>
        <v/>
      </c>
      <c r="AA3779" s="22"/>
      <c r="AB3779" s="197" t="str">
        <f t="shared" si="1146"/>
        <v/>
      </c>
      <c r="AC3779" s="198" t="str">
        <f t="shared" si="1150"/>
        <v/>
      </c>
      <c r="AD3779" s="162"/>
      <c r="AE3779" s="199" t="str">
        <f t="shared" si="1151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62"/>
        <v>0</v>
      </c>
      <c r="AJ3779" s="200">
        <f t="shared" si="1163"/>
        <v>0</v>
      </c>
      <c r="AK3779" s="201" t="str">
        <f t="shared" si="1152"/>
        <v/>
      </c>
      <c r="AL3779" s="24"/>
      <c r="AM3779" s="24"/>
      <c r="AN3779" s="24"/>
      <c r="AO3779" s="24"/>
      <c r="AP3779" s="165" t="str">
        <f t="shared" si="1153"/>
        <v/>
      </c>
      <c r="AQ3779" s="203" t="str">
        <f t="shared" si="1154"/>
        <v/>
      </c>
      <c r="AR3779" s="206">
        <f t="shared" si="1155"/>
        <v>0</v>
      </c>
      <c r="AS3779" s="22" t="str">
        <f t="shared" si="1156"/>
        <v/>
      </c>
      <c r="AT3779" s="24" t="str">
        <f t="shared" si="1157"/>
        <v/>
      </c>
    </row>
    <row r="3780" spans="1:46">
      <c r="A3780" s="33" t="str">
        <f t="shared" si="1148"/>
        <v/>
      </c>
      <c r="B3780" s="23"/>
      <c r="C3780" s="23"/>
      <c r="D3780" s="202" t="str">
        <f t="shared" si="1159"/>
        <v/>
      </c>
      <c r="E3780" s="33" t="str">
        <f t="shared" si="1147"/>
        <v/>
      </c>
      <c r="F3780" s="23"/>
      <c r="G3780" s="23"/>
      <c r="H3780" s="29"/>
      <c r="I3780" s="204" t="str">
        <f t="shared" si="1149"/>
        <v/>
      </c>
      <c r="J3780" s="188"/>
      <c r="K3780" s="29"/>
      <c r="L3780" s="24"/>
      <c r="M3780" s="22"/>
      <c r="N3780" s="22"/>
      <c r="O3780" s="22"/>
      <c r="P3780" s="202" t="str">
        <f t="shared" si="1158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61"/>
        <v/>
      </c>
      <c r="Z3780" s="196" t="str">
        <f t="shared" si="1160"/>
        <v/>
      </c>
      <c r="AA3780" s="22"/>
      <c r="AB3780" s="197" t="str">
        <f t="shared" si="1146"/>
        <v/>
      </c>
      <c r="AC3780" s="198" t="str">
        <f t="shared" si="1150"/>
        <v/>
      </c>
      <c r="AD3780" s="162"/>
      <c r="AE3780" s="199" t="str">
        <f t="shared" si="1151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62"/>
        <v>0</v>
      </c>
      <c r="AJ3780" s="200">
        <f t="shared" si="1163"/>
        <v>0</v>
      </c>
      <c r="AK3780" s="201" t="str">
        <f t="shared" si="1152"/>
        <v/>
      </c>
      <c r="AL3780" s="24"/>
      <c r="AM3780" s="24"/>
      <c r="AN3780" s="24"/>
      <c r="AO3780" s="24"/>
      <c r="AP3780" s="165" t="str">
        <f t="shared" si="1153"/>
        <v/>
      </c>
      <c r="AQ3780" s="203" t="str">
        <f t="shared" si="1154"/>
        <v/>
      </c>
      <c r="AR3780" s="206">
        <f t="shared" si="1155"/>
        <v>0</v>
      </c>
      <c r="AS3780" s="22" t="str">
        <f t="shared" si="1156"/>
        <v/>
      </c>
      <c r="AT3780" s="24" t="str">
        <f t="shared" si="1157"/>
        <v/>
      </c>
    </row>
    <row r="3781" spans="1:46">
      <c r="A3781" s="33" t="str">
        <f t="shared" si="1148"/>
        <v/>
      </c>
      <c r="B3781" s="23"/>
      <c r="C3781" s="23"/>
      <c r="D3781" s="202" t="str">
        <f t="shared" si="1159"/>
        <v/>
      </c>
      <c r="E3781" s="33" t="str">
        <f t="shared" si="1147"/>
        <v/>
      </c>
      <c r="F3781" s="23"/>
      <c r="G3781" s="23"/>
      <c r="H3781" s="29"/>
      <c r="I3781" s="204" t="str">
        <f t="shared" si="1149"/>
        <v/>
      </c>
      <c r="J3781" s="188"/>
      <c r="K3781" s="29"/>
      <c r="L3781" s="24"/>
      <c r="M3781" s="22"/>
      <c r="N3781" s="22"/>
      <c r="O3781" s="22"/>
      <c r="P3781" s="202" t="str">
        <f t="shared" si="1158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61"/>
        <v/>
      </c>
      <c r="Z3781" s="196" t="str">
        <f t="shared" si="1160"/>
        <v/>
      </c>
      <c r="AA3781" s="22"/>
      <c r="AB3781" s="197" t="str">
        <f t="shared" si="1146"/>
        <v/>
      </c>
      <c r="AC3781" s="198" t="str">
        <f t="shared" si="1150"/>
        <v/>
      </c>
      <c r="AD3781" s="162"/>
      <c r="AE3781" s="199" t="str">
        <f t="shared" si="1151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62"/>
        <v>0</v>
      </c>
      <c r="AJ3781" s="200">
        <f t="shared" si="1163"/>
        <v>0</v>
      </c>
      <c r="AK3781" s="201" t="str">
        <f t="shared" si="1152"/>
        <v/>
      </c>
      <c r="AL3781" s="24"/>
      <c r="AM3781" s="24"/>
      <c r="AN3781" s="24"/>
      <c r="AO3781" s="24"/>
      <c r="AP3781" s="165" t="str">
        <f t="shared" si="1153"/>
        <v/>
      </c>
      <c r="AQ3781" s="203" t="str">
        <f t="shared" si="1154"/>
        <v/>
      </c>
      <c r="AR3781" s="206">
        <f t="shared" si="1155"/>
        <v>0</v>
      </c>
      <c r="AS3781" s="22" t="str">
        <f t="shared" si="1156"/>
        <v/>
      </c>
      <c r="AT3781" s="24" t="str">
        <f t="shared" si="1157"/>
        <v/>
      </c>
    </row>
    <row r="3782" spans="1:46">
      <c r="A3782" s="33" t="str">
        <f t="shared" si="1148"/>
        <v/>
      </c>
      <c r="B3782" s="23"/>
      <c r="C3782" s="23"/>
      <c r="D3782" s="202" t="str">
        <f t="shared" si="1159"/>
        <v/>
      </c>
      <c r="E3782" s="33" t="str">
        <f t="shared" si="1147"/>
        <v/>
      </c>
      <c r="F3782" s="23"/>
      <c r="G3782" s="23"/>
      <c r="H3782" s="29"/>
      <c r="I3782" s="204" t="str">
        <f t="shared" si="1149"/>
        <v/>
      </c>
      <c r="J3782" s="188"/>
      <c r="K3782" s="29"/>
      <c r="L3782" s="24"/>
      <c r="M3782" s="22"/>
      <c r="N3782" s="22"/>
      <c r="O3782" s="22"/>
      <c r="P3782" s="202" t="str">
        <f t="shared" si="1158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61"/>
        <v/>
      </c>
      <c r="Z3782" s="196" t="str">
        <f t="shared" si="1160"/>
        <v/>
      </c>
      <c r="AA3782" s="22"/>
      <c r="AB3782" s="197" t="str">
        <f t="shared" si="1146"/>
        <v/>
      </c>
      <c r="AC3782" s="198" t="str">
        <f t="shared" si="1150"/>
        <v/>
      </c>
      <c r="AD3782" s="162"/>
      <c r="AE3782" s="199" t="str">
        <f t="shared" si="1151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62"/>
        <v>0</v>
      </c>
      <c r="AJ3782" s="200">
        <f t="shared" si="1163"/>
        <v>0</v>
      </c>
      <c r="AK3782" s="201" t="str">
        <f t="shared" si="1152"/>
        <v/>
      </c>
      <c r="AL3782" s="24"/>
      <c r="AM3782" s="24"/>
      <c r="AN3782" s="24"/>
      <c r="AO3782" s="24"/>
      <c r="AP3782" s="165" t="str">
        <f t="shared" si="1153"/>
        <v/>
      </c>
      <c r="AQ3782" s="203" t="str">
        <f t="shared" si="1154"/>
        <v/>
      </c>
      <c r="AR3782" s="206">
        <f t="shared" si="1155"/>
        <v>0</v>
      </c>
      <c r="AS3782" s="22" t="str">
        <f t="shared" si="1156"/>
        <v/>
      </c>
      <c r="AT3782" s="24" t="str">
        <f t="shared" si="1157"/>
        <v/>
      </c>
    </row>
    <row r="3783" spans="1:46">
      <c r="A3783" s="33" t="str">
        <f t="shared" si="1148"/>
        <v/>
      </c>
      <c r="B3783" s="23"/>
      <c r="C3783" s="23"/>
      <c r="D3783" s="202" t="str">
        <f t="shared" si="1159"/>
        <v/>
      </c>
      <c r="E3783" s="33" t="str">
        <f t="shared" si="1147"/>
        <v/>
      </c>
      <c r="F3783" s="23"/>
      <c r="G3783" s="23"/>
      <c r="H3783" s="29"/>
      <c r="I3783" s="204" t="str">
        <f t="shared" si="1149"/>
        <v/>
      </c>
      <c r="J3783" s="188"/>
      <c r="K3783" s="29"/>
      <c r="L3783" s="24"/>
      <c r="M3783" s="22"/>
      <c r="N3783" s="22"/>
      <c r="O3783" s="22"/>
      <c r="P3783" s="202" t="str">
        <f t="shared" si="1158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61"/>
        <v/>
      </c>
      <c r="Z3783" s="196" t="str">
        <f t="shared" si="1160"/>
        <v/>
      </c>
      <c r="AA3783" s="22"/>
      <c r="AB3783" s="197" t="str">
        <f t="shared" si="1146"/>
        <v/>
      </c>
      <c r="AC3783" s="198" t="str">
        <f t="shared" si="1150"/>
        <v/>
      </c>
      <c r="AD3783" s="162"/>
      <c r="AE3783" s="199" t="str">
        <f t="shared" si="1151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62"/>
        <v>0</v>
      </c>
      <c r="AJ3783" s="200">
        <f t="shared" si="1163"/>
        <v>0</v>
      </c>
      <c r="AK3783" s="201" t="str">
        <f t="shared" si="1152"/>
        <v/>
      </c>
      <c r="AL3783" s="24"/>
      <c r="AM3783" s="24"/>
      <c r="AN3783" s="24"/>
      <c r="AO3783" s="24"/>
      <c r="AP3783" s="165" t="str">
        <f t="shared" si="1153"/>
        <v/>
      </c>
      <c r="AQ3783" s="203" t="str">
        <f t="shared" si="1154"/>
        <v/>
      </c>
      <c r="AR3783" s="206">
        <f t="shared" si="1155"/>
        <v>0</v>
      </c>
      <c r="AS3783" s="22" t="str">
        <f t="shared" si="1156"/>
        <v/>
      </c>
      <c r="AT3783" s="24" t="str">
        <f t="shared" si="1157"/>
        <v/>
      </c>
    </row>
    <row r="3784" spans="1:46">
      <c r="A3784" s="33" t="str">
        <f t="shared" si="1148"/>
        <v/>
      </c>
      <c r="B3784" s="23"/>
      <c r="C3784" s="23"/>
      <c r="D3784" s="202" t="str">
        <f t="shared" si="1159"/>
        <v/>
      </c>
      <c r="E3784" s="33" t="str">
        <f t="shared" si="1147"/>
        <v/>
      </c>
      <c r="F3784" s="23"/>
      <c r="G3784" s="23"/>
      <c r="H3784" s="29"/>
      <c r="I3784" s="204" t="str">
        <f t="shared" si="1149"/>
        <v/>
      </c>
      <c r="J3784" s="188"/>
      <c r="K3784" s="29"/>
      <c r="L3784" s="24"/>
      <c r="M3784" s="22"/>
      <c r="N3784" s="22"/>
      <c r="O3784" s="22"/>
      <c r="P3784" s="202" t="str">
        <f t="shared" si="1158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61"/>
        <v/>
      </c>
      <c r="Z3784" s="196" t="str">
        <f t="shared" si="1160"/>
        <v/>
      </c>
      <c r="AA3784" s="22"/>
      <c r="AB3784" s="197" t="str">
        <f t="shared" si="1146"/>
        <v/>
      </c>
      <c r="AC3784" s="198" t="str">
        <f t="shared" si="1150"/>
        <v/>
      </c>
      <c r="AD3784" s="162"/>
      <c r="AE3784" s="199" t="str">
        <f t="shared" si="1151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62"/>
        <v>0</v>
      </c>
      <c r="AJ3784" s="200">
        <f t="shared" si="1163"/>
        <v>0</v>
      </c>
      <c r="AK3784" s="201" t="str">
        <f t="shared" si="1152"/>
        <v/>
      </c>
      <c r="AL3784" s="24"/>
      <c r="AM3784" s="24"/>
      <c r="AN3784" s="24"/>
      <c r="AO3784" s="24"/>
      <c r="AP3784" s="165" t="str">
        <f t="shared" si="1153"/>
        <v/>
      </c>
      <c r="AQ3784" s="203" t="str">
        <f t="shared" si="1154"/>
        <v/>
      </c>
      <c r="AR3784" s="206">
        <f t="shared" si="1155"/>
        <v>0</v>
      </c>
      <c r="AS3784" s="22" t="str">
        <f t="shared" si="1156"/>
        <v/>
      </c>
      <c r="AT3784" s="24" t="str">
        <f t="shared" si="1157"/>
        <v/>
      </c>
    </row>
    <row r="3785" spans="1:46">
      <c r="A3785" s="33" t="str">
        <f t="shared" si="1148"/>
        <v/>
      </c>
      <c r="B3785" s="23"/>
      <c r="C3785" s="23"/>
      <c r="D3785" s="202" t="str">
        <f t="shared" si="1159"/>
        <v/>
      </c>
      <c r="E3785" s="33" t="str">
        <f t="shared" si="1147"/>
        <v/>
      </c>
      <c r="F3785" s="23"/>
      <c r="G3785" s="23"/>
      <c r="H3785" s="29"/>
      <c r="I3785" s="204" t="str">
        <f t="shared" si="1149"/>
        <v/>
      </c>
      <c r="J3785" s="188"/>
      <c r="K3785" s="29"/>
      <c r="L3785" s="24"/>
      <c r="M3785" s="22"/>
      <c r="N3785" s="22"/>
      <c r="O3785" s="22"/>
      <c r="P3785" s="202" t="str">
        <f t="shared" si="1158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61"/>
        <v/>
      </c>
      <c r="Z3785" s="196" t="str">
        <f t="shared" si="1160"/>
        <v/>
      </c>
      <c r="AA3785" s="22"/>
      <c r="AB3785" s="197" t="str">
        <f t="shared" si="1146"/>
        <v/>
      </c>
      <c r="AC3785" s="198" t="str">
        <f t="shared" si="1150"/>
        <v/>
      </c>
      <c r="AD3785" s="162"/>
      <c r="AE3785" s="199" t="str">
        <f t="shared" si="1151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62"/>
        <v>0</v>
      </c>
      <c r="AJ3785" s="200">
        <f t="shared" si="1163"/>
        <v>0</v>
      </c>
      <c r="AK3785" s="201" t="str">
        <f t="shared" si="1152"/>
        <v/>
      </c>
      <c r="AL3785" s="24"/>
      <c r="AM3785" s="24"/>
      <c r="AN3785" s="24"/>
      <c r="AO3785" s="24"/>
      <c r="AP3785" s="165" t="str">
        <f t="shared" si="1153"/>
        <v/>
      </c>
      <c r="AQ3785" s="203" t="str">
        <f t="shared" si="1154"/>
        <v/>
      </c>
      <c r="AR3785" s="206">
        <f t="shared" si="1155"/>
        <v>0</v>
      </c>
      <c r="AS3785" s="22" t="str">
        <f t="shared" si="1156"/>
        <v/>
      </c>
      <c r="AT3785" s="24" t="str">
        <f t="shared" si="1157"/>
        <v/>
      </c>
    </row>
    <row r="3786" spans="1:46">
      <c r="A3786" s="33" t="str">
        <f t="shared" si="1148"/>
        <v/>
      </c>
      <c r="B3786" s="23"/>
      <c r="C3786" s="23"/>
      <c r="D3786" s="202" t="str">
        <f t="shared" si="1159"/>
        <v/>
      </c>
      <c r="E3786" s="33" t="str">
        <f t="shared" si="1147"/>
        <v/>
      </c>
      <c r="F3786" s="23"/>
      <c r="G3786" s="23"/>
      <c r="H3786" s="29"/>
      <c r="I3786" s="204" t="str">
        <f t="shared" si="1149"/>
        <v/>
      </c>
      <c r="J3786" s="188"/>
      <c r="K3786" s="29"/>
      <c r="L3786" s="24"/>
      <c r="M3786" s="22"/>
      <c r="N3786" s="22"/>
      <c r="O3786" s="22"/>
      <c r="P3786" s="202" t="str">
        <f t="shared" si="1158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61"/>
        <v/>
      </c>
      <c r="Z3786" s="196" t="str">
        <f t="shared" si="1160"/>
        <v/>
      </c>
      <c r="AA3786" s="22"/>
      <c r="AB3786" s="197" t="str">
        <f t="shared" si="1146"/>
        <v/>
      </c>
      <c r="AC3786" s="198" t="str">
        <f t="shared" si="1150"/>
        <v/>
      </c>
      <c r="AD3786" s="162"/>
      <c r="AE3786" s="199" t="str">
        <f t="shared" si="1151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62"/>
        <v>0</v>
      </c>
      <c r="AJ3786" s="200">
        <f t="shared" si="1163"/>
        <v>0</v>
      </c>
      <c r="AK3786" s="201" t="str">
        <f t="shared" si="1152"/>
        <v/>
      </c>
      <c r="AL3786" s="24"/>
      <c r="AM3786" s="24"/>
      <c r="AN3786" s="24"/>
      <c r="AO3786" s="24"/>
      <c r="AP3786" s="165" t="str">
        <f t="shared" si="1153"/>
        <v/>
      </c>
      <c r="AQ3786" s="203" t="str">
        <f t="shared" si="1154"/>
        <v/>
      </c>
      <c r="AR3786" s="206">
        <f t="shared" si="1155"/>
        <v>0</v>
      </c>
      <c r="AS3786" s="22" t="str">
        <f t="shared" si="1156"/>
        <v/>
      </c>
      <c r="AT3786" s="24" t="str">
        <f t="shared" si="1157"/>
        <v/>
      </c>
    </row>
    <row r="3787" spans="1:46">
      <c r="A3787" s="33" t="str">
        <f t="shared" si="1148"/>
        <v/>
      </c>
      <c r="B3787" s="23"/>
      <c r="C3787" s="23"/>
      <c r="D3787" s="202" t="str">
        <f t="shared" si="1159"/>
        <v/>
      </c>
      <c r="E3787" s="33" t="str">
        <f t="shared" si="1147"/>
        <v/>
      </c>
      <c r="F3787" s="23"/>
      <c r="G3787" s="23"/>
      <c r="H3787" s="29"/>
      <c r="I3787" s="204" t="str">
        <f t="shared" si="1149"/>
        <v/>
      </c>
      <c r="J3787" s="188"/>
      <c r="K3787" s="29"/>
      <c r="L3787" s="24"/>
      <c r="M3787" s="22"/>
      <c r="N3787" s="22"/>
      <c r="O3787" s="22"/>
      <c r="P3787" s="202" t="str">
        <f t="shared" si="1158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61"/>
        <v/>
      </c>
      <c r="Z3787" s="196" t="str">
        <f t="shared" si="1160"/>
        <v/>
      </c>
      <c r="AA3787" s="22"/>
      <c r="AB3787" s="197" t="str">
        <f t="shared" si="1146"/>
        <v/>
      </c>
      <c r="AC3787" s="198" t="str">
        <f t="shared" si="1150"/>
        <v/>
      </c>
      <c r="AD3787" s="162"/>
      <c r="AE3787" s="199" t="str">
        <f t="shared" si="1151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62"/>
        <v>0</v>
      </c>
      <c r="AJ3787" s="200">
        <f t="shared" si="1163"/>
        <v>0</v>
      </c>
      <c r="AK3787" s="201" t="str">
        <f t="shared" si="1152"/>
        <v/>
      </c>
      <c r="AL3787" s="24"/>
      <c r="AM3787" s="24"/>
      <c r="AN3787" s="24"/>
      <c r="AO3787" s="24"/>
      <c r="AP3787" s="165" t="str">
        <f t="shared" si="1153"/>
        <v/>
      </c>
      <c r="AQ3787" s="203" t="str">
        <f t="shared" si="1154"/>
        <v/>
      </c>
      <c r="AR3787" s="206">
        <f t="shared" si="1155"/>
        <v>0</v>
      </c>
      <c r="AS3787" s="22" t="str">
        <f t="shared" si="1156"/>
        <v/>
      </c>
      <c r="AT3787" s="24" t="str">
        <f t="shared" si="1157"/>
        <v/>
      </c>
    </row>
    <row r="3788" spans="1:46">
      <c r="A3788" s="33" t="str">
        <f t="shared" si="1148"/>
        <v/>
      </c>
      <c r="B3788" s="23"/>
      <c r="C3788" s="23"/>
      <c r="D3788" s="202" t="str">
        <f t="shared" si="1159"/>
        <v/>
      </c>
      <c r="E3788" s="33" t="str">
        <f t="shared" si="1147"/>
        <v/>
      </c>
      <c r="F3788" s="23"/>
      <c r="G3788" s="23"/>
      <c r="H3788" s="29"/>
      <c r="I3788" s="204" t="str">
        <f t="shared" si="1149"/>
        <v/>
      </c>
      <c r="J3788" s="188"/>
      <c r="K3788" s="29"/>
      <c r="L3788" s="24"/>
      <c r="M3788" s="22"/>
      <c r="N3788" s="22"/>
      <c r="O3788" s="22"/>
      <c r="P3788" s="202" t="str">
        <f t="shared" si="1158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61"/>
        <v/>
      </c>
      <c r="Z3788" s="196" t="str">
        <f t="shared" si="1160"/>
        <v/>
      </c>
      <c r="AA3788" s="22"/>
      <c r="AB3788" s="197" t="str">
        <f t="shared" si="1146"/>
        <v/>
      </c>
      <c r="AC3788" s="198" t="str">
        <f t="shared" si="1150"/>
        <v/>
      </c>
      <c r="AD3788" s="162"/>
      <c r="AE3788" s="199" t="str">
        <f t="shared" si="1151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62"/>
        <v>0</v>
      </c>
      <c r="AJ3788" s="200">
        <f t="shared" si="1163"/>
        <v>0</v>
      </c>
      <c r="AK3788" s="201" t="str">
        <f t="shared" si="1152"/>
        <v/>
      </c>
      <c r="AL3788" s="24"/>
      <c r="AM3788" s="24"/>
      <c r="AN3788" s="24"/>
      <c r="AO3788" s="24"/>
      <c r="AP3788" s="165" t="str">
        <f t="shared" si="1153"/>
        <v/>
      </c>
      <c r="AQ3788" s="203" t="str">
        <f t="shared" si="1154"/>
        <v/>
      </c>
      <c r="AR3788" s="206">
        <f t="shared" si="1155"/>
        <v>0</v>
      </c>
      <c r="AS3788" s="22" t="str">
        <f t="shared" si="1156"/>
        <v/>
      </c>
      <c r="AT3788" s="24" t="str">
        <f t="shared" si="1157"/>
        <v/>
      </c>
    </row>
    <row r="3789" spans="1:46">
      <c r="A3789" s="33" t="str">
        <f t="shared" si="1148"/>
        <v/>
      </c>
      <c r="B3789" s="23"/>
      <c r="C3789" s="23"/>
      <c r="D3789" s="202" t="str">
        <f t="shared" si="1159"/>
        <v/>
      </c>
      <c r="E3789" s="33" t="str">
        <f t="shared" si="1147"/>
        <v/>
      </c>
      <c r="F3789" s="23"/>
      <c r="G3789" s="23"/>
      <c r="H3789" s="29"/>
      <c r="I3789" s="204" t="str">
        <f t="shared" si="1149"/>
        <v/>
      </c>
      <c r="J3789" s="188"/>
      <c r="K3789" s="29"/>
      <c r="L3789" s="24"/>
      <c r="M3789" s="22"/>
      <c r="N3789" s="22"/>
      <c r="O3789" s="22"/>
      <c r="P3789" s="202" t="str">
        <f t="shared" si="1158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61"/>
        <v/>
      </c>
      <c r="Z3789" s="196" t="str">
        <f t="shared" si="1160"/>
        <v/>
      </c>
      <c r="AA3789" s="22"/>
      <c r="AB3789" s="197" t="str">
        <f t="shared" si="1146"/>
        <v/>
      </c>
      <c r="AC3789" s="198" t="str">
        <f t="shared" si="1150"/>
        <v/>
      </c>
      <c r="AD3789" s="162"/>
      <c r="AE3789" s="199" t="str">
        <f t="shared" si="1151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62"/>
        <v>0</v>
      </c>
      <c r="AJ3789" s="200">
        <f t="shared" si="1163"/>
        <v>0</v>
      </c>
      <c r="AK3789" s="201" t="str">
        <f t="shared" si="1152"/>
        <v/>
      </c>
      <c r="AL3789" s="24"/>
      <c r="AM3789" s="24"/>
      <c r="AN3789" s="24"/>
      <c r="AO3789" s="24"/>
      <c r="AP3789" s="165" t="str">
        <f t="shared" si="1153"/>
        <v/>
      </c>
      <c r="AQ3789" s="203" t="str">
        <f t="shared" si="1154"/>
        <v/>
      </c>
      <c r="AR3789" s="206">
        <f t="shared" si="1155"/>
        <v>0</v>
      </c>
      <c r="AS3789" s="22" t="str">
        <f t="shared" si="1156"/>
        <v/>
      </c>
      <c r="AT3789" s="24" t="str">
        <f t="shared" si="1157"/>
        <v/>
      </c>
    </row>
    <row r="3790" spans="1:46">
      <c r="A3790" s="33" t="str">
        <f t="shared" si="1148"/>
        <v/>
      </c>
      <c r="B3790" s="23"/>
      <c r="C3790" s="23"/>
      <c r="D3790" s="202" t="str">
        <f t="shared" si="1159"/>
        <v/>
      </c>
      <c r="E3790" s="33" t="str">
        <f t="shared" si="1147"/>
        <v/>
      </c>
      <c r="F3790" s="23"/>
      <c r="G3790" s="23"/>
      <c r="H3790" s="29"/>
      <c r="I3790" s="204" t="str">
        <f t="shared" si="1149"/>
        <v/>
      </c>
      <c r="J3790" s="188"/>
      <c r="K3790" s="29"/>
      <c r="L3790" s="24"/>
      <c r="M3790" s="22"/>
      <c r="N3790" s="22"/>
      <c r="O3790" s="22"/>
      <c r="P3790" s="202" t="str">
        <f t="shared" si="1158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61"/>
        <v/>
      </c>
      <c r="Z3790" s="196" t="str">
        <f t="shared" si="1160"/>
        <v/>
      </c>
      <c r="AA3790" s="22"/>
      <c r="AB3790" s="197" t="str">
        <f t="shared" si="1146"/>
        <v/>
      </c>
      <c r="AC3790" s="198" t="str">
        <f t="shared" si="1150"/>
        <v/>
      </c>
      <c r="AD3790" s="162"/>
      <c r="AE3790" s="199" t="str">
        <f t="shared" si="1151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62"/>
        <v>0</v>
      </c>
      <c r="AJ3790" s="200">
        <f t="shared" si="1163"/>
        <v>0</v>
      </c>
      <c r="AK3790" s="201" t="str">
        <f t="shared" si="1152"/>
        <v/>
      </c>
      <c r="AL3790" s="24"/>
      <c r="AM3790" s="24"/>
      <c r="AN3790" s="24"/>
      <c r="AO3790" s="24"/>
      <c r="AP3790" s="165" t="str">
        <f t="shared" si="1153"/>
        <v/>
      </c>
      <c r="AQ3790" s="203" t="str">
        <f t="shared" si="1154"/>
        <v/>
      </c>
      <c r="AR3790" s="206">
        <f t="shared" si="1155"/>
        <v>0</v>
      </c>
      <c r="AS3790" s="22" t="str">
        <f t="shared" si="1156"/>
        <v/>
      </c>
      <c r="AT3790" s="24" t="str">
        <f t="shared" si="1157"/>
        <v/>
      </c>
    </row>
    <row r="3791" spans="1:46">
      <c r="A3791" s="33" t="str">
        <f t="shared" si="1148"/>
        <v/>
      </c>
      <c r="B3791" s="23"/>
      <c r="C3791" s="23"/>
      <c r="D3791" s="202" t="str">
        <f t="shared" si="1159"/>
        <v/>
      </c>
      <c r="E3791" s="33" t="str">
        <f t="shared" si="1147"/>
        <v/>
      </c>
      <c r="F3791" s="23"/>
      <c r="G3791" s="23"/>
      <c r="H3791" s="29"/>
      <c r="I3791" s="204" t="str">
        <f t="shared" si="1149"/>
        <v/>
      </c>
      <c r="J3791" s="188"/>
      <c r="K3791" s="29"/>
      <c r="L3791" s="24"/>
      <c r="M3791" s="22"/>
      <c r="N3791" s="22"/>
      <c r="O3791" s="22"/>
      <c r="P3791" s="202" t="str">
        <f t="shared" si="1158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61"/>
        <v/>
      </c>
      <c r="Z3791" s="196" t="str">
        <f t="shared" si="1160"/>
        <v/>
      </c>
      <c r="AA3791" s="22"/>
      <c r="AB3791" s="197" t="str">
        <f t="shared" si="1146"/>
        <v/>
      </c>
      <c r="AC3791" s="198" t="str">
        <f t="shared" si="1150"/>
        <v/>
      </c>
      <c r="AD3791" s="162"/>
      <c r="AE3791" s="199" t="str">
        <f t="shared" si="1151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62"/>
        <v>0</v>
      </c>
      <c r="AJ3791" s="200">
        <f t="shared" si="1163"/>
        <v>0</v>
      </c>
      <c r="AK3791" s="201" t="str">
        <f t="shared" si="1152"/>
        <v/>
      </c>
      <c r="AL3791" s="24"/>
      <c r="AM3791" s="24"/>
      <c r="AN3791" s="24"/>
      <c r="AO3791" s="24"/>
      <c r="AP3791" s="165" t="str">
        <f t="shared" si="1153"/>
        <v/>
      </c>
      <c r="AQ3791" s="203" t="str">
        <f t="shared" si="1154"/>
        <v/>
      </c>
      <c r="AR3791" s="206">
        <f t="shared" si="1155"/>
        <v>0</v>
      </c>
      <c r="AS3791" s="22" t="str">
        <f t="shared" si="1156"/>
        <v/>
      </c>
      <c r="AT3791" s="24" t="str">
        <f t="shared" si="1157"/>
        <v/>
      </c>
    </row>
    <row r="3792" spans="1:46">
      <c r="A3792" s="33" t="str">
        <f t="shared" si="1148"/>
        <v/>
      </c>
      <c r="B3792" s="23"/>
      <c r="C3792" s="23"/>
      <c r="D3792" s="202" t="str">
        <f t="shared" si="1159"/>
        <v/>
      </c>
      <c r="E3792" s="33" t="str">
        <f t="shared" si="1147"/>
        <v/>
      </c>
      <c r="F3792" s="23"/>
      <c r="G3792" s="23"/>
      <c r="H3792" s="29"/>
      <c r="I3792" s="204" t="str">
        <f t="shared" si="1149"/>
        <v/>
      </c>
      <c r="J3792" s="188"/>
      <c r="K3792" s="29"/>
      <c r="L3792" s="24"/>
      <c r="M3792" s="22"/>
      <c r="N3792" s="22"/>
      <c r="O3792" s="22"/>
      <c r="P3792" s="202" t="str">
        <f t="shared" si="1158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61"/>
        <v/>
      </c>
      <c r="Z3792" s="196" t="str">
        <f t="shared" si="1160"/>
        <v/>
      </c>
      <c r="AA3792" s="22"/>
      <c r="AB3792" s="197" t="str">
        <f t="shared" si="1146"/>
        <v/>
      </c>
      <c r="AC3792" s="198" t="str">
        <f t="shared" si="1150"/>
        <v/>
      </c>
      <c r="AD3792" s="162"/>
      <c r="AE3792" s="199" t="str">
        <f t="shared" si="1151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62"/>
        <v>0</v>
      </c>
      <c r="AJ3792" s="200">
        <f t="shared" si="1163"/>
        <v>0</v>
      </c>
      <c r="AK3792" s="201" t="str">
        <f t="shared" si="1152"/>
        <v/>
      </c>
      <c r="AL3792" s="24"/>
      <c r="AM3792" s="24"/>
      <c r="AN3792" s="24"/>
      <c r="AO3792" s="24"/>
      <c r="AP3792" s="165" t="str">
        <f t="shared" si="1153"/>
        <v/>
      </c>
      <c r="AQ3792" s="203" t="str">
        <f t="shared" si="1154"/>
        <v/>
      </c>
      <c r="AR3792" s="206">
        <f t="shared" si="1155"/>
        <v>0</v>
      </c>
      <c r="AS3792" s="22" t="str">
        <f t="shared" si="1156"/>
        <v/>
      </c>
      <c r="AT3792" s="24" t="str">
        <f t="shared" si="1157"/>
        <v/>
      </c>
    </row>
    <row r="3793" spans="1:46">
      <c r="A3793" s="33" t="str">
        <f t="shared" si="1148"/>
        <v/>
      </c>
      <c r="B3793" s="23"/>
      <c r="C3793" s="23"/>
      <c r="D3793" s="202" t="str">
        <f t="shared" si="1159"/>
        <v/>
      </c>
      <c r="E3793" s="33" t="str">
        <f t="shared" si="1147"/>
        <v/>
      </c>
      <c r="F3793" s="23"/>
      <c r="G3793" s="23"/>
      <c r="H3793" s="29"/>
      <c r="I3793" s="204" t="str">
        <f t="shared" si="1149"/>
        <v/>
      </c>
      <c r="J3793" s="188"/>
      <c r="K3793" s="29"/>
      <c r="L3793" s="24"/>
      <c r="M3793" s="22"/>
      <c r="N3793" s="22"/>
      <c r="O3793" s="22"/>
      <c r="P3793" s="202" t="str">
        <f t="shared" si="1158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61"/>
        <v/>
      </c>
      <c r="Z3793" s="196" t="str">
        <f t="shared" si="1160"/>
        <v/>
      </c>
      <c r="AA3793" s="22"/>
      <c r="AB3793" s="197" t="str">
        <f t="shared" si="1146"/>
        <v/>
      </c>
      <c r="AC3793" s="198" t="str">
        <f t="shared" si="1150"/>
        <v/>
      </c>
      <c r="AD3793" s="162"/>
      <c r="AE3793" s="199" t="str">
        <f t="shared" si="1151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62"/>
        <v>0</v>
      </c>
      <c r="AJ3793" s="200">
        <f t="shared" si="1163"/>
        <v>0</v>
      </c>
      <c r="AK3793" s="201" t="str">
        <f t="shared" si="1152"/>
        <v/>
      </c>
      <c r="AL3793" s="24"/>
      <c r="AM3793" s="24"/>
      <c r="AN3793" s="24"/>
      <c r="AO3793" s="24"/>
      <c r="AP3793" s="165" t="str">
        <f t="shared" si="1153"/>
        <v/>
      </c>
      <c r="AQ3793" s="203" t="str">
        <f t="shared" si="1154"/>
        <v/>
      </c>
      <c r="AR3793" s="206">
        <f t="shared" si="1155"/>
        <v>0</v>
      </c>
      <c r="AS3793" s="22" t="str">
        <f t="shared" si="1156"/>
        <v/>
      </c>
      <c r="AT3793" s="24" t="str">
        <f t="shared" si="1157"/>
        <v/>
      </c>
    </row>
    <row r="3794" spans="1:46">
      <c r="A3794" s="33" t="str">
        <f t="shared" si="1148"/>
        <v/>
      </c>
      <c r="B3794" s="23"/>
      <c r="C3794" s="23"/>
      <c r="D3794" s="202" t="str">
        <f t="shared" si="1159"/>
        <v/>
      </c>
      <c r="E3794" s="33" t="str">
        <f t="shared" si="1147"/>
        <v/>
      </c>
      <c r="F3794" s="23"/>
      <c r="G3794" s="23"/>
      <c r="H3794" s="29"/>
      <c r="I3794" s="204" t="str">
        <f t="shared" si="1149"/>
        <v/>
      </c>
      <c r="J3794" s="188"/>
      <c r="K3794" s="29"/>
      <c r="L3794" s="24"/>
      <c r="M3794" s="22"/>
      <c r="N3794" s="22"/>
      <c r="O3794" s="22"/>
      <c r="P3794" s="202" t="str">
        <f t="shared" si="1158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61"/>
        <v/>
      </c>
      <c r="Z3794" s="196" t="str">
        <f t="shared" si="1160"/>
        <v/>
      </c>
      <c r="AA3794" s="22"/>
      <c r="AB3794" s="197" t="str">
        <f t="shared" ref="AB3794:AB3857" si="1164">IF(AND(R3794&lt;&gt;"C66",R3794&lt;&gt;""),Z3794/Y3794*AA3794,"")</f>
        <v/>
      </c>
      <c r="AC3794" s="198" t="str">
        <f t="shared" si="1150"/>
        <v/>
      </c>
      <c r="AD3794" s="162"/>
      <c r="AE3794" s="199" t="str">
        <f t="shared" si="1151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62"/>
        <v>0</v>
      </c>
      <c r="AJ3794" s="200">
        <f t="shared" si="1163"/>
        <v>0</v>
      </c>
      <c r="AK3794" s="201" t="str">
        <f t="shared" si="1152"/>
        <v/>
      </c>
      <c r="AL3794" s="24"/>
      <c r="AM3794" s="24"/>
      <c r="AN3794" s="24"/>
      <c r="AO3794" s="24"/>
      <c r="AP3794" s="165" t="str">
        <f t="shared" si="1153"/>
        <v/>
      </c>
      <c r="AQ3794" s="203" t="str">
        <f t="shared" si="1154"/>
        <v/>
      </c>
      <c r="AR3794" s="206">
        <f t="shared" si="1155"/>
        <v>0</v>
      </c>
      <c r="AS3794" s="22" t="str">
        <f t="shared" si="1156"/>
        <v/>
      </c>
      <c r="AT3794" s="24" t="str">
        <f t="shared" si="1157"/>
        <v/>
      </c>
    </row>
    <row r="3795" spans="1:46">
      <c r="A3795" s="33" t="str">
        <f t="shared" si="1148"/>
        <v/>
      </c>
      <c r="B3795" s="23"/>
      <c r="C3795" s="23"/>
      <c r="D3795" s="202" t="str">
        <f t="shared" si="1159"/>
        <v/>
      </c>
      <c r="E3795" s="33" t="str">
        <f t="shared" si="1147"/>
        <v/>
      </c>
      <c r="F3795" s="23"/>
      <c r="G3795" s="23"/>
      <c r="H3795" s="29"/>
      <c r="I3795" s="204" t="str">
        <f t="shared" si="1149"/>
        <v/>
      </c>
      <c r="J3795" s="188"/>
      <c r="K3795" s="29"/>
      <c r="L3795" s="24"/>
      <c r="M3795" s="22"/>
      <c r="N3795" s="22"/>
      <c r="O3795" s="22"/>
      <c r="P3795" s="202" t="str">
        <f t="shared" si="1158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61"/>
        <v/>
      </c>
      <c r="Z3795" s="196" t="str">
        <f t="shared" si="1160"/>
        <v/>
      </c>
      <c r="AA3795" s="22"/>
      <c r="AB3795" s="197" t="str">
        <f t="shared" si="1164"/>
        <v/>
      </c>
      <c r="AC3795" s="198" t="str">
        <f t="shared" si="1150"/>
        <v/>
      </c>
      <c r="AD3795" s="162"/>
      <c r="AE3795" s="199" t="str">
        <f t="shared" si="1151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62"/>
        <v>0</v>
      </c>
      <c r="AJ3795" s="200">
        <f t="shared" si="1163"/>
        <v>0</v>
      </c>
      <c r="AK3795" s="201" t="str">
        <f t="shared" si="1152"/>
        <v/>
      </c>
      <c r="AL3795" s="24"/>
      <c r="AM3795" s="24"/>
      <c r="AN3795" s="24"/>
      <c r="AO3795" s="24"/>
      <c r="AP3795" s="165" t="str">
        <f t="shared" si="1153"/>
        <v/>
      </c>
      <c r="AQ3795" s="203" t="str">
        <f t="shared" si="1154"/>
        <v/>
      </c>
      <c r="AR3795" s="206">
        <f t="shared" si="1155"/>
        <v>0</v>
      </c>
      <c r="AS3795" s="22" t="str">
        <f t="shared" si="1156"/>
        <v/>
      </c>
      <c r="AT3795" s="24" t="str">
        <f t="shared" si="1157"/>
        <v/>
      </c>
    </row>
    <row r="3796" spans="1:46">
      <c r="A3796" s="33" t="str">
        <f t="shared" si="1148"/>
        <v/>
      </c>
      <c r="B3796" s="23"/>
      <c r="C3796" s="23"/>
      <c r="D3796" s="202" t="str">
        <f t="shared" si="1159"/>
        <v/>
      </c>
      <c r="E3796" s="33" t="str">
        <f t="shared" si="1147"/>
        <v/>
      </c>
      <c r="F3796" s="23"/>
      <c r="G3796" s="23"/>
      <c r="H3796" s="29"/>
      <c r="I3796" s="204" t="str">
        <f t="shared" si="1149"/>
        <v/>
      </c>
      <c r="J3796" s="188"/>
      <c r="K3796" s="29"/>
      <c r="L3796" s="24"/>
      <c r="M3796" s="22"/>
      <c r="N3796" s="22"/>
      <c r="O3796" s="22"/>
      <c r="P3796" s="202" t="str">
        <f t="shared" si="1158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61"/>
        <v/>
      </c>
      <c r="Z3796" s="196" t="str">
        <f t="shared" si="1160"/>
        <v/>
      </c>
      <c r="AA3796" s="22"/>
      <c r="AB3796" s="197" t="str">
        <f t="shared" si="1164"/>
        <v/>
      </c>
      <c r="AC3796" s="198" t="str">
        <f t="shared" si="1150"/>
        <v/>
      </c>
      <c r="AD3796" s="162"/>
      <c r="AE3796" s="199" t="str">
        <f t="shared" si="1151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62"/>
        <v>0</v>
      </c>
      <c r="AJ3796" s="200">
        <f t="shared" si="1163"/>
        <v>0</v>
      </c>
      <c r="AK3796" s="201" t="str">
        <f t="shared" si="1152"/>
        <v/>
      </c>
      <c r="AL3796" s="24"/>
      <c r="AM3796" s="24"/>
      <c r="AN3796" s="24"/>
      <c r="AO3796" s="24"/>
      <c r="AP3796" s="165" t="str">
        <f t="shared" si="1153"/>
        <v/>
      </c>
      <c r="AQ3796" s="203" t="str">
        <f t="shared" si="1154"/>
        <v/>
      </c>
      <c r="AR3796" s="206">
        <f t="shared" si="1155"/>
        <v>0</v>
      </c>
      <c r="AS3796" s="22" t="str">
        <f t="shared" si="1156"/>
        <v/>
      </c>
      <c r="AT3796" s="24" t="str">
        <f t="shared" si="1157"/>
        <v/>
      </c>
    </row>
    <row r="3797" spans="1:46">
      <c r="A3797" s="33" t="str">
        <f t="shared" si="1148"/>
        <v/>
      </c>
      <c r="B3797" s="23"/>
      <c r="C3797" s="23"/>
      <c r="D3797" s="202" t="str">
        <f t="shared" si="1159"/>
        <v/>
      </c>
      <c r="E3797" s="33" t="str">
        <f t="shared" si="1147"/>
        <v/>
      </c>
      <c r="F3797" s="23"/>
      <c r="G3797" s="23"/>
      <c r="H3797" s="29"/>
      <c r="I3797" s="204" t="str">
        <f t="shared" si="1149"/>
        <v/>
      </c>
      <c r="J3797" s="188"/>
      <c r="K3797" s="29"/>
      <c r="L3797" s="24"/>
      <c r="M3797" s="22"/>
      <c r="N3797" s="22"/>
      <c r="O3797" s="22"/>
      <c r="P3797" s="202" t="str">
        <f t="shared" si="1158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61"/>
        <v/>
      </c>
      <c r="Z3797" s="196" t="str">
        <f t="shared" si="1160"/>
        <v/>
      </c>
      <c r="AA3797" s="22"/>
      <c r="AB3797" s="197" t="str">
        <f t="shared" si="1164"/>
        <v/>
      </c>
      <c r="AC3797" s="198" t="str">
        <f t="shared" si="1150"/>
        <v/>
      </c>
      <c r="AD3797" s="162"/>
      <c r="AE3797" s="199" t="str">
        <f t="shared" si="1151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62"/>
        <v>0</v>
      </c>
      <c r="AJ3797" s="200">
        <f t="shared" si="1163"/>
        <v>0</v>
      </c>
      <c r="AK3797" s="201" t="str">
        <f t="shared" si="1152"/>
        <v/>
      </c>
      <c r="AL3797" s="24"/>
      <c r="AM3797" s="24"/>
      <c r="AN3797" s="24"/>
      <c r="AO3797" s="24"/>
      <c r="AP3797" s="165" t="str">
        <f t="shared" si="1153"/>
        <v/>
      </c>
      <c r="AQ3797" s="203" t="str">
        <f t="shared" si="1154"/>
        <v/>
      </c>
      <c r="AR3797" s="206">
        <f t="shared" si="1155"/>
        <v>0</v>
      </c>
      <c r="AS3797" s="22" t="str">
        <f t="shared" si="1156"/>
        <v/>
      </c>
      <c r="AT3797" s="24" t="str">
        <f t="shared" si="1157"/>
        <v/>
      </c>
    </row>
    <row r="3798" spans="1:46">
      <c r="A3798" s="33" t="str">
        <f t="shared" si="1148"/>
        <v/>
      </c>
      <c r="B3798" s="23"/>
      <c r="C3798" s="23"/>
      <c r="D3798" s="202" t="str">
        <f t="shared" si="1159"/>
        <v/>
      </c>
      <c r="E3798" s="33" t="str">
        <f t="shared" si="1147"/>
        <v/>
      </c>
      <c r="F3798" s="23"/>
      <c r="G3798" s="23"/>
      <c r="H3798" s="29"/>
      <c r="I3798" s="204" t="str">
        <f t="shared" si="1149"/>
        <v/>
      </c>
      <c r="J3798" s="188"/>
      <c r="K3798" s="29"/>
      <c r="L3798" s="24"/>
      <c r="M3798" s="22"/>
      <c r="N3798" s="22"/>
      <c r="O3798" s="22"/>
      <c r="P3798" s="202" t="str">
        <f t="shared" si="1158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61"/>
        <v/>
      </c>
      <c r="Z3798" s="196" t="str">
        <f t="shared" si="1160"/>
        <v/>
      </c>
      <c r="AA3798" s="22"/>
      <c r="AB3798" s="197" t="str">
        <f t="shared" si="1164"/>
        <v/>
      </c>
      <c r="AC3798" s="198" t="str">
        <f t="shared" si="1150"/>
        <v/>
      </c>
      <c r="AD3798" s="162"/>
      <c r="AE3798" s="199" t="str">
        <f t="shared" si="1151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62"/>
        <v>0</v>
      </c>
      <c r="AJ3798" s="200">
        <f t="shared" si="1163"/>
        <v>0</v>
      </c>
      <c r="AK3798" s="201" t="str">
        <f t="shared" si="1152"/>
        <v/>
      </c>
      <c r="AL3798" s="24"/>
      <c r="AM3798" s="24"/>
      <c r="AN3798" s="24"/>
      <c r="AO3798" s="24"/>
      <c r="AP3798" s="165" t="str">
        <f t="shared" si="1153"/>
        <v/>
      </c>
      <c r="AQ3798" s="203" t="str">
        <f t="shared" si="1154"/>
        <v/>
      </c>
      <c r="AR3798" s="206">
        <f t="shared" si="1155"/>
        <v>0</v>
      </c>
      <c r="AS3798" s="22" t="str">
        <f t="shared" si="1156"/>
        <v/>
      </c>
      <c r="AT3798" s="24" t="str">
        <f t="shared" si="1157"/>
        <v/>
      </c>
    </row>
    <row r="3799" spans="1:46">
      <c r="A3799" s="33" t="str">
        <f t="shared" si="1148"/>
        <v/>
      </c>
      <c r="B3799" s="23"/>
      <c r="C3799" s="23"/>
      <c r="D3799" s="202" t="str">
        <f t="shared" si="1159"/>
        <v/>
      </c>
      <c r="E3799" s="33" t="str">
        <f t="shared" si="1147"/>
        <v/>
      </c>
      <c r="F3799" s="23"/>
      <c r="G3799" s="23"/>
      <c r="H3799" s="29"/>
      <c r="I3799" s="204" t="str">
        <f t="shared" si="1149"/>
        <v/>
      </c>
      <c r="J3799" s="188"/>
      <c r="K3799" s="29"/>
      <c r="L3799" s="24"/>
      <c r="M3799" s="22"/>
      <c r="N3799" s="22"/>
      <c r="O3799" s="22"/>
      <c r="P3799" s="202" t="str">
        <f t="shared" si="1158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61"/>
        <v/>
      </c>
      <c r="Z3799" s="196" t="str">
        <f t="shared" si="1160"/>
        <v/>
      </c>
      <c r="AA3799" s="22"/>
      <c r="AB3799" s="197" t="str">
        <f t="shared" si="1164"/>
        <v/>
      </c>
      <c r="AC3799" s="198" t="str">
        <f t="shared" si="1150"/>
        <v/>
      </c>
      <c r="AD3799" s="162"/>
      <c r="AE3799" s="199" t="str">
        <f t="shared" si="1151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62"/>
        <v>0</v>
      </c>
      <c r="AJ3799" s="200">
        <f t="shared" si="1163"/>
        <v>0</v>
      </c>
      <c r="AK3799" s="201" t="str">
        <f t="shared" si="1152"/>
        <v/>
      </c>
      <c r="AL3799" s="24"/>
      <c r="AM3799" s="24"/>
      <c r="AN3799" s="24"/>
      <c r="AO3799" s="24"/>
      <c r="AP3799" s="165" t="str">
        <f t="shared" si="1153"/>
        <v/>
      </c>
      <c r="AQ3799" s="203" t="str">
        <f t="shared" si="1154"/>
        <v/>
      </c>
      <c r="AR3799" s="206">
        <f t="shared" si="1155"/>
        <v>0</v>
      </c>
      <c r="AS3799" s="22" t="str">
        <f t="shared" si="1156"/>
        <v/>
      </c>
      <c r="AT3799" s="24" t="str">
        <f t="shared" si="1157"/>
        <v/>
      </c>
    </row>
    <row r="3800" spans="1:46">
      <c r="A3800" s="33" t="str">
        <f t="shared" si="1148"/>
        <v/>
      </c>
      <c r="B3800" s="23"/>
      <c r="C3800" s="23"/>
      <c r="D3800" s="202" t="str">
        <f t="shared" si="1159"/>
        <v/>
      </c>
      <c r="E3800" s="33" t="str">
        <f t="shared" ref="E3800:E3863" si="1165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9"/>
        <v/>
      </c>
      <c r="J3800" s="188"/>
      <c r="K3800" s="29"/>
      <c r="L3800" s="24"/>
      <c r="M3800" s="22"/>
      <c r="N3800" s="22"/>
      <c r="O3800" s="22"/>
      <c r="P3800" s="202" t="str">
        <f t="shared" si="1158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61"/>
        <v/>
      </c>
      <c r="Z3800" s="196" t="str">
        <f t="shared" si="1160"/>
        <v/>
      </c>
      <c r="AA3800" s="22"/>
      <c r="AB3800" s="197" t="str">
        <f t="shared" si="1164"/>
        <v/>
      </c>
      <c r="AC3800" s="198" t="str">
        <f t="shared" si="1150"/>
        <v/>
      </c>
      <c r="AD3800" s="162"/>
      <c r="AE3800" s="199" t="str">
        <f t="shared" si="1151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62"/>
        <v>0</v>
      </c>
      <c r="AJ3800" s="200">
        <f t="shared" si="1163"/>
        <v>0</v>
      </c>
      <c r="AK3800" s="201" t="str">
        <f t="shared" si="1152"/>
        <v/>
      </c>
      <c r="AL3800" s="24"/>
      <c r="AM3800" s="24"/>
      <c r="AN3800" s="24"/>
      <c r="AO3800" s="24"/>
      <c r="AP3800" s="165" t="str">
        <f t="shared" si="1153"/>
        <v/>
      </c>
      <c r="AQ3800" s="203" t="str">
        <f t="shared" si="1154"/>
        <v/>
      </c>
      <c r="AR3800" s="206">
        <f t="shared" si="1155"/>
        <v>0</v>
      </c>
      <c r="AS3800" s="22" t="str">
        <f t="shared" si="1156"/>
        <v/>
      </c>
      <c r="AT3800" s="24" t="str">
        <f t="shared" si="1157"/>
        <v/>
      </c>
    </row>
    <row r="3801" spans="1:46">
      <c r="A3801" s="33" t="str">
        <f t="shared" si="1148"/>
        <v/>
      </c>
      <c r="B3801" s="23"/>
      <c r="C3801" s="23"/>
      <c r="D3801" s="202" t="str">
        <f t="shared" si="1159"/>
        <v/>
      </c>
      <c r="E3801" s="33" t="str">
        <f t="shared" si="1165"/>
        <v/>
      </c>
      <c r="F3801" s="23"/>
      <c r="G3801" s="23"/>
      <c r="H3801" s="29"/>
      <c r="I3801" s="204" t="str">
        <f t="shared" si="1149"/>
        <v/>
      </c>
      <c r="J3801" s="188"/>
      <c r="K3801" s="29"/>
      <c r="L3801" s="24"/>
      <c r="M3801" s="22"/>
      <c r="N3801" s="22"/>
      <c r="O3801" s="22"/>
      <c r="P3801" s="202" t="str">
        <f t="shared" si="1158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61"/>
        <v/>
      </c>
      <c r="Z3801" s="196" t="str">
        <f t="shared" si="1160"/>
        <v/>
      </c>
      <c r="AA3801" s="22"/>
      <c r="AB3801" s="197" t="str">
        <f t="shared" si="1164"/>
        <v/>
      </c>
      <c r="AC3801" s="198" t="str">
        <f t="shared" si="1150"/>
        <v/>
      </c>
      <c r="AD3801" s="162"/>
      <c r="AE3801" s="199" t="str">
        <f t="shared" si="1151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62"/>
        <v>0</v>
      </c>
      <c r="AJ3801" s="200">
        <f t="shared" si="1163"/>
        <v>0</v>
      </c>
      <c r="AK3801" s="201" t="str">
        <f t="shared" si="1152"/>
        <v/>
      </c>
      <c r="AL3801" s="24"/>
      <c r="AM3801" s="24"/>
      <c r="AN3801" s="24"/>
      <c r="AO3801" s="24"/>
      <c r="AP3801" s="165" t="str">
        <f t="shared" si="1153"/>
        <v/>
      </c>
      <c r="AQ3801" s="203" t="str">
        <f t="shared" si="1154"/>
        <v/>
      </c>
      <c r="AR3801" s="206">
        <f t="shared" si="1155"/>
        <v>0</v>
      </c>
      <c r="AS3801" s="22" t="str">
        <f t="shared" si="1156"/>
        <v/>
      </c>
      <c r="AT3801" s="24" t="str">
        <f t="shared" si="1157"/>
        <v/>
      </c>
    </row>
    <row r="3802" spans="1:46">
      <c r="A3802" s="33" t="str">
        <f t="shared" si="1148"/>
        <v/>
      </c>
      <c r="B3802" s="23"/>
      <c r="C3802" s="23"/>
      <c r="D3802" s="202" t="str">
        <f t="shared" si="1159"/>
        <v/>
      </c>
      <c r="E3802" s="33" t="str">
        <f t="shared" si="1165"/>
        <v/>
      </c>
      <c r="F3802" s="23"/>
      <c r="G3802" s="23"/>
      <c r="H3802" s="29"/>
      <c r="I3802" s="204" t="str">
        <f t="shared" si="1149"/>
        <v/>
      </c>
      <c r="J3802" s="188"/>
      <c r="K3802" s="29"/>
      <c r="L3802" s="24"/>
      <c r="M3802" s="22"/>
      <c r="N3802" s="22"/>
      <c r="O3802" s="22"/>
      <c r="P3802" s="202" t="str">
        <f t="shared" si="1158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61"/>
        <v/>
      </c>
      <c r="Z3802" s="196" t="str">
        <f t="shared" si="1160"/>
        <v/>
      </c>
      <c r="AA3802" s="22"/>
      <c r="AB3802" s="197" t="str">
        <f t="shared" si="1164"/>
        <v/>
      </c>
      <c r="AC3802" s="198" t="str">
        <f t="shared" si="1150"/>
        <v/>
      </c>
      <c r="AD3802" s="162"/>
      <c r="AE3802" s="199" t="str">
        <f t="shared" si="1151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62"/>
        <v>0</v>
      </c>
      <c r="AJ3802" s="200">
        <f t="shared" si="1163"/>
        <v>0</v>
      </c>
      <c r="AK3802" s="201" t="str">
        <f t="shared" si="1152"/>
        <v/>
      </c>
      <c r="AL3802" s="24"/>
      <c r="AM3802" s="24"/>
      <c r="AN3802" s="24"/>
      <c r="AO3802" s="24"/>
      <c r="AP3802" s="165" t="str">
        <f t="shared" si="1153"/>
        <v/>
      </c>
      <c r="AQ3802" s="203" t="str">
        <f t="shared" si="1154"/>
        <v/>
      </c>
      <c r="AR3802" s="206">
        <f t="shared" si="1155"/>
        <v>0</v>
      </c>
      <c r="AS3802" s="22" t="str">
        <f t="shared" si="1156"/>
        <v/>
      </c>
      <c r="AT3802" s="24" t="str">
        <f t="shared" si="1157"/>
        <v/>
      </c>
    </row>
    <row r="3803" spans="1:46">
      <c r="A3803" s="33" t="str">
        <f t="shared" si="1148"/>
        <v/>
      </c>
      <c r="B3803" s="23"/>
      <c r="C3803" s="23"/>
      <c r="D3803" s="202" t="str">
        <f t="shared" si="1159"/>
        <v/>
      </c>
      <c r="E3803" s="33" t="str">
        <f t="shared" si="1165"/>
        <v/>
      </c>
      <c r="F3803" s="23"/>
      <c r="G3803" s="23"/>
      <c r="H3803" s="29"/>
      <c r="I3803" s="204" t="str">
        <f t="shared" si="1149"/>
        <v/>
      </c>
      <c r="J3803" s="188"/>
      <c r="K3803" s="29"/>
      <c r="L3803" s="24"/>
      <c r="M3803" s="22"/>
      <c r="N3803" s="22"/>
      <c r="O3803" s="22"/>
      <c r="P3803" s="202" t="str">
        <f t="shared" si="1158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61"/>
        <v/>
      </c>
      <c r="Z3803" s="196" t="str">
        <f t="shared" si="1160"/>
        <v/>
      </c>
      <c r="AA3803" s="22"/>
      <c r="AB3803" s="197" t="str">
        <f t="shared" si="1164"/>
        <v/>
      </c>
      <c r="AC3803" s="198" t="str">
        <f t="shared" si="1150"/>
        <v/>
      </c>
      <c r="AD3803" s="162"/>
      <c r="AE3803" s="199" t="str">
        <f t="shared" si="1151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62"/>
        <v>0</v>
      </c>
      <c r="AJ3803" s="200">
        <f t="shared" si="1163"/>
        <v>0</v>
      </c>
      <c r="AK3803" s="201" t="str">
        <f t="shared" si="1152"/>
        <v/>
      </c>
      <c r="AL3803" s="24"/>
      <c r="AM3803" s="24"/>
      <c r="AN3803" s="24"/>
      <c r="AO3803" s="24"/>
      <c r="AP3803" s="165" t="str">
        <f t="shared" si="1153"/>
        <v/>
      </c>
      <c r="AQ3803" s="203" t="str">
        <f t="shared" si="1154"/>
        <v/>
      </c>
      <c r="AR3803" s="206">
        <f t="shared" si="1155"/>
        <v>0</v>
      </c>
      <c r="AS3803" s="22" t="str">
        <f t="shared" si="1156"/>
        <v/>
      </c>
      <c r="AT3803" s="24" t="str">
        <f t="shared" si="1157"/>
        <v/>
      </c>
    </row>
    <row r="3804" spans="1:46">
      <c r="A3804" s="33" t="str">
        <f t="shared" si="1148"/>
        <v/>
      </c>
      <c r="B3804" s="23"/>
      <c r="C3804" s="23"/>
      <c r="D3804" s="202" t="str">
        <f t="shared" si="1159"/>
        <v/>
      </c>
      <c r="E3804" s="33" t="str">
        <f t="shared" si="1165"/>
        <v/>
      </c>
      <c r="F3804" s="23"/>
      <c r="G3804" s="23"/>
      <c r="H3804" s="29"/>
      <c r="I3804" s="204" t="str">
        <f t="shared" si="1149"/>
        <v/>
      </c>
      <c r="J3804" s="188"/>
      <c r="K3804" s="29"/>
      <c r="L3804" s="24"/>
      <c r="M3804" s="22"/>
      <c r="N3804" s="22"/>
      <c r="O3804" s="22"/>
      <c r="P3804" s="202" t="str">
        <f t="shared" si="1158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61"/>
        <v/>
      </c>
      <c r="Z3804" s="196" t="str">
        <f t="shared" si="1160"/>
        <v/>
      </c>
      <c r="AA3804" s="22"/>
      <c r="AB3804" s="197" t="str">
        <f t="shared" si="1164"/>
        <v/>
      </c>
      <c r="AC3804" s="198" t="str">
        <f t="shared" si="1150"/>
        <v/>
      </c>
      <c r="AD3804" s="162"/>
      <c r="AE3804" s="199" t="str">
        <f t="shared" si="1151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62"/>
        <v>0</v>
      </c>
      <c r="AJ3804" s="200">
        <f t="shared" si="1163"/>
        <v>0</v>
      </c>
      <c r="AK3804" s="201" t="str">
        <f t="shared" si="1152"/>
        <v/>
      </c>
      <c r="AL3804" s="24"/>
      <c r="AM3804" s="24"/>
      <c r="AN3804" s="24"/>
      <c r="AO3804" s="24"/>
      <c r="AP3804" s="165" t="str">
        <f t="shared" si="1153"/>
        <v/>
      </c>
      <c r="AQ3804" s="203" t="str">
        <f t="shared" si="1154"/>
        <v/>
      </c>
      <c r="AR3804" s="206">
        <f t="shared" si="1155"/>
        <v>0</v>
      </c>
      <c r="AS3804" s="22" t="str">
        <f t="shared" si="1156"/>
        <v/>
      </c>
      <c r="AT3804" s="24" t="str">
        <f t="shared" si="1157"/>
        <v/>
      </c>
    </row>
    <row r="3805" spans="1:46">
      <c r="A3805" s="33" t="str">
        <f t="shared" si="1148"/>
        <v/>
      </c>
      <c r="B3805" s="23"/>
      <c r="C3805" s="23"/>
      <c r="D3805" s="202" t="str">
        <f t="shared" si="1159"/>
        <v/>
      </c>
      <c r="E3805" s="33" t="str">
        <f t="shared" si="1165"/>
        <v/>
      </c>
      <c r="F3805" s="23"/>
      <c r="G3805" s="23"/>
      <c r="H3805" s="29"/>
      <c r="I3805" s="204" t="str">
        <f t="shared" si="1149"/>
        <v/>
      </c>
      <c r="J3805" s="188"/>
      <c r="K3805" s="29"/>
      <c r="L3805" s="24"/>
      <c r="M3805" s="22"/>
      <c r="N3805" s="22"/>
      <c r="O3805" s="22"/>
      <c r="P3805" s="202" t="str">
        <f t="shared" si="1158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61"/>
        <v/>
      </c>
      <c r="Z3805" s="196" t="str">
        <f t="shared" si="1160"/>
        <v/>
      </c>
      <c r="AA3805" s="22"/>
      <c r="AB3805" s="197" t="str">
        <f t="shared" si="1164"/>
        <v/>
      </c>
      <c r="AC3805" s="198" t="str">
        <f t="shared" si="1150"/>
        <v/>
      </c>
      <c r="AD3805" s="162"/>
      <c r="AE3805" s="199" t="str">
        <f t="shared" si="1151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62"/>
        <v>0</v>
      </c>
      <c r="AJ3805" s="200">
        <f t="shared" si="1163"/>
        <v>0</v>
      </c>
      <c r="AK3805" s="201" t="str">
        <f t="shared" si="1152"/>
        <v/>
      </c>
      <c r="AL3805" s="24"/>
      <c r="AM3805" s="24"/>
      <c r="AN3805" s="24"/>
      <c r="AO3805" s="24"/>
      <c r="AP3805" s="165" t="str">
        <f t="shared" si="1153"/>
        <v/>
      </c>
      <c r="AQ3805" s="203" t="str">
        <f t="shared" si="1154"/>
        <v/>
      </c>
      <c r="AR3805" s="206">
        <f t="shared" si="1155"/>
        <v>0</v>
      </c>
      <c r="AS3805" s="22" t="str">
        <f t="shared" si="1156"/>
        <v/>
      </c>
      <c r="AT3805" s="24" t="str">
        <f t="shared" si="1157"/>
        <v/>
      </c>
    </row>
    <row r="3806" spans="1:46">
      <c r="A3806" s="33" t="str">
        <f t="shared" si="1148"/>
        <v/>
      </c>
      <c r="B3806" s="23"/>
      <c r="C3806" s="23"/>
      <c r="D3806" s="202" t="str">
        <f t="shared" si="1159"/>
        <v/>
      </c>
      <c r="E3806" s="33" t="str">
        <f t="shared" si="1165"/>
        <v/>
      </c>
      <c r="F3806" s="23"/>
      <c r="G3806" s="23"/>
      <c r="H3806" s="29"/>
      <c r="I3806" s="204" t="str">
        <f t="shared" si="1149"/>
        <v/>
      </c>
      <c r="J3806" s="188"/>
      <c r="K3806" s="29"/>
      <c r="L3806" s="24"/>
      <c r="M3806" s="22"/>
      <c r="N3806" s="22"/>
      <c r="O3806" s="22"/>
      <c r="P3806" s="202" t="str">
        <f t="shared" si="1158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61"/>
        <v/>
      </c>
      <c r="Z3806" s="196" t="str">
        <f t="shared" si="1160"/>
        <v/>
      </c>
      <c r="AA3806" s="22"/>
      <c r="AB3806" s="197" t="str">
        <f t="shared" si="1164"/>
        <v/>
      </c>
      <c r="AC3806" s="198" t="str">
        <f t="shared" si="1150"/>
        <v/>
      </c>
      <c r="AD3806" s="162"/>
      <c r="AE3806" s="199" t="str">
        <f t="shared" si="1151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62"/>
        <v>0</v>
      </c>
      <c r="AJ3806" s="200">
        <f t="shared" si="1163"/>
        <v>0</v>
      </c>
      <c r="AK3806" s="201" t="str">
        <f t="shared" si="1152"/>
        <v/>
      </c>
      <c r="AL3806" s="24"/>
      <c r="AM3806" s="24"/>
      <c r="AN3806" s="24"/>
      <c r="AO3806" s="24"/>
      <c r="AP3806" s="165" t="str">
        <f t="shared" si="1153"/>
        <v/>
      </c>
      <c r="AQ3806" s="203" t="str">
        <f t="shared" si="1154"/>
        <v/>
      </c>
      <c r="AR3806" s="206">
        <f t="shared" si="1155"/>
        <v>0</v>
      </c>
      <c r="AS3806" s="22" t="str">
        <f t="shared" si="1156"/>
        <v/>
      </c>
      <c r="AT3806" s="24" t="str">
        <f t="shared" si="1157"/>
        <v/>
      </c>
    </row>
    <row r="3807" spans="1:46">
      <c r="A3807" s="33" t="str">
        <f t="shared" si="1148"/>
        <v/>
      </c>
      <c r="B3807" s="23"/>
      <c r="C3807" s="23"/>
      <c r="D3807" s="202" t="str">
        <f t="shared" si="1159"/>
        <v/>
      </c>
      <c r="E3807" s="33" t="str">
        <f t="shared" si="1165"/>
        <v/>
      </c>
      <c r="F3807" s="23"/>
      <c r="G3807" s="23"/>
      <c r="H3807" s="29"/>
      <c r="I3807" s="204" t="str">
        <f t="shared" si="1149"/>
        <v/>
      </c>
      <c r="J3807" s="188"/>
      <c r="K3807" s="29"/>
      <c r="L3807" s="24"/>
      <c r="M3807" s="22"/>
      <c r="N3807" s="22"/>
      <c r="O3807" s="22"/>
      <c r="P3807" s="202" t="str">
        <f t="shared" si="1158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61"/>
        <v/>
      </c>
      <c r="Z3807" s="196" t="str">
        <f t="shared" si="1160"/>
        <v/>
      </c>
      <c r="AA3807" s="22"/>
      <c r="AB3807" s="197" t="str">
        <f t="shared" si="1164"/>
        <v/>
      </c>
      <c r="AC3807" s="198" t="str">
        <f t="shared" si="1150"/>
        <v/>
      </c>
      <c r="AD3807" s="162"/>
      <c r="AE3807" s="199" t="str">
        <f t="shared" si="1151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62"/>
        <v>0</v>
      </c>
      <c r="AJ3807" s="200">
        <f t="shared" si="1163"/>
        <v>0</v>
      </c>
      <c r="AK3807" s="201" t="str">
        <f t="shared" si="1152"/>
        <v/>
      </c>
      <c r="AL3807" s="24"/>
      <c r="AM3807" s="24"/>
      <c r="AN3807" s="24"/>
      <c r="AO3807" s="24"/>
      <c r="AP3807" s="165" t="str">
        <f t="shared" si="1153"/>
        <v/>
      </c>
      <c r="AQ3807" s="203" t="str">
        <f t="shared" si="1154"/>
        <v/>
      </c>
      <c r="AR3807" s="206">
        <f t="shared" si="1155"/>
        <v>0</v>
      </c>
      <c r="AS3807" s="22" t="str">
        <f t="shared" si="1156"/>
        <v/>
      </c>
      <c r="AT3807" s="24" t="str">
        <f t="shared" si="1157"/>
        <v/>
      </c>
    </row>
    <row r="3808" spans="1:46">
      <c r="A3808" s="33" t="str">
        <f t="shared" ref="A3808:A3871" si="1166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9"/>
        <v/>
      </c>
      <c r="E3808" s="33" t="str">
        <f t="shared" si="1165"/>
        <v/>
      </c>
      <c r="F3808" s="23"/>
      <c r="G3808" s="23"/>
      <c r="H3808" s="29"/>
      <c r="I3808" s="204" t="str">
        <f t="shared" ref="I3808:I3871" si="1167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8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61"/>
        <v/>
      </c>
      <c r="Z3808" s="196" t="str">
        <f t="shared" si="1160"/>
        <v/>
      </c>
      <c r="AA3808" s="22"/>
      <c r="AB3808" s="197" t="str">
        <f t="shared" si="1164"/>
        <v/>
      </c>
      <c r="AC3808" s="198" t="str">
        <f t="shared" ref="AC3808:AC3871" si="1168">IF(R3808&lt;&gt;"",AB3808*AD3808,"")</f>
        <v/>
      </c>
      <c r="AD3808" s="162"/>
      <c r="AE3808" s="199" t="str">
        <f t="shared" ref="AE3808:AE3871" si="1169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62"/>
        <v>0</v>
      </c>
      <c r="AJ3808" s="200">
        <f t="shared" si="1163"/>
        <v>0</v>
      </c>
      <c r="AK3808" s="201" t="str">
        <f t="shared" ref="AK3808:AK3871" si="1170">IF(AJ3808&gt;0,AJ3808/AI3808,"")</f>
        <v/>
      </c>
      <c r="AL3808" s="24"/>
      <c r="AM3808" s="24"/>
      <c r="AN3808" s="24"/>
      <c r="AO3808" s="24"/>
      <c r="AP3808" s="165" t="str">
        <f t="shared" ref="AP3808:AP3871" si="1171">IF(F3808="","",F3808&amp;G3808)</f>
        <v/>
      </c>
      <c r="AQ3808" s="203" t="str">
        <f t="shared" ref="AQ3808:AQ3871" si="1172">IF(W3808="","",F3808&amp;G3808&amp;W3808)</f>
        <v/>
      </c>
      <c r="AR3808" s="206">
        <f t="shared" ref="AR3808:AR3871" si="1173">IFERROR(IF(AND(M3808="YAMAHA", R3808="C28"), "YAMAHA_Non_Mounter", IF(AND(M3808="YAMAHA", R3808="C49"), "YAMAHA_Mounter", M3808)),"")</f>
        <v>0</v>
      </c>
      <c r="AS3808" s="22" t="str">
        <f t="shared" ref="AS3808:AS3871" si="1174">IFERROR(IF(OR(G3808="TBA", G3808=""), "", DATEDIF(DATE(B3808, C3808, 1), DATE(F3808, G3808, 1), "M")),"")</f>
        <v/>
      </c>
      <c r="AT3808" s="24" t="str">
        <f t="shared" ref="AT3808:AT3871" si="1175">IF(ISNUMBER(AS3808), IF(AS3808&gt;=0, IF(AS3808&lt;=3, "0-3 months", IF(AS3808&lt;=6, "4-6 months", "&gt; 6 months"))), "")</f>
        <v/>
      </c>
    </row>
    <row r="3809" spans="1:46">
      <c r="A3809" s="33" t="str">
        <f t="shared" si="1166"/>
        <v/>
      </c>
      <c r="B3809" s="23"/>
      <c r="C3809" s="23"/>
      <c r="D3809" s="202" t="str">
        <f t="shared" si="1159"/>
        <v/>
      </c>
      <c r="E3809" s="33" t="str">
        <f t="shared" si="1165"/>
        <v/>
      </c>
      <c r="F3809" s="23"/>
      <c r="G3809" s="23"/>
      <c r="H3809" s="29"/>
      <c r="I3809" s="204" t="str">
        <f t="shared" si="1167"/>
        <v/>
      </c>
      <c r="J3809" s="188"/>
      <c r="K3809" s="29"/>
      <c r="L3809" s="24"/>
      <c r="M3809" s="22"/>
      <c r="N3809" s="22"/>
      <c r="O3809" s="22"/>
      <c r="P3809" s="202" t="str">
        <f t="shared" ref="P3809:P3872" si="1176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61"/>
        <v/>
      </c>
      <c r="Z3809" s="196" t="str">
        <f t="shared" si="1160"/>
        <v/>
      </c>
      <c r="AA3809" s="22"/>
      <c r="AB3809" s="197" t="str">
        <f t="shared" si="1164"/>
        <v/>
      </c>
      <c r="AC3809" s="198" t="str">
        <f t="shared" si="1168"/>
        <v/>
      </c>
      <c r="AD3809" s="162"/>
      <c r="AE3809" s="199" t="str">
        <f t="shared" si="1169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62"/>
        <v>0</v>
      </c>
      <c r="AJ3809" s="200">
        <f t="shared" si="1163"/>
        <v>0</v>
      </c>
      <c r="AK3809" s="201" t="str">
        <f t="shared" si="1170"/>
        <v/>
      </c>
      <c r="AL3809" s="24"/>
      <c r="AM3809" s="24"/>
      <c r="AN3809" s="24"/>
      <c r="AO3809" s="24"/>
      <c r="AP3809" s="165" t="str">
        <f t="shared" si="1171"/>
        <v/>
      </c>
      <c r="AQ3809" s="203" t="str">
        <f t="shared" si="1172"/>
        <v/>
      </c>
      <c r="AR3809" s="206">
        <f t="shared" si="1173"/>
        <v>0</v>
      </c>
      <c r="AS3809" s="22" t="str">
        <f t="shared" si="1174"/>
        <v/>
      </c>
      <c r="AT3809" s="24" t="str">
        <f t="shared" si="1175"/>
        <v/>
      </c>
    </row>
    <row r="3810" spans="1:46">
      <c r="A3810" s="33" t="str">
        <f t="shared" si="1166"/>
        <v/>
      </c>
      <c r="B3810" s="23"/>
      <c r="C3810" s="23"/>
      <c r="D3810" s="202" t="str">
        <f t="shared" si="1159"/>
        <v/>
      </c>
      <c r="E3810" s="33" t="str">
        <f t="shared" si="1165"/>
        <v/>
      </c>
      <c r="F3810" s="23"/>
      <c r="G3810" s="23"/>
      <c r="H3810" s="29"/>
      <c r="I3810" s="204" t="str">
        <f t="shared" si="1167"/>
        <v/>
      </c>
      <c r="J3810" s="188"/>
      <c r="K3810" s="29"/>
      <c r="L3810" s="24"/>
      <c r="M3810" s="22"/>
      <c r="N3810" s="22"/>
      <c r="O3810" s="22"/>
      <c r="P3810" s="202" t="str">
        <f t="shared" si="1176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61"/>
        <v/>
      </c>
      <c r="Z3810" s="196" t="str">
        <f t="shared" si="1160"/>
        <v/>
      </c>
      <c r="AA3810" s="22"/>
      <c r="AB3810" s="197" t="str">
        <f t="shared" si="1164"/>
        <v/>
      </c>
      <c r="AC3810" s="198" t="str">
        <f t="shared" si="1168"/>
        <v/>
      </c>
      <c r="AD3810" s="162"/>
      <c r="AE3810" s="199" t="str">
        <f t="shared" si="1169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62"/>
        <v>0</v>
      </c>
      <c r="AJ3810" s="200">
        <f t="shared" si="1163"/>
        <v>0</v>
      </c>
      <c r="AK3810" s="201" t="str">
        <f t="shared" si="1170"/>
        <v/>
      </c>
      <c r="AL3810" s="24"/>
      <c r="AM3810" s="24"/>
      <c r="AN3810" s="24"/>
      <c r="AO3810" s="24"/>
      <c r="AP3810" s="165" t="str">
        <f t="shared" si="1171"/>
        <v/>
      </c>
      <c r="AQ3810" s="203" t="str">
        <f t="shared" si="1172"/>
        <v/>
      </c>
      <c r="AR3810" s="206">
        <f t="shared" si="1173"/>
        <v>0</v>
      </c>
      <c r="AS3810" s="22" t="str">
        <f t="shared" si="1174"/>
        <v/>
      </c>
      <c r="AT3810" s="24" t="str">
        <f t="shared" si="1175"/>
        <v/>
      </c>
    </row>
    <row r="3811" spans="1:46">
      <c r="A3811" s="33" t="str">
        <f t="shared" si="1166"/>
        <v/>
      </c>
      <c r="B3811" s="23"/>
      <c r="C3811" s="23"/>
      <c r="D3811" s="202" t="str">
        <f t="shared" si="1159"/>
        <v/>
      </c>
      <c r="E3811" s="33" t="str">
        <f t="shared" si="1165"/>
        <v/>
      </c>
      <c r="F3811" s="23"/>
      <c r="G3811" s="23"/>
      <c r="H3811" s="29"/>
      <c r="I3811" s="204" t="str">
        <f t="shared" si="1167"/>
        <v/>
      </c>
      <c r="J3811" s="188"/>
      <c r="K3811" s="29"/>
      <c r="L3811" s="24"/>
      <c r="M3811" s="22"/>
      <c r="N3811" s="22"/>
      <c r="O3811" s="22"/>
      <c r="P3811" s="202" t="str">
        <f t="shared" si="1176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61"/>
        <v/>
      </c>
      <c r="Z3811" s="196" t="str">
        <f t="shared" si="1160"/>
        <v/>
      </c>
      <c r="AA3811" s="22"/>
      <c r="AB3811" s="197" t="str">
        <f t="shared" si="1164"/>
        <v/>
      </c>
      <c r="AC3811" s="198" t="str">
        <f t="shared" si="1168"/>
        <v/>
      </c>
      <c r="AD3811" s="162"/>
      <c r="AE3811" s="199" t="str">
        <f t="shared" si="1169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62"/>
        <v>0</v>
      </c>
      <c r="AJ3811" s="200">
        <f t="shared" si="1163"/>
        <v>0</v>
      </c>
      <c r="AK3811" s="201" t="str">
        <f t="shared" si="1170"/>
        <v/>
      </c>
      <c r="AL3811" s="24"/>
      <c r="AM3811" s="24"/>
      <c r="AN3811" s="24"/>
      <c r="AO3811" s="24"/>
      <c r="AP3811" s="165" t="str">
        <f t="shared" si="1171"/>
        <v/>
      </c>
      <c r="AQ3811" s="203" t="str">
        <f t="shared" si="1172"/>
        <v/>
      </c>
      <c r="AR3811" s="206">
        <f t="shared" si="1173"/>
        <v>0</v>
      </c>
      <c r="AS3811" s="22" t="str">
        <f t="shared" si="1174"/>
        <v/>
      </c>
      <c r="AT3811" s="24" t="str">
        <f t="shared" si="1175"/>
        <v/>
      </c>
    </row>
    <row r="3812" spans="1:46">
      <c r="A3812" s="33" t="str">
        <f t="shared" si="1166"/>
        <v/>
      </c>
      <c r="B3812" s="23"/>
      <c r="C3812" s="23"/>
      <c r="D3812" s="202" t="str">
        <f t="shared" si="1159"/>
        <v/>
      </c>
      <c r="E3812" s="33" t="str">
        <f t="shared" si="1165"/>
        <v/>
      </c>
      <c r="F3812" s="23"/>
      <c r="G3812" s="23"/>
      <c r="H3812" s="29"/>
      <c r="I3812" s="204" t="str">
        <f t="shared" si="1167"/>
        <v/>
      </c>
      <c r="J3812" s="188"/>
      <c r="K3812" s="29"/>
      <c r="L3812" s="24"/>
      <c r="M3812" s="22"/>
      <c r="N3812" s="22"/>
      <c r="O3812" s="22"/>
      <c r="P3812" s="202" t="str">
        <f t="shared" si="1176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61"/>
        <v/>
      </c>
      <c r="Z3812" s="196" t="str">
        <f t="shared" si="1160"/>
        <v/>
      </c>
      <c r="AA3812" s="22"/>
      <c r="AB3812" s="197" t="str">
        <f t="shared" si="1164"/>
        <v/>
      </c>
      <c r="AC3812" s="198" t="str">
        <f t="shared" si="1168"/>
        <v/>
      </c>
      <c r="AD3812" s="162"/>
      <c r="AE3812" s="199" t="str">
        <f t="shared" si="1169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62"/>
        <v>0</v>
      </c>
      <c r="AJ3812" s="200">
        <f t="shared" si="1163"/>
        <v>0</v>
      </c>
      <c r="AK3812" s="201" t="str">
        <f t="shared" si="1170"/>
        <v/>
      </c>
      <c r="AL3812" s="24"/>
      <c r="AM3812" s="24"/>
      <c r="AN3812" s="24"/>
      <c r="AO3812" s="24"/>
      <c r="AP3812" s="165" t="str">
        <f t="shared" si="1171"/>
        <v/>
      </c>
      <c r="AQ3812" s="203" t="str">
        <f t="shared" si="1172"/>
        <v/>
      </c>
      <c r="AR3812" s="206">
        <f t="shared" si="1173"/>
        <v>0</v>
      </c>
      <c r="AS3812" s="22" t="str">
        <f t="shared" si="1174"/>
        <v/>
      </c>
      <c r="AT3812" s="24" t="str">
        <f t="shared" si="1175"/>
        <v/>
      </c>
    </row>
    <row r="3813" spans="1:46">
      <c r="A3813" s="33" t="str">
        <f t="shared" si="1166"/>
        <v/>
      </c>
      <c r="B3813" s="23"/>
      <c r="C3813" s="23"/>
      <c r="D3813" s="202" t="str">
        <f t="shared" si="1159"/>
        <v/>
      </c>
      <c r="E3813" s="33" t="str">
        <f t="shared" si="1165"/>
        <v/>
      </c>
      <c r="F3813" s="23"/>
      <c r="G3813" s="23"/>
      <c r="H3813" s="29"/>
      <c r="I3813" s="204" t="str">
        <f t="shared" si="1167"/>
        <v/>
      </c>
      <c r="J3813" s="188"/>
      <c r="K3813" s="29"/>
      <c r="L3813" s="24"/>
      <c r="M3813" s="22"/>
      <c r="N3813" s="22"/>
      <c r="O3813" s="22"/>
      <c r="P3813" s="202" t="str">
        <f t="shared" si="1176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61"/>
        <v/>
      </c>
      <c r="Z3813" s="196" t="str">
        <f t="shared" si="1160"/>
        <v/>
      </c>
      <c r="AA3813" s="22"/>
      <c r="AB3813" s="197" t="str">
        <f t="shared" si="1164"/>
        <v/>
      </c>
      <c r="AC3813" s="198" t="str">
        <f t="shared" si="1168"/>
        <v/>
      </c>
      <c r="AD3813" s="162"/>
      <c r="AE3813" s="199" t="str">
        <f t="shared" si="1169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62"/>
        <v>0</v>
      </c>
      <c r="AJ3813" s="200">
        <f t="shared" si="1163"/>
        <v>0</v>
      </c>
      <c r="AK3813" s="201" t="str">
        <f t="shared" si="1170"/>
        <v/>
      </c>
      <c r="AL3813" s="24"/>
      <c r="AM3813" s="24"/>
      <c r="AN3813" s="24"/>
      <c r="AO3813" s="24"/>
      <c r="AP3813" s="165" t="str">
        <f t="shared" si="1171"/>
        <v/>
      </c>
      <c r="AQ3813" s="203" t="str">
        <f t="shared" si="1172"/>
        <v/>
      </c>
      <c r="AR3813" s="206">
        <f t="shared" si="1173"/>
        <v>0</v>
      </c>
      <c r="AS3813" s="22" t="str">
        <f t="shared" si="1174"/>
        <v/>
      </c>
      <c r="AT3813" s="24" t="str">
        <f t="shared" si="1175"/>
        <v/>
      </c>
    </row>
    <row r="3814" spans="1:46">
      <c r="A3814" s="33" t="str">
        <f t="shared" si="1166"/>
        <v/>
      </c>
      <c r="B3814" s="23"/>
      <c r="C3814" s="23"/>
      <c r="D3814" s="202" t="str">
        <f t="shared" si="1159"/>
        <v/>
      </c>
      <c r="E3814" s="33" t="str">
        <f t="shared" si="1165"/>
        <v/>
      </c>
      <c r="F3814" s="23"/>
      <c r="G3814" s="23"/>
      <c r="H3814" s="29"/>
      <c r="I3814" s="204" t="str">
        <f t="shared" si="1167"/>
        <v/>
      </c>
      <c r="J3814" s="188"/>
      <c r="K3814" s="29"/>
      <c r="L3814" s="24"/>
      <c r="M3814" s="22"/>
      <c r="N3814" s="22"/>
      <c r="O3814" s="22"/>
      <c r="P3814" s="202" t="str">
        <f t="shared" si="1176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61"/>
        <v/>
      </c>
      <c r="Z3814" s="196" t="str">
        <f t="shared" si="1160"/>
        <v/>
      </c>
      <c r="AA3814" s="22"/>
      <c r="AB3814" s="197" t="str">
        <f t="shared" si="1164"/>
        <v/>
      </c>
      <c r="AC3814" s="198" t="str">
        <f t="shared" si="1168"/>
        <v/>
      </c>
      <c r="AD3814" s="162"/>
      <c r="AE3814" s="199" t="str">
        <f t="shared" si="1169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62"/>
        <v>0</v>
      </c>
      <c r="AJ3814" s="200">
        <f t="shared" si="1163"/>
        <v>0</v>
      </c>
      <c r="AK3814" s="201" t="str">
        <f t="shared" si="1170"/>
        <v/>
      </c>
      <c r="AL3814" s="24"/>
      <c r="AM3814" s="24"/>
      <c r="AN3814" s="24"/>
      <c r="AO3814" s="24"/>
      <c r="AP3814" s="165" t="str">
        <f t="shared" si="1171"/>
        <v/>
      </c>
      <c r="AQ3814" s="203" t="str">
        <f t="shared" si="1172"/>
        <v/>
      </c>
      <c r="AR3814" s="206">
        <f t="shared" si="1173"/>
        <v>0</v>
      </c>
      <c r="AS3814" s="22" t="str">
        <f t="shared" si="1174"/>
        <v/>
      </c>
      <c r="AT3814" s="24" t="str">
        <f t="shared" si="1175"/>
        <v/>
      </c>
    </row>
    <row r="3815" spans="1:46">
      <c r="A3815" s="33" t="str">
        <f t="shared" si="1166"/>
        <v/>
      </c>
      <c r="B3815" s="23"/>
      <c r="C3815" s="23"/>
      <c r="D3815" s="202" t="str">
        <f t="shared" si="1159"/>
        <v/>
      </c>
      <c r="E3815" s="33" t="str">
        <f t="shared" si="1165"/>
        <v/>
      </c>
      <c r="F3815" s="23"/>
      <c r="G3815" s="23"/>
      <c r="H3815" s="29"/>
      <c r="I3815" s="204" t="str">
        <f t="shared" si="1167"/>
        <v/>
      </c>
      <c r="J3815" s="188"/>
      <c r="K3815" s="29"/>
      <c r="L3815" s="24"/>
      <c r="M3815" s="22"/>
      <c r="N3815" s="22"/>
      <c r="O3815" s="22"/>
      <c r="P3815" s="202" t="str">
        <f t="shared" si="1176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61"/>
        <v/>
      </c>
      <c r="Z3815" s="196" t="str">
        <f t="shared" si="1160"/>
        <v/>
      </c>
      <c r="AA3815" s="22"/>
      <c r="AB3815" s="197" t="str">
        <f t="shared" si="1164"/>
        <v/>
      </c>
      <c r="AC3815" s="198" t="str">
        <f t="shared" si="1168"/>
        <v/>
      </c>
      <c r="AD3815" s="162"/>
      <c r="AE3815" s="199" t="str">
        <f t="shared" si="1169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62"/>
        <v>0</v>
      </c>
      <c r="AJ3815" s="200">
        <f t="shared" si="1163"/>
        <v>0</v>
      </c>
      <c r="AK3815" s="201" t="str">
        <f t="shared" si="1170"/>
        <v/>
      </c>
      <c r="AL3815" s="24"/>
      <c r="AM3815" s="24"/>
      <c r="AN3815" s="24"/>
      <c r="AO3815" s="24"/>
      <c r="AP3815" s="165" t="str">
        <f t="shared" si="1171"/>
        <v/>
      </c>
      <c r="AQ3815" s="203" t="str">
        <f t="shared" si="1172"/>
        <v/>
      </c>
      <c r="AR3815" s="206">
        <f t="shared" si="1173"/>
        <v>0</v>
      </c>
      <c r="AS3815" s="22" t="str">
        <f t="shared" si="1174"/>
        <v/>
      </c>
      <c r="AT3815" s="24" t="str">
        <f t="shared" si="1175"/>
        <v/>
      </c>
    </row>
    <row r="3816" spans="1:46">
      <c r="A3816" s="33" t="str">
        <f t="shared" si="1166"/>
        <v/>
      </c>
      <c r="B3816" s="23"/>
      <c r="C3816" s="23"/>
      <c r="D3816" s="202" t="str">
        <f t="shared" si="1159"/>
        <v/>
      </c>
      <c r="E3816" s="33" t="str">
        <f t="shared" si="1165"/>
        <v/>
      </c>
      <c r="F3816" s="23"/>
      <c r="G3816" s="23"/>
      <c r="H3816" s="29"/>
      <c r="I3816" s="204" t="str">
        <f t="shared" si="1167"/>
        <v/>
      </c>
      <c r="J3816" s="188"/>
      <c r="K3816" s="29"/>
      <c r="L3816" s="24"/>
      <c r="M3816" s="22"/>
      <c r="N3816" s="22"/>
      <c r="O3816" s="22"/>
      <c r="P3816" s="202" t="str">
        <f t="shared" si="1176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61"/>
        <v/>
      </c>
      <c r="Z3816" s="196" t="str">
        <f t="shared" si="1160"/>
        <v/>
      </c>
      <c r="AA3816" s="22"/>
      <c r="AB3816" s="197" t="str">
        <f t="shared" si="1164"/>
        <v/>
      </c>
      <c r="AC3816" s="198" t="str">
        <f t="shared" si="1168"/>
        <v/>
      </c>
      <c r="AD3816" s="162"/>
      <c r="AE3816" s="199" t="str">
        <f t="shared" si="1169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62"/>
        <v>0</v>
      </c>
      <c r="AJ3816" s="200">
        <f t="shared" si="1163"/>
        <v>0</v>
      </c>
      <c r="AK3816" s="201" t="str">
        <f t="shared" si="1170"/>
        <v/>
      </c>
      <c r="AL3816" s="24"/>
      <c r="AM3816" s="24"/>
      <c r="AN3816" s="24"/>
      <c r="AO3816" s="24"/>
      <c r="AP3816" s="165" t="str">
        <f t="shared" si="1171"/>
        <v/>
      </c>
      <c r="AQ3816" s="203" t="str">
        <f t="shared" si="1172"/>
        <v/>
      </c>
      <c r="AR3816" s="206">
        <f t="shared" si="1173"/>
        <v>0</v>
      </c>
      <c r="AS3816" s="22" t="str">
        <f t="shared" si="1174"/>
        <v/>
      </c>
      <c r="AT3816" s="24" t="str">
        <f t="shared" si="1175"/>
        <v/>
      </c>
    </row>
    <row r="3817" spans="1:46">
      <c r="A3817" s="33" t="str">
        <f t="shared" si="1166"/>
        <v/>
      </c>
      <c r="B3817" s="23"/>
      <c r="C3817" s="23"/>
      <c r="D3817" s="202" t="str">
        <f t="shared" si="1159"/>
        <v/>
      </c>
      <c r="E3817" s="33" t="str">
        <f t="shared" si="1165"/>
        <v/>
      </c>
      <c r="F3817" s="23"/>
      <c r="G3817" s="23"/>
      <c r="H3817" s="29"/>
      <c r="I3817" s="204" t="str">
        <f t="shared" si="1167"/>
        <v/>
      </c>
      <c r="J3817" s="188"/>
      <c r="K3817" s="29"/>
      <c r="L3817" s="24"/>
      <c r="M3817" s="22"/>
      <c r="N3817" s="22"/>
      <c r="O3817" s="22"/>
      <c r="P3817" s="202" t="str">
        <f t="shared" si="1176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61"/>
        <v/>
      </c>
      <c r="Z3817" s="196" t="str">
        <f t="shared" si="1160"/>
        <v/>
      </c>
      <c r="AA3817" s="22"/>
      <c r="AB3817" s="197" t="str">
        <f t="shared" si="1164"/>
        <v/>
      </c>
      <c r="AC3817" s="198" t="str">
        <f t="shared" si="1168"/>
        <v/>
      </c>
      <c r="AD3817" s="162"/>
      <c r="AE3817" s="199" t="str">
        <f t="shared" si="1169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62"/>
        <v>0</v>
      </c>
      <c r="AJ3817" s="200">
        <f t="shared" si="1163"/>
        <v>0</v>
      </c>
      <c r="AK3817" s="201" t="str">
        <f t="shared" si="1170"/>
        <v/>
      </c>
      <c r="AL3817" s="24"/>
      <c r="AM3817" s="24"/>
      <c r="AN3817" s="24"/>
      <c r="AO3817" s="24"/>
      <c r="AP3817" s="165" t="str">
        <f t="shared" si="1171"/>
        <v/>
      </c>
      <c r="AQ3817" s="203" t="str">
        <f t="shared" si="1172"/>
        <v/>
      </c>
      <c r="AR3817" s="206">
        <f t="shared" si="1173"/>
        <v>0</v>
      </c>
      <c r="AS3817" s="22" t="str">
        <f t="shared" si="1174"/>
        <v/>
      </c>
      <c r="AT3817" s="24" t="str">
        <f t="shared" si="1175"/>
        <v/>
      </c>
    </row>
    <row r="3818" spans="1:46">
      <c r="A3818" s="33" t="str">
        <f t="shared" si="1166"/>
        <v/>
      </c>
      <c r="B3818" s="23"/>
      <c r="C3818" s="23"/>
      <c r="D3818" s="202" t="str">
        <f t="shared" si="1159"/>
        <v/>
      </c>
      <c r="E3818" s="33" t="str">
        <f t="shared" si="1165"/>
        <v/>
      </c>
      <c r="F3818" s="23"/>
      <c r="G3818" s="23"/>
      <c r="H3818" s="29"/>
      <c r="I3818" s="204" t="str">
        <f t="shared" si="1167"/>
        <v/>
      </c>
      <c r="J3818" s="188"/>
      <c r="K3818" s="29"/>
      <c r="L3818" s="24"/>
      <c r="M3818" s="22"/>
      <c r="N3818" s="22"/>
      <c r="O3818" s="22"/>
      <c r="P3818" s="202" t="str">
        <f t="shared" si="1176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61"/>
        <v/>
      </c>
      <c r="Z3818" s="196" t="str">
        <f t="shared" si="1160"/>
        <v/>
      </c>
      <c r="AA3818" s="22"/>
      <c r="AB3818" s="197" t="str">
        <f t="shared" si="1164"/>
        <v/>
      </c>
      <c r="AC3818" s="198" t="str">
        <f t="shared" si="1168"/>
        <v/>
      </c>
      <c r="AD3818" s="162"/>
      <c r="AE3818" s="199" t="str">
        <f t="shared" si="1169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62"/>
        <v>0</v>
      </c>
      <c r="AJ3818" s="200">
        <f t="shared" si="1163"/>
        <v>0</v>
      </c>
      <c r="AK3818" s="201" t="str">
        <f t="shared" si="1170"/>
        <v/>
      </c>
      <c r="AL3818" s="24"/>
      <c r="AM3818" s="24"/>
      <c r="AN3818" s="24"/>
      <c r="AO3818" s="24"/>
      <c r="AP3818" s="165" t="str">
        <f t="shared" si="1171"/>
        <v/>
      </c>
      <c r="AQ3818" s="203" t="str">
        <f t="shared" si="1172"/>
        <v/>
      </c>
      <c r="AR3818" s="206">
        <f t="shared" si="1173"/>
        <v>0</v>
      </c>
      <c r="AS3818" s="22" t="str">
        <f t="shared" si="1174"/>
        <v/>
      </c>
      <c r="AT3818" s="24" t="str">
        <f t="shared" si="1175"/>
        <v/>
      </c>
    </row>
    <row r="3819" spans="1:46">
      <c r="A3819" s="33" t="str">
        <f t="shared" si="1166"/>
        <v/>
      </c>
      <c r="B3819" s="23"/>
      <c r="C3819" s="23"/>
      <c r="D3819" s="202" t="str">
        <f t="shared" si="1159"/>
        <v/>
      </c>
      <c r="E3819" s="33" t="str">
        <f t="shared" si="1165"/>
        <v/>
      </c>
      <c r="F3819" s="23"/>
      <c r="G3819" s="23"/>
      <c r="H3819" s="29"/>
      <c r="I3819" s="204" t="str">
        <f t="shared" si="1167"/>
        <v/>
      </c>
      <c r="J3819" s="188"/>
      <c r="K3819" s="29"/>
      <c r="L3819" s="24"/>
      <c r="M3819" s="22"/>
      <c r="N3819" s="22"/>
      <c r="O3819" s="22"/>
      <c r="P3819" s="202" t="str">
        <f t="shared" si="1176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61"/>
        <v/>
      </c>
      <c r="Z3819" s="196" t="str">
        <f t="shared" si="1160"/>
        <v/>
      </c>
      <c r="AA3819" s="22"/>
      <c r="AB3819" s="197" t="str">
        <f t="shared" si="1164"/>
        <v/>
      </c>
      <c r="AC3819" s="198" t="str">
        <f t="shared" si="1168"/>
        <v/>
      </c>
      <c r="AD3819" s="162"/>
      <c r="AE3819" s="199" t="str">
        <f t="shared" si="1169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62"/>
        <v>0</v>
      </c>
      <c r="AJ3819" s="200">
        <f t="shared" si="1163"/>
        <v>0</v>
      </c>
      <c r="AK3819" s="201" t="str">
        <f t="shared" si="1170"/>
        <v/>
      </c>
      <c r="AL3819" s="24"/>
      <c r="AM3819" s="24"/>
      <c r="AN3819" s="24"/>
      <c r="AO3819" s="24"/>
      <c r="AP3819" s="165" t="str">
        <f t="shared" si="1171"/>
        <v/>
      </c>
      <c r="AQ3819" s="203" t="str">
        <f t="shared" si="1172"/>
        <v/>
      </c>
      <c r="AR3819" s="206">
        <f t="shared" si="1173"/>
        <v>0</v>
      </c>
      <c r="AS3819" s="22" t="str">
        <f t="shared" si="1174"/>
        <v/>
      </c>
      <c r="AT3819" s="24" t="str">
        <f t="shared" si="1175"/>
        <v/>
      </c>
    </row>
    <row r="3820" spans="1:46">
      <c r="A3820" s="33" t="str">
        <f t="shared" si="1166"/>
        <v/>
      </c>
      <c r="B3820" s="23"/>
      <c r="C3820" s="23"/>
      <c r="D3820" s="202" t="str">
        <f t="shared" si="1159"/>
        <v/>
      </c>
      <c r="E3820" s="33" t="str">
        <f t="shared" si="1165"/>
        <v/>
      </c>
      <c r="F3820" s="23"/>
      <c r="G3820" s="23"/>
      <c r="H3820" s="29"/>
      <c r="I3820" s="204" t="str">
        <f t="shared" si="1167"/>
        <v/>
      </c>
      <c r="J3820" s="188"/>
      <c r="K3820" s="29"/>
      <c r="L3820" s="24"/>
      <c r="M3820" s="22"/>
      <c r="N3820" s="22"/>
      <c r="O3820" s="22"/>
      <c r="P3820" s="202" t="str">
        <f t="shared" si="1176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61"/>
        <v/>
      </c>
      <c r="Z3820" s="196" t="str">
        <f t="shared" si="1160"/>
        <v/>
      </c>
      <c r="AA3820" s="22"/>
      <c r="AB3820" s="197" t="str">
        <f t="shared" si="1164"/>
        <v/>
      </c>
      <c r="AC3820" s="198" t="str">
        <f t="shared" si="1168"/>
        <v/>
      </c>
      <c r="AD3820" s="162"/>
      <c r="AE3820" s="199" t="str">
        <f t="shared" si="1169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62"/>
        <v>0</v>
      </c>
      <c r="AJ3820" s="200">
        <f t="shared" si="1163"/>
        <v>0</v>
      </c>
      <c r="AK3820" s="201" t="str">
        <f t="shared" si="1170"/>
        <v/>
      </c>
      <c r="AL3820" s="24"/>
      <c r="AM3820" s="24"/>
      <c r="AN3820" s="24"/>
      <c r="AO3820" s="24"/>
      <c r="AP3820" s="165" t="str">
        <f t="shared" si="1171"/>
        <v/>
      </c>
      <c r="AQ3820" s="203" t="str">
        <f t="shared" si="1172"/>
        <v/>
      </c>
      <c r="AR3820" s="206">
        <f t="shared" si="1173"/>
        <v>0</v>
      </c>
      <c r="AS3820" s="22" t="str">
        <f t="shared" si="1174"/>
        <v/>
      </c>
      <c r="AT3820" s="24" t="str">
        <f t="shared" si="1175"/>
        <v/>
      </c>
    </row>
    <row r="3821" spans="1:46">
      <c r="A3821" s="33" t="str">
        <f t="shared" si="1166"/>
        <v/>
      </c>
      <c r="B3821" s="23"/>
      <c r="C3821" s="23"/>
      <c r="D3821" s="202" t="str">
        <f t="shared" si="1159"/>
        <v/>
      </c>
      <c r="E3821" s="33" t="str">
        <f t="shared" si="1165"/>
        <v/>
      </c>
      <c r="F3821" s="23"/>
      <c r="G3821" s="23"/>
      <c r="H3821" s="29"/>
      <c r="I3821" s="204" t="str">
        <f t="shared" si="1167"/>
        <v/>
      </c>
      <c r="J3821" s="188"/>
      <c r="K3821" s="29"/>
      <c r="L3821" s="24"/>
      <c r="M3821" s="22"/>
      <c r="N3821" s="22"/>
      <c r="O3821" s="22"/>
      <c r="P3821" s="202" t="str">
        <f t="shared" si="1176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61"/>
        <v/>
      </c>
      <c r="Z3821" s="196" t="str">
        <f t="shared" si="1160"/>
        <v/>
      </c>
      <c r="AA3821" s="22"/>
      <c r="AB3821" s="197" t="str">
        <f t="shared" si="1164"/>
        <v/>
      </c>
      <c r="AC3821" s="198" t="str">
        <f t="shared" si="1168"/>
        <v/>
      </c>
      <c r="AD3821" s="162"/>
      <c r="AE3821" s="199" t="str">
        <f t="shared" si="1169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62"/>
        <v>0</v>
      </c>
      <c r="AJ3821" s="200">
        <f t="shared" si="1163"/>
        <v>0</v>
      </c>
      <c r="AK3821" s="201" t="str">
        <f t="shared" si="1170"/>
        <v/>
      </c>
      <c r="AL3821" s="24"/>
      <c r="AM3821" s="24"/>
      <c r="AN3821" s="24"/>
      <c r="AO3821" s="24"/>
      <c r="AP3821" s="165" t="str">
        <f t="shared" si="1171"/>
        <v/>
      </c>
      <c r="AQ3821" s="203" t="str">
        <f t="shared" si="1172"/>
        <v/>
      </c>
      <c r="AR3821" s="206">
        <f t="shared" si="1173"/>
        <v>0</v>
      </c>
      <c r="AS3821" s="22" t="str">
        <f t="shared" si="1174"/>
        <v/>
      </c>
      <c r="AT3821" s="24" t="str">
        <f t="shared" si="1175"/>
        <v/>
      </c>
    </row>
    <row r="3822" spans="1:46">
      <c r="A3822" s="33" t="str">
        <f t="shared" si="1166"/>
        <v/>
      </c>
      <c r="B3822" s="23"/>
      <c r="C3822" s="23"/>
      <c r="D3822" s="202" t="str">
        <f t="shared" si="1159"/>
        <v/>
      </c>
      <c r="E3822" s="33" t="str">
        <f t="shared" si="1165"/>
        <v/>
      </c>
      <c r="F3822" s="23"/>
      <c r="G3822" s="23"/>
      <c r="H3822" s="29"/>
      <c r="I3822" s="204" t="str">
        <f t="shared" si="1167"/>
        <v/>
      </c>
      <c r="J3822" s="188"/>
      <c r="K3822" s="29"/>
      <c r="L3822" s="24"/>
      <c r="M3822" s="22"/>
      <c r="N3822" s="22"/>
      <c r="O3822" s="22"/>
      <c r="P3822" s="202" t="str">
        <f t="shared" si="1176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61"/>
        <v/>
      </c>
      <c r="Z3822" s="196" t="str">
        <f t="shared" si="1160"/>
        <v/>
      </c>
      <c r="AA3822" s="22"/>
      <c r="AB3822" s="197" t="str">
        <f t="shared" si="1164"/>
        <v/>
      </c>
      <c r="AC3822" s="198" t="str">
        <f t="shared" si="1168"/>
        <v/>
      </c>
      <c r="AD3822" s="162"/>
      <c r="AE3822" s="199" t="str">
        <f t="shared" si="1169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62"/>
        <v>0</v>
      </c>
      <c r="AJ3822" s="200">
        <f t="shared" si="1163"/>
        <v>0</v>
      </c>
      <c r="AK3822" s="201" t="str">
        <f t="shared" si="1170"/>
        <v/>
      </c>
      <c r="AL3822" s="24"/>
      <c r="AM3822" s="24"/>
      <c r="AN3822" s="24"/>
      <c r="AO3822" s="24"/>
      <c r="AP3822" s="165" t="str">
        <f t="shared" si="1171"/>
        <v/>
      </c>
      <c r="AQ3822" s="203" t="str">
        <f t="shared" si="1172"/>
        <v/>
      </c>
      <c r="AR3822" s="206">
        <f t="shared" si="1173"/>
        <v>0</v>
      </c>
      <c r="AS3822" s="22" t="str">
        <f t="shared" si="1174"/>
        <v/>
      </c>
      <c r="AT3822" s="24" t="str">
        <f t="shared" si="1175"/>
        <v/>
      </c>
    </row>
    <row r="3823" spans="1:46">
      <c r="A3823" s="33" t="str">
        <f t="shared" si="1166"/>
        <v/>
      </c>
      <c r="B3823" s="23"/>
      <c r="C3823" s="23"/>
      <c r="D3823" s="202" t="str">
        <f t="shared" si="1159"/>
        <v/>
      </c>
      <c r="E3823" s="33" t="str">
        <f t="shared" si="1165"/>
        <v/>
      </c>
      <c r="F3823" s="23"/>
      <c r="G3823" s="23"/>
      <c r="H3823" s="29"/>
      <c r="I3823" s="204" t="str">
        <f t="shared" si="1167"/>
        <v/>
      </c>
      <c r="J3823" s="188"/>
      <c r="K3823" s="29"/>
      <c r="L3823" s="24"/>
      <c r="M3823" s="22"/>
      <c r="N3823" s="22"/>
      <c r="O3823" s="22"/>
      <c r="P3823" s="202" t="str">
        <f t="shared" si="1176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61"/>
        <v/>
      </c>
      <c r="Z3823" s="196" t="str">
        <f t="shared" si="1160"/>
        <v/>
      </c>
      <c r="AA3823" s="22"/>
      <c r="AB3823" s="197" t="str">
        <f t="shared" si="1164"/>
        <v/>
      </c>
      <c r="AC3823" s="198" t="str">
        <f t="shared" si="1168"/>
        <v/>
      </c>
      <c r="AD3823" s="162"/>
      <c r="AE3823" s="199" t="str">
        <f t="shared" si="1169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62"/>
        <v>0</v>
      </c>
      <c r="AJ3823" s="200">
        <f t="shared" si="1163"/>
        <v>0</v>
      </c>
      <c r="AK3823" s="201" t="str">
        <f t="shared" si="1170"/>
        <v/>
      </c>
      <c r="AL3823" s="24"/>
      <c r="AM3823" s="24"/>
      <c r="AN3823" s="24"/>
      <c r="AO3823" s="24"/>
      <c r="AP3823" s="165" t="str">
        <f t="shared" si="1171"/>
        <v/>
      </c>
      <c r="AQ3823" s="203" t="str">
        <f t="shared" si="1172"/>
        <v/>
      </c>
      <c r="AR3823" s="206">
        <f t="shared" si="1173"/>
        <v>0</v>
      </c>
      <c r="AS3823" s="22" t="str">
        <f t="shared" si="1174"/>
        <v/>
      </c>
      <c r="AT3823" s="24" t="str">
        <f t="shared" si="1175"/>
        <v/>
      </c>
    </row>
    <row r="3824" spans="1:46">
      <c r="A3824" s="33" t="str">
        <f t="shared" si="1166"/>
        <v/>
      </c>
      <c r="B3824" s="23"/>
      <c r="C3824" s="23"/>
      <c r="D3824" s="202" t="str">
        <f t="shared" si="1159"/>
        <v/>
      </c>
      <c r="E3824" s="33" t="str">
        <f t="shared" si="1165"/>
        <v/>
      </c>
      <c r="F3824" s="23"/>
      <c r="G3824" s="23"/>
      <c r="H3824" s="29"/>
      <c r="I3824" s="204" t="str">
        <f t="shared" si="1167"/>
        <v/>
      </c>
      <c r="J3824" s="188"/>
      <c r="K3824" s="29"/>
      <c r="L3824" s="24"/>
      <c r="M3824" s="22"/>
      <c r="N3824" s="22"/>
      <c r="O3824" s="22"/>
      <c r="P3824" s="202" t="str">
        <f t="shared" si="1176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61"/>
        <v/>
      </c>
      <c r="Z3824" s="196" t="str">
        <f t="shared" si="1160"/>
        <v/>
      </c>
      <c r="AA3824" s="22"/>
      <c r="AB3824" s="197" t="str">
        <f t="shared" si="1164"/>
        <v/>
      </c>
      <c r="AC3824" s="198" t="str">
        <f t="shared" si="1168"/>
        <v/>
      </c>
      <c r="AD3824" s="162"/>
      <c r="AE3824" s="199" t="str">
        <f t="shared" si="1169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62"/>
        <v>0</v>
      </c>
      <c r="AJ3824" s="200">
        <f t="shared" si="1163"/>
        <v>0</v>
      </c>
      <c r="AK3824" s="201" t="str">
        <f t="shared" si="1170"/>
        <v/>
      </c>
      <c r="AL3824" s="24"/>
      <c r="AM3824" s="24"/>
      <c r="AN3824" s="24"/>
      <c r="AO3824" s="24"/>
      <c r="AP3824" s="165" t="str">
        <f t="shared" si="1171"/>
        <v/>
      </c>
      <c r="AQ3824" s="203" t="str">
        <f t="shared" si="1172"/>
        <v/>
      </c>
      <c r="AR3824" s="206">
        <f t="shared" si="1173"/>
        <v>0</v>
      </c>
      <c r="AS3824" s="22" t="str">
        <f t="shared" si="1174"/>
        <v/>
      </c>
      <c r="AT3824" s="24" t="str">
        <f t="shared" si="1175"/>
        <v/>
      </c>
    </row>
    <row r="3825" spans="1:46">
      <c r="A3825" s="33" t="str">
        <f t="shared" si="1166"/>
        <v/>
      </c>
      <c r="B3825" s="23"/>
      <c r="C3825" s="23"/>
      <c r="D3825" s="202" t="str">
        <f t="shared" si="1159"/>
        <v/>
      </c>
      <c r="E3825" s="33" t="str">
        <f t="shared" si="1165"/>
        <v/>
      </c>
      <c r="F3825" s="23"/>
      <c r="G3825" s="23"/>
      <c r="H3825" s="29"/>
      <c r="I3825" s="204" t="str">
        <f t="shared" si="1167"/>
        <v/>
      </c>
      <c r="J3825" s="188"/>
      <c r="K3825" s="29"/>
      <c r="L3825" s="24"/>
      <c r="M3825" s="22"/>
      <c r="N3825" s="22"/>
      <c r="O3825" s="22"/>
      <c r="P3825" s="202" t="str">
        <f t="shared" si="1176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61"/>
        <v/>
      </c>
      <c r="Z3825" s="196" t="str">
        <f t="shared" si="1160"/>
        <v/>
      </c>
      <c r="AA3825" s="22"/>
      <c r="AB3825" s="197" t="str">
        <f t="shared" si="1164"/>
        <v/>
      </c>
      <c r="AC3825" s="198" t="str">
        <f t="shared" si="1168"/>
        <v/>
      </c>
      <c r="AD3825" s="162"/>
      <c r="AE3825" s="199" t="str">
        <f t="shared" si="1169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62"/>
        <v>0</v>
      </c>
      <c r="AJ3825" s="200">
        <f t="shared" si="1163"/>
        <v>0</v>
      </c>
      <c r="AK3825" s="201" t="str">
        <f t="shared" si="1170"/>
        <v/>
      </c>
      <c r="AL3825" s="24"/>
      <c r="AM3825" s="24"/>
      <c r="AN3825" s="24"/>
      <c r="AO3825" s="24"/>
      <c r="AP3825" s="165" t="str">
        <f t="shared" si="1171"/>
        <v/>
      </c>
      <c r="AQ3825" s="203" t="str">
        <f t="shared" si="1172"/>
        <v/>
      </c>
      <c r="AR3825" s="206">
        <f t="shared" si="1173"/>
        <v>0</v>
      </c>
      <c r="AS3825" s="22" t="str">
        <f t="shared" si="1174"/>
        <v/>
      </c>
      <c r="AT3825" s="24" t="str">
        <f t="shared" si="1175"/>
        <v/>
      </c>
    </row>
    <row r="3826" spans="1:46">
      <c r="A3826" s="33" t="str">
        <f t="shared" si="1166"/>
        <v/>
      </c>
      <c r="B3826" s="23"/>
      <c r="C3826" s="23"/>
      <c r="D3826" s="202" t="str">
        <f t="shared" ref="D3826:D3889" si="1177">IF(B3826="","",IF(AND(C3826&gt;=10,C3826&lt;=12),"Q3",IF(AND(C3826&gt;=1,C3826&lt;=3),"Q4",IF(AND(C3826&gt;=7,C3826&lt;=9),"Q2",IF(AND(C3826&gt;=4,C3826&lt;=6),"Q1")))))</f>
        <v/>
      </c>
      <c r="E3826" s="33" t="str">
        <f t="shared" si="1165"/>
        <v/>
      </c>
      <c r="F3826" s="23"/>
      <c r="G3826" s="23"/>
      <c r="H3826" s="29"/>
      <c r="I3826" s="204" t="str">
        <f t="shared" si="1167"/>
        <v/>
      </c>
      <c r="J3826" s="188"/>
      <c r="K3826" s="29"/>
      <c r="L3826" s="24"/>
      <c r="M3826" s="22"/>
      <c r="N3826" s="22"/>
      <c r="O3826" s="22"/>
      <c r="P3826" s="202" t="str">
        <f t="shared" si="1176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61"/>
        <v/>
      </c>
      <c r="Z3826" s="196" t="str">
        <f t="shared" ref="Z3826:Z3889" si="1178">IF(X3826="","",X3826*MAX(O3826,N3826))</f>
        <v/>
      </c>
      <c r="AA3826" s="22"/>
      <c r="AB3826" s="197" t="str">
        <f t="shared" si="1164"/>
        <v/>
      </c>
      <c r="AC3826" s="198" t="str">
        <f t="shared" si="1168"/>
        <v/>
      </c>
      <c r="AD3826" s="162"/>
      <c r="AE3826" s="199" t="str">
        <f t="shared" si="1169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62"/>
        <v>0</v>
      </c>
      <c r="AJ3826" s="200">
        <f t="shared" si="1163"/>
        <v>0</v>
      </c>
      <c r="AK3826" s="201" t="str">
        <f t="shared" si="1170"/>
        <v/>
      </c>
      <c r="AL3826" s="24"/>
      <c r="AM3826" s="24"/>
      <c r="AN3826" s="24"/>
      <c r="AO3826" s="24"/>
      <c r="AP3826" s="165" t="str">
        <f t="shared" si="1171"/>
        <v/>
      </c>
      <c r="AQ3826" s="203" t="str">
        <f t="shared" si="1172"/>
        <v/>
      </c>
      <c r="AR3826" s="206">
        <f t="shared" si="1173"/>
        <v>0</v>
      </c>
      <c r="AS3826" s="22" t="str">
        <f t="shared" si="1174"/>
        <v/>
      </c>
      <c r="AT3826" s="24" t="str">
        <f t="shared" si="1175"/>
        <v/>
      </c>
    </row>
    <row r="3827" spans="1:46">
      <c r="A3827" s="33" t="str">
        <f t="shared" si="1166"/>
        <v/>
      </c>
      <c r="B3827" s="23"/>
      <c r="C3827" s="23"/>
      <c r="D3827" s="202" t="str">
        <f t="shared" si="1177"/>
        <v/>
      </c>
      <c r="E3827" s="33" t="str">
        <f t="shared" si="1165"/>
        <v/>
      </c>
      <c r="F3827" s="23"/>
      <c r="G3827" s="23"/>
      <c r="H3827" s="29"/>
      <c r="I3827" s="204" t="str">
        <f t="shared" si="1167"/>
        <v/>
      </c>
      <c r="J3827" s="188"/>
      <c r="K3827" s="29"/>
      <c r="L3827" s="24"/>
      <c r="M3827" s="22"/>
      <c r="N3827" s="22"/>
      <c r="O3827" s="22"/>
      <c r="P3827" s="202" t="str">
        <f t="shared" si="1176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61"/>
        <v/>
      </c>
      <c r="Z3827" s="196" t="str">
        <f t="shared" si="1178"/>
        <v/>
      </c>
      <c r="AA3827" s="22"/>
      <c r="AB3827" s="197" t="str">
        <f t="shared" si="1164"/>
        <v/>
      </c>
      <c r="AC3827" s="198" t="str">
        <f t="shared" si="1168"/>
        <v/>
      </c>
      <c r="AD3827" s="162"/>
      <c r="AE3827" s="199" t="str">
        <f t="shared" si="1169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62"/>
        <v>0</v>
      </c>
      <c r="AJ3827" s="200">
        <f t="shared" si="1163"/>
        <v>0</v>
      </c>
      <c r="AK3827" s="201" t="str">
        <f t="shared" si="1170"/>
        <v/>
      </c>
      <c r="AL3827" s="24"/>
      <c r="AM3827" s="24"/>
      <c r="AN3827" s="24"/>
      <c r="AO3827" s="24"/>
      <c r="AP3827" s="165" t="str">
        <f t="shared" si="1171"/>
        <v/>
      </c>
      <c r="AQ3827" s="203" t="str">
        <f t="shared" si="1172"/>
        <v/>
      </c>
      <c r="AR3827" s="206">
        <f t="shared" si="1173"/>
        <v>0</v>
      </c>
      <c r="AS3827" s="22" t="str">
        <f t="shared" si="1174"/>
        <v/>
      </c>
      <c r="AT3827" s="24" t="str">
        <f t="shared" si="1175"/>
        <v/>
      </c>
    </row>
    <row r="3828" spans="1:46">
      <c r="A3828" s="33" t="str">
        <f t="shared" si="1166"/>
        <v/>
      </c>
      <c r="B3828" s="23"/>
      <c r="C3828" s="23"/>
      <c r="D3828" s="202" t="str">
        <f t="shared" si="1177"/>
        <v/>
      </c>
      <c r="E3828" s="33" t="str">
        <f t="shared" si="1165"/>
        <v/>
      </c>
      <c r="F3828" s="23"/>
      <c r="G3828" s="23"/>
      <c r="H3828" s="29"/>
      <c r="I3828" s="204" t="str">
        <f t="shared" si="1167"/>
        <v/>
      </c>
      <c r="J3828" s="188"/>
      <c r="K3828" s="29"/>
      <c r="L3828" s="24"/>
      <c r="M3828" s="22"/>
      <c r="N3828" s="22"/>
      <c r="O3828" s="22"/>
      <c r="P3828" s="202" t="str">
        <f t="shared" si="1176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9">IF(W3828="","",IF(W3828="RMB","1.13", "1"))</f>
        <v/>
      </c>
      <c r="Z3828" s="196" t="str">
        <f t="shared" si="1178"/>
        <v/>
      </c>
      <c r="AA3828" s="22"/>
      <c r="AB3828" s="197" t="str">
        <f t="shared" si="1164"/>
        <v/>
      </c>
      <c r="AC3828" s="198" t="str">
        <f t="shared" si="1168"/>
        <v/>
      </c>
      <c r="AD3828" s="162"/>
      <c r="AE3828" s="199" t="str">
        <f t="shared" si="1169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62"/>
        <v>0</v>
      </c>
      <c r="AJ3828" s="200">
        <f t="shared" si="1163"/>
        <v>0</v>
      </c>
      <c r="AK3828" s="201" t="str">
        <f t="shared" si="1170"/>
        <v/>
      </c>
      <c r="AL3828" s="24"/>
      <c r="AM3828" s="24"/>
      <c r="AN3828" s="24"/>
      <c r="AO3828" s="24"/>
      <c r="AP3828" s="165" t="str">
        <f t="shared" si="1171"/>
        <v/>
      </c>
      <c r="AQ3828" s="203" t="str">
        <f t="shared" si="1172"/>
        <v/>
      </c>
      <c r="AR3828" s="206">
        <f t="shared" si="1173"/>
        <v>0</v>
      </c>
      <c r="AS3828" s="22" t="str">
        <f t="shared" si="1174"/>
        <v/>
      </c>
      <c r="AT3828" s="24" t="str">
        <f t="shared" si="1175"/>
        <v/>
      </c>
    </row>
    <row r="3829" spans="1:46">
      <c r="A3829" s="33" t="str">
        <f t="shared" si="1166"/>
        <v/>
      </c>
      <c r="B3829" s="23"/>
      <c r="C3829" s="23"/>
      <c r="D3829" s="202" t="str">
        <f t="shared" si="1177"/>
        <v/>
      </c>
      <c r="E3829" s="33" t="str">
        <f t="shared" si="1165"/>
        <v/>
      </c>
      <c r="F3829" s="23"/>
      <c r="G3829" s="23"/>
      <c r="H3829" s="29"/>
      <c r="I3829" s="204" t="str">
        <f t="shared" si="1167"/>
        <v/>
      </c>
      <c r="J3829" s="188"/>
      <c r="K3829" s="29"/>
      <c r="L3829" s="24"/>
      <c r="M3829" s="22"/>
      <c r="N3829" s="22"/>
      <c r="O3829" s="22"/>
      <c r="P3829" s="202" t="str">
        <f t="shared" si="1176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9"/>
        <v/>
      </c>
      <c r="Z3829" s="196" t="str">
        <f t="shared" si="1178"/>
        <v/>
      </c>
      <c r="AA3829" s="22"/>
      <c r="AB3829" s="197" t="str">
        <f t="shared" si="1164"/>
        <v/>
      </c>
      <c r="AC3829" s="198" t="str">
        <f t="shared" si="1168"/>
        <v/>
      </c>
      <c r="AD3829" s="162"/>
      <c r="AE3829" s="199" t="str">
        <f t="shared" si="1169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62"/>
        <v>0</v>
      </c>
      <c r="AJ3829" s="200">
        <f t="shared" si="1163"/>
        <v>0</v>
      </c>
      <c r="AK3829" s="201" t="str">
        <f t="shared" si="1170"/>
        <v/>
      </c>
      <c r="AL3829" s="24"/>
      <c r="AM3829" s="24"/>
      <c r="AN3829" s="24"/>
      <c r="AO3829" s="24"/>
      <c r="AP3829" s="165" t="str">
        <f t="shared" si="1171"/>
        <v/>
      </c>
      <c r="AQ3829" s="203" t="str">
        <f t="shared" si="1172"/>
        <v/>
      </c>
      <c r="AR3829" s="206">
        <f t="shared" si="1173"/>
        <v>0</v>
      </c>
      <c r="AS3829" s="22" t="str">
        <f t="shared" si="1174"/>
        <v/>
      </c>
      <c r="AT3829" s="24" t="str">
        <f t="shared" si="1175"/>
        <v/>
      </c>
    </row>
    <row r="3830" spans="1:46">
      <c r="A3830" s="33" t="str">
        <f t="shared" si="1166"/>
        <v/>
      </c>
      <c r="B3830" s="23"/>
      <c r="C3830" s="23"/>
      <c r="D3830" s="202" t="str">
        <f t="shared" si="1177"/>
        <v/>
      </c>
      <c r="E3830" s="33" t="str">
        <f t="shared" si="1165"/>
        <v/>
      </c>
      <c r="F3830" s="23"/>
      <c r="G3830" s="23"/>
      <c r="H3830" s="29"/>
      <c r="I3830" s="204" t="str">
        <f t="shared" si="1167"/>
        <v/>
      </c>
      <c r="J3830" s="188"/>
      <c r="K3830" s="29"/>
      <c r="L3830" s="24"/>
      <c r="M3830" s="22"/>
      <c r="N3830" s="22"/>
      <c r="O3830" s="22"/>
      <c r="P3830" s="202" t="str">
        <f t="shared" si="1176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9"/>
        <v/>
      </c>
      <c r="Z3830" s="196" t="str">
        <f t="shared" si="1178"/>
        <v/>
      </c>
      <c r="AA3830" s="22"/>
      <c r="AB3830" s="197" t="str">
        <f t="shared" si="1164"/>
        <v/>
      </c>
      <c r="AC3830" s="198" t="str">
        <f t="shared" si="1168"/>
        <v/>
      </c>
      <c r="AD3830" s="162"/>
      <c r="AE3830" s="199" t="str">
        <f t="shared" si="1169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62"/>
        <v>0</v>
      </c>
      <c r="AJ3830" s="200">
        <f t="shared" si="1163"/>
        <v>0</v>
      </c>
      <c r="AK3830" s="201" t="str">
        <f t="shared" si="1170"/>
        <v/>
      </c>
      <c r="AL3830" s="24"/>
      <c r="AM3830" s="24"/>
      <c r="AN3830" s="24"/>
      <c r="AO3830" s="24"/>
      <c r="AP3830" s="165" t="str">
        <f t="shared" si="1171"/>
        <v/>
      </c>
      <c r="AQ3830" s="203" t="str">
        <f t="shared" si="1172"/>
        <v/>
      </c>
      <c r="AR3830" s="206">
        <f t="shared" si="1173"/>
        <v>0</v>
      </c>
      <c r="AS3830" s="22" t="str">
        <f t="shared" si="1174"/>
        <v/>
      </c>
      <c r="AT3830" s="24" t="str">
        <f t="shared" si="1175"/>
        <v/>
      </c>
    </row>
    <row r="3831" spans="1:46">
      <c r="A3831" s="33" t="str">
        <f t="shared" si="1166"/>
        <v/>
      </c>
      <c r="B3831" s="23"/>
      <c r="C3831" s="23"/>
      <c r="D3831" s="202" t="str">
        <f t="shared" si="1177"/>
        <v/>
      </c>
      <c r="E3831" s="33" t="str">
        <f t="shared" si="1165"/>
        <v/>
      </c>
      <c r="F3831" s="23"/>
      <c r="G3831" s="23"/>
      <c r="H3831" s="29"/>
      <c r="I3831" s="204" t="str">
        <f t="shared" si="1167"/>
        <v/>
      </c>
      <c r="J3831" s="188"/>
      <c r="K3831" s="29"/>
      <c r="L3831" s="24"/>
      <c r="M3831" s="22"/>
      <c r="N3831" s="22"/>
      <c r="O3831" s="22"/>
      <c r="P3831" s="202" t="str">
        <f t="shared" si="1176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9"/>
        <v/>
      </c>
      <c r="Z3831" s="196" t="str">
        <f t="shared" si="1178"/>
        <v/>
      </c>
      <c r="AA3831" s="22"/>
      <c r="AB3831" s="197" t="str">
        <f t="shared" si="1164"/>
        <v/>
      </c>
      <c r="AC3831" s="198" t="str">
        <f t="shared" si="1168"/>
        <v/>
      </c>
      <c r="AD3831" s="162"/>
      <c r="AE3831" s="199" t="str">
        <f t="shared" si="1169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62"/>
        <v>0</v>
      </c>
      <c r="AJ3831" s="200">
        <f t="shared" si="1163"/>
        <v>0</v>
      </c>
      <c r="AK3831" s="201" t="str">
        <f t="shared" si="1170"/>
        <v/>
      </c>
      <c r="AL3831" s="24"/>
      <c r="AM3831" s="24"/>
      <c r="AN3831" s="24"/>
      <c r="AO3831" s="24"/>
      <c r="AP3831" s="165" t="str">
        <f t="shared" si="1171"/>
        <v/>
      </c>
      <c r="AQ3831" s="203" t="str">
        <f t="shared" si="1172"/>
        <v/>
      </c>
      <c r="AR3831" s="206">
        <f t="shared" si="1173"/>
        <v>0</v>
      </c>
      <c r="AS3831" s="22" t="str">
        <f t="shared" si="1174"/>
        <v/>
      </c>
      <c r="AT3831" s="24" t="str">
        <f t="shared" si="1175"/>
        <v/>
      </c>
    </row>
    <row r="3832" spans="1:46">
      <c r="A3832" s="33" t="str">
        <f t="shared" si="1166"/>
        <v/>
      </c>
      <c r="B3832" s="23"/>
      <c r="C3832" s="23"/>
      <c r="D3832" s="202" t="str">
        <f t="shared" si="1177"/>
        <v/>
      </c>
      <c r="E3832" s="33" t="str">
        <f t="shared" si="1165"/>
        <v/>
      </c>
      <c r="F3832" s="23"/>
      <c r="G3832" s="23"/>
      <c r="H3832" s="29"/>
      <c r="I3832" s="204" t="str">
        <f t="shared" si="1167"/>
        <v/>
      </c>
      <c r="J3832" s="188"/>
      <c r="K3832" s="29"/>
      <c r="L3832" s="24"/>
      <c r="M3832" s="22"/>
      <c r="N3832" s="22"/>
      <c r="O3832" s="22"/>
      <c r="P3832" s="202" t="str">
        <f t="shared" si="1176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9"/>
        <v/>
      </c>
      <c r="Z3832" s="196" t="str">
        <f t="shared" si="1178"/>
        <v/>
      </c>
      <c r="AA3832" s="22"/>
      <c r="AB3832" s="197" t="str">
        <f t="shared" si="1164"/>
        <v/>
      </c>
      <c r="AC3832" s="198" t="str">
        <f t="shared" si="1168"/>
        <v/>
      </c>
      <c r="AD3832" s="162"/>
      <c r="AE3832" s="199" t="str">
        <f t="shared" si="1169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62"/>
        <v>0</v>
      </c>
      <c r="AJ3832" s="200">
        <f t="shared" si="1163"/>
        <v>0</v>
      </c>
      <c r="AK3832" s="201" t="str">
        <f t="shared" si="1170"/>
        <v/>
      </c>
      <c r="AL3832" s="24"/>
      <c r="AM3832" s="24"/>
      <c r="AN3832" s="24"/>
      <c r="AO3832" s="24"/>
      <c r="AP3832" s="165" t="str">
        <f t="shared" si="1171"/>
        <v/>
      </c>
      <c r="AQ3832" s="203" t="str">
        <f t="shared" si="1172"/>
        <v/>
      </c>
      <c r="AR3832" s="206">
        <f t="shared" si="1173"/>
        <v>0</v>
      </c>
      <c r="AS3832" s="22" t="str">
        <f t="shared" si="1174"/>
        <v/>
      </c>
      <c r="AT3832" s="24" t="str">
        <f t="shared" si="1175"/>
        <v/>
      </c>
    </row>
    <row r="3833" spans="1:46">
      <c r="A3833" s="33" t="str">
        <f t="shared" si="1166"/>
        <v/>
      </c>
      <c r="B3833" s="23"/>
      <c r="C3833" s="23"/>
      <c r="D3833" s="202" t="str">
        <f t="shared" si="1177"/>
        <v/>
      </c>
      <c r="E3833" s="33" t="str">
        <f t="shared" si="1165"/>
        <v/>
      </c>
      <c r="F3833" s="23"/>
      <c r="G3833" s="23"/>
      <c r="H3833" s="29"/>
      <c r="I3833" s="204" t="str">
        <f t="shared" si="1167"/>
        <v/>
      </c>
      <c r="J3833" s="188"/>
      <c r="K3833" s="29"/>
      <c r="L3833" s="24"/>
      <c r="M3833" s="22"/>
      <c r="N3833" s="22"/>
      <c r="O3833" s="22"/>
      <c r="P3833" s="202" t="str">
        <f t="shared" si="1176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9"/>
        <v/>
      </c>
      <c r="Z3833" s="196" t="str">
        <f t="shared" si="1178"/>
        <v/>
      </c>
      <c r="AA3833" s="22"/>
      <c r="AB3833" s="197" t="str">
        <f t="shared" si="1164"/>
        <v/>
      </c>
      <c r="AC3833" s="198" t="str">
        <f t="shared" si="1168"/>
        <v/>
      </c>
      <c r="AD3833" s="162"/>
      <c r="AE3833" s="199" t="str">
        <f t="shared" si="1169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62"/>
        <v>0</v>
      </c>
      <c r="AJ3833" s="200">
        <f t="shared" si="1163"/>
        <v>0</v>
      </c>
      <c r="AK3833" s="201" t="str">
        <f t="shared" si="1170"/>
        <v/>
      </c>
      <c r="AL3833" s="24"/>
      <c r="AM3833" s="24"/>
      <c r="AN3833" s="24"/>
      <c r="AO3833" s="24"/>
      <c r="AP3833" s="165" t="str">
        <f t="shared" si="1171"/>
        <v/>
      </c>
      <c r="AQ3833" s="203" t="str">
        <f t="shared" si="1172"/>
        <v/>
      </c>
      <c r="AR3833" s="206">
        <f t="shared" si="1173"/>
        <v>0</v>
      </c>
      <c r="AS3833" s="22" t="str">
        <f t="shared" si="1174"/>
        <v/>
      </c>
      <c r="AT3833" s="24" t="str">
        <f t="shared" si="1175"/>
        <v/>
      </c>
    </row>
    <row r="3834" spans="1:46">
      <c r="A3834" s="33" t="str">
        <f t="shared" si="1166"/>
        <v/>
      </c>
      <c r="B3834" s="23"/>
      <c r="C3834" s="23"/>
      <c r="D3834" s="202" t="str">
        <f t="shared" si="1177"/>
        <v/>
      </c>
      <c r="E3834" s="33" t="str">
        <f t="shared" si="1165"/>
        <v/>
      </c>
      <c r="F3834" s="23"/>
      <c r="G3834" s="23"/>
      <c r="H3834" s="29"/>
      <c r="I3834" s="204" t="str">
        <f t="shared" si="1167"/>
        <v/>
      </c>
      <c r="J3834" s="188"/>
      <c r="K3834" s="29"/>
      <c r="L3834" s="24"/>
      <c r="M3834" s="22"/>
      <c r="N3834" s="22"/>
      <c r="O3834" s="22"/>
      <c r="P3834" s="202" t="str">
        <f t="shared" si="1176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9"/>
        <v/>
      </c>
      <c r="Z3834" s="196" t="str">
        <f t="shared" si="1178"/>
        <v/>
      </c>
      <c r="AA3834" s="22"/>
      <c r="AB3834" s="197" t="str">
        <f t="shared" si="1164"/>
        <v/>
      </c>
      <c r="AC3834" s="198" t="str">
        <f t="shared" si="1168"/>
        <v/>
      </c>
      <c r="AD3834" s="162"/>
      <c r="AE3834" s="199" t="str">
        <f t="shared" si="1169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62"/>
        <v>0</v>
      </c>
      <c r="AJ3834" s="200">
        <f t="shared" si="1163"/>
        <v>0</v>
      </c>
      <c r="AK3834" s="201" t="str">
        <f t="shared" si="1170"/>
        <v/>
      </c>
      <c r="AL3834" s="24"/>
      <c r="AM3834" s="24"/>
      <c r="AN3834" s="24"/>
      <c r="AO3834" s="24"/>
      <c r="AP3834" s="165" t="str">
        <f t="shared" si="1171"/>
        <v/>
      </c>
      <c r="AQ3834" s="203" t="str">
        <f t="shared" si="1172"/>
        <v/>
      </c>
      <c r="AR3834" s="206">
        <f t="shared" si="1173"/>
        <v>0</v>
      </c>
      <c r="AS3834" s="22" t="str">
        <f t="shared" si="1174"/>
        <v/>
      </c>
      <c r="AT3834" s="24" t="str">
        <f t="shared" si="1175"/>
        <v/>
      </c>
    </row>
    <row r="3835" spans="1:46">
      <c r="A3835" s="33" t="str">
        <f t="shared" si="1166"/>
        <v/>
      </c>
      <c r="B3835" s="23"/>
      <c r="C3835" s="23"/>
      <c r="D3835" s="202" t="str">
        <f t="shared" si="1177"/>
        <v/>
      </c>
      <c r="E3835" s="33" t="str">
        <f t="shared" si="1165"/>
        <v/>
      </c>
      <c r="F3835" s="23"/>
      <c r="G3835" s="23"/>
      <c r="H3835" s="29"/>
      <c r="I3835" s="204" t="str">
        <f t="shared" si="1167"/>
        <v/>
      </c>
      <c r="J3835" s="188"/>
      <c r="K3835" s="29"/>
      <c r="L3835" s="24"/>
      <c r="M3835" s="22"/>
      <c r="N3835" s="22"/>
      <c r="O3835" s="22"/>
      <c r="P3835" s="202" t="str">
        <f t="shared" si="1176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9"/>
        <v/>
      </c>
      <c r="Z3835" s="196" t="str">
        <f t="shared" si="1178"/>
        <v/>
      </c>
      <c r="AA3835" s="22"/>
      <c r="AB3835" s="197" t="str">
        <f t="shared" si="1164"/>
        <v/>
      </c>
      <c r="AC3835" s="198" t="str">
        <f t="shared" si="1168"/>
        <v/>
      </c>
      <c r="AD3835" s="162"/>
      <c r="AE3835" s="199" t="str">
        <f t="shared" si="1169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62"/>
        <v>0</v>
      </c>
      <c r="AJ3835" s="200">
        <f t="shared" si="1163"/>
        <v>0</v>
      </c>
      <c r="AK3835" s="201" t="str">
        <f t="shared" si="1170"/>
        <v/>
      </c>
      <c r="AL3835" s="24"/>
      <c r="AM3835" s="24"/>
      <c r="AN3835" s="24"/>
      <c r="AO3835" s="24"/>
      <c r="AP3835" s="165" t="str">
        <f t="shared" si="1171"/>
        <v/>
      </c>
      <c r="AQ3835" s="203" t="str">
        <f t="shared" si="1172"/>
        <v/>
      </c>
      <c r="AR3835" s="206">
        <f t="shared" si="1173"/>
        <v>0</v>
      </c>
      <c r="AS3835" s="22" t="str">
        <f t="shared" si="1174"/>
        <v/>
      </c>
      <c r="AT3835" s="24" t="str">
        <f t="shared" si="1175"/>
        <v/>
      </c>
    </row>
    <row r="3836" spans="1:46">
      <c r="A3836" s="33" t="str">
        <f t="shared" si="1166"/>
        <v/>
      </c>
      <c r="B3836" s="23"/>
      <c r="C3836" s="23"/>
      <c r="D3836" s="202" t="str">
        <f t="shared" si="1177"/>
        <v/>
      </c>
      <c r="E3836" s="33" t="str">
        <f t="shared" si="1165"/>
        <v/>
      </c>
      <c r="F3836" s="23"/>
      <c r="G3836" s="23"/>
      <c r="H3836" s="29"/>
      <c r="I3836" s="204" t="str">
        <f t="shared" si="1167"/>
        <v/>
      </c>
      <c r="J3836" s="188"/>
      <c r="K3836" s="29"/>
      <c r="L3836" s="24"/>
      <c r="M3836" s="22"/>
      <c r="N3836" s="22"/>
      <c r="O3836" s="22"/>
      <c r="P3836" s="202" t="str">
        <f t="shared" si="1176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9"/>
        <v/>
      </c>
      <c r="Z3836" s="196" t="str">
        <f t="shared" si="1178"/>
        <v/>
      </c>
      <c r="AA3836" s="22"/>
      <c r="AB3836" s="197" t="str">
        <f t="shared" si="1164"/>
        <v/>
      </c>
      <c r="AC3836" s="198" t="str">
        <f t="shared" si="1168"/>
        <v/>
      </c>
      <c r="AD3836" s="162"/>
      <c r="AE3836" s="199" t="str">
        <f t="shared" si="1169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62"/>
        <v>0</v>
      </c>
      <c r="AJ3836" s="200">
        <f t="shared" si="1163"/>
        <v>0</v>
      </c>
      <c r="AK3836" s="201" t="str">
        <f t="shared" si="1170"/>
        <v/>
      </c>
      <c r="AL3836" s="24"/>
      <c r="AM3836" s="24"/>
      <c r="AN3836" s="24"/>
      <c r="AO3836" s="24"/>
      <c r="AP3836" s="165" t="str">
        <f t="shared" si="1171"/>
        <v/>
      </c>
      <c r="AQ3836" s="203" t="str">
        <f t="shared" si="1172"/>
        <v/>
      </c>
      <c r="AR3836" s="206">
        <f t="shared" si="1173"/>
        <v>0</v>
      </c>
      <c r="AS3836" s="22" t="str">
        <f t="shared" si="1174"/>
        <v/>
      </c>
      <c r="AT3836" s="24" t="str">
        <f t="shared" si="1175"/>
        <v/>
      </c>
    </row>
    <row r="3837" spans="1:46">
      <c r="A3837" s="33" t="str">
        <f t="shared" si="1166"/>
        <v/>
      </c>
      <c r="B3837" s="23"/>
      <c r="C3837" s="23"/>
      <c r="D3837" s="202" t="str">
        <f t="shared" si="1177"/>
        <v/>
      </c>
      <c r="E3837" s="33" t="str">
        <f t="shared" si="1165"/>
        <v/>
      </c>
      <c r="F3837" s="23"/>
      <c r="G3837" s="23"/>
      <c r="H3837" s="29"/>
      <c r="I3837" s="204" t="str">
        <f t="shared" si="1167"/>
        <v/>
      </c>
      <c r="J3837" s="188"/>
      <c r="K3837" s="29"/>
      <c r="L3837" s="24"/>
      <c r="M3837" s="22"/>
      <c r="N3837" s="22"/>
      <c r="O3837" s="22"/>
      <c r="P3837" s="202" t="str">
        <f t="shared" si="1176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9"/>
        <v/>
      </c>
      <c r="Z3837" s="196" t="str">
        <f t="shared" si="1178"/>
        <v/>
      </c>
      <c r="AA3837" s="22"/>
      <c r="AB3837" s="197" t="str">
        <f t="shared" si="1164"/>
        <v/>
      </c>
      <c r="AC3837" s="198" t="str">
        <f t="shared" si="1168"/>
        <v/>
      </c>
      <c r="AD3837" s="162"/>
      <c r="AE3837" s="199" t="str">
        <f t="shared" si="1169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62"/>
        <v>0</v>
      </c>
      <c r="AJ3837" s="200">
        <f t="shared" si="1163"/>
        <v>0</v>
      </c>
      <c r="AK3837" s="201" t="str">
        <f t="shared" si="1170"/>
        <v/>
      </c>
      <c r="AL3837" s="24"/>
      <c r="AM3837" s="24"/>
      <c r="AN3837" s="24"/>
      <c r="AO3837" s="24"/>
      <c r="AP3837" s="165" t="str">
        <f t="shared" si="1171"/>
        <v/>
      </c>
      <c r="AQ3837" s="203" t="str">
        <f t="shared" si="1172"/>
        <v/>
      </c>
      <c r="AR3837" s="206">
        <f t="shared" si="1173"/>
        <v>0</v>
      </c>
      <c r="AS3837" s="22" t="str">
        <f t="shared" si="1174"/>
        <v/>
      </c>
      <c r="AT3837" s="24" t="str">
        <f t="shared" si="1175"/>
        <v/>
      </c>
    </row>
    <row r="3838" spans="1:46">
      <c r="A3838" s="33" t="str">
        <f t="shared" si="1166"/>
        <v/>
      </c>
      <c r="B3838" s="23"/>
      <c r="C3838" s="23"/>
      <c r="D3838" s="202" t="str">
        <f t="shared" si="1177"/>
        <v/>
      </c>
      <c r="E3838" s="33" t="str">
        <f t="shared" si="1165"/>
        <v/>
      </c>
      <c r="F3838" s="23"/>
      <c r="G3838" s="23"/>
      <c r="H3838" s="29"/>
      <c r="I3838" s="204" t="str">
        <f t="shared" si="1167"/>
        <v/>
      </c>
      <c r="J3838" s="188"/>
      <c r="K3838" s="29"/>
      <c r="L3838" s="24"/>
      <c r="M3838" s="22"/>
      <c r="N3838" s="22"/>
      <c r="O3838" s="22"/>
      <c r="P3838" s="202" t="str">
        <f t="shared" si="1176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9"/>
        <v/>
      </c>
      <c r="Z3838" s="196" t="str">
        <f t="shared" si="1178"/>
        <v/>
      </c>
      <c r="AA3838" s="22"/>
      <c r="AB3838" s="197" t="str">
        <f t="shared" si="1164"/>
        <v/>
      </c>
      <c r="AC3838" s="198" t="str">
        <f t="shared" si="1168"/>
        <v/>
      </c>
      <c r="AD3838" s="162"/>
      <c r="AE3838" s="199" t="str">
        <f t="shared" si="1169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62"/>
        <v>0</v>
      </c>
      <c r="AJ3838" s="200">
        <f t="shared" si="1163"/>
        <v>0</v>
      </c>
      <c r="AK3838" s="201" t="str">
        <f t="shared" si="1170"/>
        <v/>
      </c>
      <c r="AL3838" s="24"/>
      <c r="AM3838" s="24"/>
      <c r="AN3838" s="24"/>
      <c r="AO3838" s="24"/>
      <c r="AP3838" s="165" t="str">
        <f t="shared" si="1171"/>
        <v/>
      </c>
      <c r="AQ3838" s="203" t="str">
        <f t="shared" si="1172"/>
        <v/>
      </c>
      <c r="AR3838" s="206">
        <f t="shared" si="1173"/>
        <v>0</v>
      </c>
      <c r="AS3838" s="22" t="str">
        <f t="shared" si="1174"/>
        <v/>
      </c>
      <c r="AT3838" s="24" t="str">
        <f t="shared" si="1175"/>
        <v/>
      </c>
    </row>
    <row r="3839" spans="1:46">
      <c r="A3839" s="33" t="str">
        <f t="shared" si="1166"/>
        <v/>
      </c>
      <c r="B3839" s="23"/>
      <c r="C3839" s="23"/>
      <c r="D3839" s="202" t="str">
        <f t="shared" si="1177"/>
        <v/>
      </c>
      <c r="E3839" s="33" t="str">
        <f t="shared" si="1165"/>
        <v/>
      </c>
      <c r="F3839" s="23"/>
      <c r="G3839" s="23"/>
      <c r="H3839" s="29"/>
      <c r="I3839" s="204" t="str">
        <f t="shared" si="1167"/>
        <v/>
      </c>
      <c r="J3839" s="188"/>
      <c r="K3839" s="29"/>
      <c r="L3839" s="24"/>
      <c r="M3839" s="22"/>
      <c r="N3839" s="22"/>
      <c r="O3839" s="22"/>
      <c r="P3839" s="202" t="str">
        <f t="shared" si="1176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9"/>
        <v/>
      </c>
      <c r="Z3839" s="196" t="str">
        <f t="shared" si="1178"/>
        <v/>
      </c>
      <c r="AA3839" s="22"/>
      <c r="AB3839" s="197" t="str">
        <f t="shared" si="1164"/>
        <v/>
      </c>
      <c r="AC3839" s="198" t="str">
        <f t="shared" si="1168"/>
        <v/>
      </c>
      <c r="AD3839" s="162"/>
      <c r="AE3839" s="199" t="str">
        <f t="shared" si="1169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62"/>
        <v>0</v>
      </c>
      <c r="AJ3839" s="200">
        <f t="shared" si="1163"/>
        <v>0</v>
      </c>
      <c r="AK3839" s="201" t="str">
        <f t="shared" si="1170"/>
        <v/>
      </c>
      <c r="AL3839" s="24"/>
      <c r="AM3839" s="24"/>
      <c r="AN3839" s="24"/>
      <c r="AO3839" s="24"/>
      <c r="AP3839" s="165" t="str">
        <f t="shared" si="1171"/>
        <v/>
      </c>
      <c r="AQ3839" s="203" t="str">
        <f t="shared" si="1172"/>
        <v/>
      </c>
      <c r="AR3839" s="206">
        <f t="shared" si="1173"/>
        <v>0</v>
      </c>
      <c r="AS3839" s="22" t="str">
        <f t="shared" si="1174"/>
        <v/>
      </c>
      <c r="AT3839" s="24" t="str">
        <f t="shared" si="1175"/>
        <v/>
      </c>
    </row>
    <row r="3840" spans="1:46">
      <c r="A3840" s="33" t="str">
        <f t="shared" si="1166"/>
        <v/>
      </c>
      <c r="B3840" s="23"/>
      <c r="C3840" s="23"/>
      <c r="D3840" s="202" t="str">
        <f t="shared" si="1177"/>
        <v/>
      </c>
      <c r="E3840" s="33" t="str">
        <f t="shared" si="1165"/>
        <v/>
      </c>
      <c r="F3840" s="23"/>
      <c r="G3840" s="23"/>
      <c r="H3840" s="29"/>
      <c r="I3840" s="204" t="str">
        <f t="shared" si="1167"/>
        <v/>
      </c>
      <c r="J3840" s="188"/>
      <c r="K3840" s="29"/>
      <c r="L3840" s="24"/>
      <c r="M3840" s="22"/>
      <c r="N3840" s="22"/>
      <c r="O3840" s="22"/>
      <c r="P3840" s="202" t="str">
        <f t="shared" si="1176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9"/>
        <v/>
      </c>
      <c r="Z3840" s="196" t="str">
        <f t="shared" si="1178"/>
        <v/>
      </c>
      <c r="AA3840" s="22"/>
      <c r="AB3840" s="197" t="str">
        <f t="shared" si="1164"/>
        <v/>
      </c>
      <c r="AC3840" s="198" t="str">
        <f t="shared" si="1168"/>
        <v/>
      </c>
      <c r="AD3840" s="162"/>
      <c r="AE3840" s="199" t="str">
        <f t="shared" si="1169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62"/>
        <v>0</v>
      </c>
      <c r="AJ3840" s="200">
        <f t="shared" si="1163"/>
        <v>0</v>
      </c>
      <c r="AK3840" s="201" t="str">
        <f t="shared" si="1170"/>
        <v/>
      </c>
      <c r="AL3840" s="24"/>
      <c r="AM3840" s="24"/>
      <c r="AN3840" s="24"/>
      <c r="AO3840" s="24"/>
      <c r="AP3840" s="165" t="str">
        <f t="shared" si="1171"/>
        <v/>
      </c>
      <c r="AQ3840" s="203" t="str">
        <f t="shared" si="1172"/>
        <v/>
      </c>
      <c r="AR3840" s="206">
        <f t="shared" si="1173"/>
        <v>0</v>
      </c>
      <c r="AS3840" s="22" t="str">
        <f t="shared" si="1174"/>
        <v/>
      </c>
      <c r="AT3840" s="24" t="str">
        <f t="shared" si="1175"/>
        <v/>
      </c>
    </row>
    <row r="3841" spans="1:46">
      <c r="A3841" s="33" t="str">
        <f t="shared" si="1166"/>
        <v/>
      </c>
      <c r="B3841" s="23"/>
      <c r="C3841" s="23"/>
      <c r="D3841" s="202" t="str">
        <f t="shared" si="1177"/>
        <v/>
      </c>
      <c r="E3841" s="33" t="str">
        <f t="shared" si="1165"/>
        <v/>
      </c>
      <c r="F3841" s="23"/>
      <c r="G3841" s="23"/>
      <c r="H3841" s="29"/>
      <c r="I3841" s="204" t="str">
        <f t="shared" si="1167"/>
        <v/>
      </c>
      <c r="J3841" s="188"/>
      <c r="K3841" s="29"/>
      <c r="L3841" s="24"/>
      <c r="M3841" s="22"/>
      <c r="N3841" s="22"/>
      <c r="O3841" s="22"/>
      <c r="P3841" s="202" t="str">
        <f t="shared" si="1176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9"/>
        <v/>
      </c>
      <c r="Z3841" s="196" t="str">
        <f t="shared" si="1178"/>
        <v/>
      </c>
      <c r="AA3841" s="22"/>
      <c r="AB3841" s="197" t="str">
        <f t="shared" si="1164"/>
        <v/>
      </c>
      <c r="AC3841" s="198" t="str">
        <f t="shared" si="1168"/>
        <v/>
      </c>
      <c r="AD3841" s="162"/>
      <c r="AE3841" s="199" t="str">
        <f t="shared" si="1169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62"/>
        <v>0</v>
      </c>
      <c r="AJ3841" s="200">
        <f t="shared" si="1163"/>
        <v>0</v>
      </c>
      <c r="AK3841" s="201" t="str">
        <f t="shared" si="1170"/>
        <v/>
      </c>
      <c r="AL3841" s="24"/>
      <c r="AM3841" s="24"/>
      <c r="AN3841" s="24"/>
      <c r="AO3841" s="24"/>
      <c r="AP3841" s="165" t="str">
        <f t="shared" si="1171"/>
        <v/>
      </c>
      <c r="AQ3841" s="203" t="str">
        <f t="shared" si="1172"/>
        <v/>
      </c>
      <c r="AR3841" s="206">
        <f t="shared" si="1173"/>
        <v>0</v>
      </c>
      <c r="AS3841" s="22" t="str">
        <f t="shared" si="1174"/>
        <v/>
      </c>
      <c r="AT3841" s="24" t="str">
        <f t="shared" si="1175"/>
        <v/>
      </c>
    </row>
    <row r="3842" spans="1:46">
      <c r="A3842" s="33" t="str">
        <f t="shared" si="1166"/>
        <v/>
      </c>
      <c r="B3842" s="23"/>
      <c r="C3842" s="23"/>
      <c r="D3842" s="202" t="str">
        <f t="shared" si="1177"/>
        <v/>
      </c>
      <c r="E3842" s="33" t="str">
        <f t="shared" si="1165"/>
        <v/>
      </c>
      <c r="F3842" s="23"/>
      <c r="G3842" s="23"/>
      <c r="H3842" s="29"/>
      <c r="I3842" s="204" t="str">
        <f t="shared" si="1167"/>
        <v/>
      </c>
      <c r="J3842" s="188"/>
      <c r="K3842" s="29"/>
      <c r="L3842" s="24"/>
      <c r="M3842" s="22"/>
      <c r="N3842" s="22"/>
      <c r="O3842" s="22"/>
      <c r="P3842" s="202" t="str">
        <f t="shared" si="1176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9"/>
        <v/>
      </c>
      <c r="Z3842" s="196" t="str">
        <f t="shared" si="1178"/>
        <v/>
      </c>
      <c r="AA3842" s="22"/>
      <c r="AB3842" s="197" t="str">
        <f t="shared" si="1164"/>
        <v/>
      </c>
      <c r="AC3842" s="198" t="str">
        <f t="shared" si="1168"/>
        <v/>
      </c>
      <c r="AD3842" s="162"/>
      <c r="AE3842" s="199" t="str">
        <f t="shared" si="1169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80">IF(P3842="C66 SERVICE","",SUMIFS(AB:AB,F:F,F3842,G:G,G3842,E:E,E3842))</f>
        <v>0</v>
      </c>
      <c r="AJ3842" s="200">
        <f t="shared" ref="AJ3842:AJ3905" si="1181">IF(P3842="C66 SERVICE","",SUMIFS(AC:AC,F:F,F3842,G:G,G3842,E:E,E3842))</f>
        <v>0</v>
      </c>
      <c r="AK3842" s="201" t="str">
        <f t="shared" si="1170"/>
        <v/>
      </c>
      <c r="AL3842" s="24"/>
      <c r="AM3842" s="24"/>
      <c r="AN3842" s="24"/>
      <c r="AO3842" s="24"/>
      <c r="AP3842" s="165" t="str">
        <f t="shared" si="1171"/>
        <v/>
      </c>
      <c r="AQ3842" s="203" t="str">
        <f t="shared" si="1172"/>
        <v/>
      </c>
      <c r="AR3842" s="206">
        <f t="shared" si="1173"/>
        <v>0</v>
      </c>
      <c r="AS3842" s="22" t="str">
        <f t="shared" si="1174"/>
        <v/>
      </c>
      <c r="AT3842" s="24" t="str">
        <f t="shared" si="1175"/>
        <v/>
      </c>
    </row>
    <row r="3843" spans="1:46">
      <c r="A3843" s="33" t="str">
        <f t="shared" si="1166"/>
        <v/>
      </c>
      <c r="B3843" s="23"/>
      <c r="C3843" s="23"/>
      <c r="D3843" s="202" t="str">
        <f t="shared" si="1177"/>
        <v/>
      </c>
      <c r="E3843" s="33" t="str">
        <f t="shared" si="1165"/>
        <v/>
      </c>
      <c r="F3843" s="23"/>
      <c r="G3843" s="23"/>
      <c r="H3843" s="29"/>
      <c r="I3843" s="204" t="str">
        <f t="shared" si="1167"/>
        <v/>
      </c>
      <c r="J3843" s="188"/>
      <c r="K3843" s="29"/>
      <c r="L3843" s="24"/>
      <c r="M3843" s="22"/>
      <c r="N3843" s="22"/>
      <c r="O3843" s="22"/>
      <c r="P3843" s="202" t="str">
        <f t="shared" si="1176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9"/>
        <v/>
      </c>
      <c r="Z3843" s="196" t="str">
        <f t="shared" si="1178"/>
        <v/>
      </c>
      <c r="AA3843" s="22"/>
      <c r="AB3843" s="197" t="str">
        <f t="shared" si="1164"/>
        <v/>
      </c>
      <c r="AC3843" s="198" t="str">
        <f t="shared" si="1168"/>
        <v/>
      </c>
      <c r="AD3843" s="162"/>
      <c r="AE3843" s="199" t="str">
        <f t="shared" si="1169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80"/>
        <v>0</v>
      </c>
      <c r="AJ3843" s="200">
        <f t="shared" si="1181"/>
        <v>0</v>
      </c>
      <c r="AK3843" s="201" t="str">
        <f t="shared" si="1170"/>
        <v/>
      </c>
      <c r="AL3843" s="24"/>
      <c r="AM3843" s="24"/>
      <c r="AN3843" s="24"/>
      <c r="AO3843" s="24"/>
      <c r="AP3843" s="165" t="str">
        <f t="shared" si="1171"/>
        <v/>
      </c>
      <c r="AQ3843" s="203" t="str">
        <f t="shared" si="1172"/>
        <v/>
      </c>
      <c r="AR3843" s="206">
        <f t="shared" si="1173"/>
        <v>0</v>
      </c>
      <c r="AS3843" s="22" t="str">
        <f t="shared" si="1174"/>
        <v/>
      </c>
      <c r="AT3843" s="24" t="str">
        <f t="shared" si="1175"/>
        <v/>
      </c>
    </row>
    <row r="3844" spans="1:46">
      <c r="A3844" s="33" t="str">
        <f t="shared" si="1166"/>
        <v/>
      </c>
      <c r="B3844" s="23"/>
      <c r="C3844" s="23"/>
      <c r="D3844" s="202" t="str">
        <f t="shared" si="1177"/>
        <v/>
      </c>
      <c r="E3844" s="33" t="str">
        <f t="shared" si="1165"/>
        <v/>
      </c>
      <c r="F3844" s="23"/>
      <c r="G3844" s="23"/>
      <c r="H3844" s="29"/>
      <c r="I3844" s="204" t="str">
        <f t="shared" si="1167"/>
        <v/>
      </c>
      <c r="J3844" s="188"/>
      <c r="K3844" s="29"/>
      <c r="L3844" s="24"/>
      <c r="M3844" s="22"/>
      <c r="N3844" s="22"/>
      <c r="O3844" s="22"/>
      <c r="P3844" s="202" t="str">
        <f t="shared" si="1176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9"/>
        <v/>
      </c>
      <c r="Z3844" s="196" t="str">
        <f t="shared" si="1178"/>
        <v/>
      </c>
      <c r="AA3844" s="22"/>
      <c r="AB3844" s="197" t="str">
        <f t="shared" si="1164"/>
        <v/>
      </c>
      <c r="AC3844" s="198" t="str">
        <f t="shared" si="1168"/>
        <v/>
      </c>
      <c r="AD3844" s="162"/>
      <c r="AE3844" s="199" t="str">
        <f t="shared" si="1169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80"/>
        <v>0</v>
      </c>
      <c r="AJ3844" s="200">
        <f t="shared" si="1181"/>
        <v>0</v>
      </c>
      <c r="AK3844" s="201" t="str">
        <f t="shared" si="1170"/>
        <v/>
      </c>
      <c r="AL3844" s="24"/>
      <c r="AM3844" s="24"/>
      <c r="AN3844" s="24"/>
      <c r="AO3844" s="24"/>
      <c r="AP3844" s="165" t="str">
        <f t="shared" si="1171"/>
        <v/>
      </c>
      <c r="AQ3844" s="203" t="str">
        <f t="shared" si="1172"/>
        <v/>
      </c>
      <c r="AR3844" s="206">
        <f t="shared" si="1173"/>
        <v>0</v>
      </c>
      <c r="AS3844" s="22" t="str">
        <f t="shared" si="1174"/>
        <v/>
      </c>
      <c r="AT3844" s="24" t="str">
        <f t="shared" si="1175"/>
        <v/>
      </c>
    </row>
    <row r="3845" spans="1:46">
      <c r="A3845" s="33" t="str">
        <f t="shared" si="1166"/>
        <v/>
      </c>
      <c r="B3845" s="23"/>
      <c r="C3845" s="23"/>
      <c r="D3845" s="202" t="str">
        <f t="shared" si="1177"/>
        <v/>
      </c>
      <c r="E3845" s="33" t="str">
        <f t="shared" si="1165"/>
        <v/>
      </c>
      <c r="F3845" s="23"/>
      <c r="G3845" s="23"/>
      <c r="H3845" s="29"/>
      <c r="I3845" s="204" t="str">
        <f t="shared" si="1167"/>
        <v/>
      </c>
      <c r="J3845" s="188"/>
      <c r="K3845" s="29"/>
      <c r="L3845" s="24"/>
      <c r="M3845" s="22"/>
      <c r="N3845" s="22"/>
      <c r="O3845" s="22"/>
      <c r="P3845" s="202" t="str">
        <f t="shared" si="1176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9"/>
        <v/>
      </c>
      <c r="Z3845" s="196" t="str">
        <f t="shared" si="1178"/>
        <v/>
      </c>
      <c r="AA3845" s="22"/>
      <c r="AB3845" s="197" t="str">
        <f t="shared" si="1164"/>
        <v/>
      </c>
      <c r="AC3845" s="198" t="str">
        <f t="shared" si="1168"/>
        <v/>
      </c>
      <c r="AD3845" s="162"/>
      <c r="AE3845" s="199" t="str">
        <f t="shared" si="1169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80"/>
        <v>0</v>
      </c>
      <c r="AJ3845" s="200">
        <f t="shared" si="1181"/>
        <v>0</v>
      </c>
      <c r="AK3845" s="201" t="str">
        <f t="shared" si="1170"/>
        <v/>
      </c>
      <c r="AL3845" s="24"/>
      <c r="AM3845" s="24"/>
      <c r="AN3845" s="24"/>
      <c r="AO3845" s="24"/>
      <c r="AP3845" s="165" t="str">
        <f t="shared" si="1171"/>
        <v/>
      </c>
      <c r="AQ3845" s="203" t="str">
        <f t="shared" si="1172"/>
        <v/>
      </c>
      <c r="AR3845" s="206">
        <f t="shared" si="1173"/>
        <v>0</v>
      </c>
      <c r="AS3845" s="22" t="str">
        <f t="shared" si="1174"/>
        <v/>
      </c>
      <c r="AT3845" s="24" t="str">
        <f t="shared" si="1175"/>
        <v/>
      </c>
    </row>
    <row r="3846" spans="1:46">
      <c r="A3846" s="33" t="str">
        <f t="shared" si="1166"/>
        <v/>
      </c>
      <c r="B3846" s="23"/>
      <c r="C3846" s="23"/>
      <c r="D3846" s="202" t="str">
        <f t="shared" si="1177"/>
        <v/>
      </c>
      <c r="E3846" s="33" t="str">
        <f t="shared" si="1165"/>
        <v/>
      </c>
      <c r="F3846" s="23"/>
      <c r="G3846" s="23"/>
      <c r="H3846" s="29"/>
      <c r="I3846" s="204" t="str">
        <f t="shared" si="1167"/>
        <v/>
      </c>
      <c r="J3846" s="188"/>
      <c r="K3846" s="29"/>
      <c r="L3846" s="24"/>
      <c r="M3846" s="22"/>
      <c r="N3846" s="22"/>
      <c r="O3846" s="22"/>
      <c r="P3846" s="202" t="str">
        <f t="shared" si="1176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9"/>
        <v/>
      </c>
      <c r="Z3846" s="196" t="str">
        <f t="shared" si="1178"/>
        <v/>
      </c>
      <c r="AA3846" s="22"/>
      <c r="AB3846" s="197" t="str">
        <f t="shared" si="1164"/>
        <v/>
      </c>
      <c r="AC3846" s="198" t="str">
        <f t="shared" si="1168"/>
        <v/>
      </c>
      <c r="AD3846" s="162"/>
      <c r="AE3846" s="199" t="str">
        <f t="shared" si="1169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80"/>
        <v>0</v>
      </c>
      <c r="AJ3846" s="200">
        <f t="shared" si="1181"/>
        <v>0</v>
      </c>
      <c r="AK3846" s="201" t="str">
        <f t="shared" si="1170"/>
        <v/>
      </c>
      <c r="AL3846" s="24"/>
      <c r="AM3846" s="24"/>
      <c r="AN3846" s="24"/>
      <c r="AO3846" s="24"/>
      <c r="AP3846" s="165" t="str">
        <f t="shared" si="1171"/>
        <v/>
      </c>
      <c r="AQ3846" s="203" t="str">
        <f t="shared" si="1172"/>
        <v/>
      </c>
      <c r="AR3846" s="206">
        <f t="shared" si="1173"/>
        <v>0</v>
      </c>
      <c r="AS3846" s="22" t="str">
        <f t="shared" si="1174"/>
        <v/>
      </c>
      <c r="AT3846" s="24" t="str">
        <f t="shared" si="1175"/>
        <v/>
      </c>
    </row>
    <row r="3847" spans="1:46">
      <c r="A3847" s="33" t="str">
        <f t="shared" si="1166"/>
        <v/>
      </c>
      <c r="B3847" s="23"/>
      <c r="C3847" s="23"/>
      <c r="D3847" s="202" t="str">
        <f t="shared" si="1177"/>
        <v/>
      </c>
      <c r="E3847" s="33" t="str">
        <f t="shared" si="1165"/>
        <v/>
      </c>
      <c r="F3847" s="23"/>
      <c r="G3847" s="23"/>
      <c r="H3847" s="29"/>
      <c r="I3847" s="204" t="str">
        <f t="shared" si="1167"/>
        <v/>
      </c>
      <c r="J3847" s="188"/>
      <c r="K3847" s="29"/>
      <c r="L3847" s="24"/>
      <c r="M3847" s="22"/>
      <c r="N3847" s="22"/>
      <c r="O3847" s="22"/>
      <c r="P3847" s="202" t="str">
        <f t="shared" si="1176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9"/>
        <v/>
      </c>
      <c r="Z3847" s="196" t="str">
        <f t="shared" si="1178"/>
        <v/>
      </c>
      <c r="AA3847" s="22"/>
      <c r="AB3847" s="197" t="str">
        <f t="shared" si="1164"/>
        <v/>
      </c>
      <c r="AC3847" s="198" t="str">
        <f t="shared" si="1168"/>
        <v/>
      </c>
      <c r="AD3847" s="162"/>
      <c r="AE3847" s="199" t="str">
        <f t="shared" si="1169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80"/>
        <v>0</v>
      </c>
      <c r="AJ3847" s="200">
        <f t="shared" si="1181"/>
        <v>0</v>
      </c>
      <c r="AK3847" s="201" t="str">
        <f t="shared" si="1170"/>
        <v/>
      </c>
      <c r="AL3847" s="24"/>
      <c r="AM3847" s="24"/>
      <c r="AN3847" s="24"/>
      <c r="AO3847" s="24"/>
      <c r="AP3847" s="165" t="str">
        <f t="shared" si="1171"/>
        <v/>
      </c>
      <c r="AQ3847" s="203" t="str">
        <f t="shared" si="1172"/>
        <v/>
      </c>
      <c r="AR3847" s="206">
        <f t="shared" si="1173"/>
        <v>0</v>
      </c>
      <c r="AS3847" s="22" t="str">
        <f t="shared" si="1174"/>
        <v/>
      </c>
      <c r="AT3847" s="24" t="str">
        <f t="shared" si="1175"/>
        <v/>
      </c>
    </row>
    <row r="3848" spans="1:46">
      <c r="A3848" s="33" t="str">
        <f t="shared" si="1166"/>
        <v/>
      </c>
      <c r="B3848" s="23"/>
      <c r="C3848" s="23"/>
      <c r="D3848" s="202" t="str">
        <f t="shared" si="1177"/>
        <v/>
      </c>
      <c r="E3848" s="33" t="str">
        <f t="shared" si="1165"/>
        <v/>
      </c>
      <c r="F3848" s="23"/>
      <c r="G3848" s="23"/>
      <c r="H3848" s="29"/>
      <c r="I3848" s="204" t="str">
        <f t="shared" si="1167"/>
        <v/>
      </c>
      <c r="J3848" s="188"/>
      <c r="K3848" s="29"/>
      <c r="L3848" s="24"/>
      <c r="M3848" s="22"/>
      <c r="N3848" s="22"/>
      <c r="O3848" s="22"/>
      <c r="P3848" s="202" t="str">
        <f t="shared" si="1176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9"/>
        <v/>
      </c>
      <c r="Z3848" s="196" t="str">
        <f t="shared" si="1178"/>
        <v/>
      </c>
      <c r="AA3848" s="22"/>
      <c r="AB3848" s="197" t="str">
        <f t="shared" si="1164"/>
        <v/>
      </c>
      <c r="AC3848" s="198" t="str">
        <f t="shared" si="1168"/>
        <v/>
      </c>
      <c r="AD3848" s="162"/>
      <c r="AE3848" s="199" t="str">
        <f t="shared" si="1169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80"/>
        <v>0</v>
      </c>
      <c r="AJ3848" s="200">
        <f t="shared" si="1181"/>
        <v>0</v>
      </c>
      <c r="AK3848" s="201" t="str">
        <f t="shared" si="1170"/>
        <v/>
      </c>
      <c r="AL3848" s="24"/>
      <c r="AM3848" s="24"/>
      <c r="AN3848" s="24"/>
      <c r="AO3848" s="24"/>
      <c r="AP3848" s="165" t="str">
        <f t="shared" si="1171"/>
        <v/>
      </c>
      <c r="AQ3848" s="203" t="str">
        <f t="shared" si="1172"/>
        <v/>
      </c>
      <c r="AR3848" s="206">
        <f t="shared" si="1173"/>
        <v>0</v>
      </c>
      <c r="AS3848" s="22" t="str">
        <f t="shared" si="1174"/>
        <v/>
      </c>
      <c r="AT3848" s="24" t="str">
        <f t="shared" si="1175"/>
        <v/>
      </c>
    </row>
    <row r="3849" spans="1:46">
      <c r="A3849" s="33" t="str">
        <f t="shared" si="1166"/>
        <v/>
      </c>
      <c r="B3849" s="23"/>
      <c r="C3849" s="23"/>
      <c r="D3849" s="202" t="str">
        <f t="shared" si="1177"/>
        <v/>
      </c>
      <c r="E3849" s="33" t="str">
        <f t="shared" si="1165"/>
        <v/>
      </c>
      <c r="F3849" s="23"/>
      <c r="G3849" s="23"/>
      <c r="H3849" s="29"/>
      <c r="I3849" s="204" t="str">
        <f t="shared" si="1167"/>
        <v/>
      </c>
      <c r="J3849" s="188"/>
      <c r="K3849" s="29"/>
      <c r="L3849" s="24"/>
      <c r="M3849" s="22"/>
      <c r="N3849" s="22"/>
      <c r="O3849" s="22"/>
      <c r="P3849" s="202" t="str">
        <f t="shared" si="1176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9"/>
        <v/>
      </c>
      <c r="Z3849" s="196" t="str">
        <f t="shared" si="1178"/>
        <v/>
      </c>
      <c r="AA3849" s="22"/>
      <c r="AB3849" s="197" t="str">
        <f t="shared" si="1164"/>
        <v/>
      </c>
      <c r="AC3849" s="198" t="str">
        <f t="shared" si="1168"/>
        <v/>
      </c>
      <c r="AD3849" s="162"/>
      <c r="AE3849" s="199" t="str">
        <f t="shared" si="1169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80"/>
        <v>0</v>
      </c>
      <c r="AJ3849" s="200">
        <f t="shared" si="1181"/>
        <v>0</v>
      </c>
      <c r="AK3849" s="201" t="str">
        <f t="shared" si="1170"/>
        <v/>
      </c>
      <c r="AL3849" s="24"/>
      <c r="AM3849" s="24"/>
      <c r="AN3849" s="24"/>
      <c r="AO3849" s="24"/>
      <c r="AP3849" s="165" t="str">
        <f t="shared" si="1171"/>
        <v/>
      </c>
      <c r="AQ3849" s="203" t="str">
        <f t="shared" si="1172"/>
        <v/>
      </c>
      <c r="AR3849" s="206">
        <f t="shared" si="1173"/>
        <v>0</v>
      </c>
      <c r="AS3849" s="22" t="str">
        <f t="shared" si="1174"/>
        <v/>
      </c>
      <c r="AT3849" s="24" t="str">
        <f t="shared" si="1175"/>
        <v/>
      </c>
    </row>
    <row r="3850" spans="1:46">
      <c r="A3850" s="33" t="str">
        <f t="shared" si="1166"/>
        <v/>
      </c>
      <c r="B3850" s="23"/>
      <c r="C3850" s="23"/>
      <c r="D3850" s="202" t="str">
        <f t="shared" si="1177"/>
        <v/>
      </c>
      <c r="E3850" s="33" t="str">
        <f t="shared" si="1165"/>
        <v/>
      </c>
      <c r="F3850" s="23"/>
      <c r="G3850" s="23"/>
      <c r="H3850" s="29"/>
      <c r="I3850" s="204" t="str">
        <f t="shared" si="1167"/>
        <v/>
      </c>
      <c r="J3850" s="188"/>
      <c r="K3850" s="29"/>
      <c r="L3850" s="24"/>
      <c r="M3850" s="22"/>
      <c r="N3850" s="22"/>
      <c r="O3850" s="22"/>
      <c r="P3850" s="202" t="str">
        <f t="shared" si="1176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9"/>
        <v/>
      </c>
      <c r="Z3850" s="196" t="str">
        <f t="shared" si="1178"/>
        <v/>
      </c>
      <c r="AA3850" s="22"/>
      <c r="AB3850" s="197" t="str">
        <f t="shared" si="1164"/>
        <v/>
      </c>
      <c r="AC3850" s="198" t="str">
        <f t="shared" si="1168"/>
        <v/>
      </c>
      <c r="AD3850" s="162"/>
      <c r="AE3850" s="199" t="str">
        <f t="shared" si="1169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80"/>
        <v>0</v>
      </c>
      <c r="AJ3850" s="200">
        <f t="shared" si="1181"/>
        <v>0</v>
      </c>
      <c r="AK3850" s="201" t="str">
        <f t="shared" si="1170"/>
        <v/>
      </c>
      <c r="AL3850" s="24"/>
      <c r="AM3850" s="24"/>
      <c r="AN3850" s="24"/>
      <c r="AO3850" s="24"/>
      <c r="AP3850" s="165" t="str">
        <f t="shared" si="1171"/>
        <v/>
      </c>
      <c r="AQ3850" s="203" t="str">
        <f t="shared" si="1172"/>
        <v/>
      </c>
      <c r="AR3850" s="206">
        <f t="shared" si="1173"/>
        <v>0</v>
      </c>
      <c r="AS3850" s="22" t="str">
        <f t="shared" si="1174"/>
        <v/>
      </c>
      <c r="AT3850" s="24" t="str">
        <f t="shared" si="1175"/>
        <v/>
      </c>
    </row>
    <row r="3851" spans="1:46">
      <c r="A3851" s="33" t="str">
        <f t="shared" si="1166"/>
        <v/>
      </c>
      <c r="B3851" s="23"/>
      <c r="C3851" s="23"/>
      <c r="D3851" s="202" t="str">
        <f t="shared" si="1177"/>
        <v/>
      </c>
      <c r="E3851" s="33" t="str">
        <f t="shared" si="1165"/>
        <v/>
      </c>
      <c r="F3851" s="23"/>
      <c r="G3851" s="23"/>
      <c r="H3851" s="29"/>
      <c r="I3851" s="204" t="str">
        <f t="shared" si="1167"/>
        <v/>
      </c>
      <c r="J3851" s="188"/>
      <c r="K3851" s="29"/>
      <c r="L3851" s="24"/>
      <c r="M3851" s="22"/>
      <c r="N3851" s="22"/>
      <c r="O3851" s="22"/>
      <c r="P3851" s="202" t="str">
        <f t="shared" si="1176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9"/>
        <v/>
      </c>
      <c r="Z3851" s="196" t="str">
        <f t="shared" si="1178"/>
        <v/>
      </c>
      <c r="AA3851" s="22"/>
      <c r="AB3851" s="197" t="str">
        <f t="shared" si="1164"/>
        <v/>
      </c>
      <c r="AC3851" s="198" t="str">
        <f t="shared" si="1168"/>
        <v/>
      </c>
      <c r="AD3851" s="162"/>
      <c r="AE3851" s="199" t="str">
        <f t="shared" si="1169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80"/>
        <v>0</v>
      </c>
      <c r="AJ3851" s="200">
        <f t="shared" si="1181"/>
        <v>0</v>
      </c>
      <c r="AK3851" s="201" t="str">
        <f t="shared" si="1170"/>
        <v/>
      </c>
      <c r="AL3851" s="24"/>
      <c r="AM3851" s="24"/>
      <c r="AN3851" s="24"/>
      <c r="AO3851" s="24"/>
      <c r="AP3851" s="165" t="str">
        <f t="shared" si="1171"/>
        <v/>
      </c>
      <c r="AQ3851" s="203" t="str">
        <f t="shared" si="1172"/>
        <v/>
      </c>
      <c r="AR3851" s="206">
        <f t="shared" si="1173"/>
        <v>0</v>
      </c>
      <c r="AS3851" s="22" t="str">
        <f t="shared" si="1174"/>
        <v/>
      </c>
      <c r="AT3851" s="24" t="str">
        <f t="shared" si="1175"/>
        <v/>
      </c>
    </row>
    <row r="3852" spans="1:46">
      <c r="A3852" s="33" t="str">
        <f t="shared" si="1166"/>
        <v/>
      </c>
      <c r="B3852" s="23"/>
      <c r="C3852" s="23"/>
      <c r="D3852" s="202" t="str">
        <f t="shared" si="1177"/>
        <v/>
      </c>
      <c r="E3852" s="33" t="str">
        <f t="shared" si="1165"/>
        <v/>
      </c>
      <c r="F3852" s="23"/>
      <c r="G3852" s="23"/>
      <c r="H3852" s="29"/>
      <c r="I3852" s="204" t="str">
        <f t="shared" si="1167"/>
        <v/>
      </c>
      <c r="J3852" s="188"/>
      <c r="K3852" s="29"/>
      <c r="L3852" s="24"/>
      <c r="M3852" s="22"/>
      <c r="N3852" s="22"/>
      <c r="O3852" s="22"/>
      <c r="P3852" s="202" t="str">
        <f t="shared" si="1176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9"/>
        <v/>
      </c>
      <c r="Z3852" s="196" t="str">
        <f t="shared" si="1178"/>
        <v/>
      </c>
      <c r="AA3852" s="22"/>
      <c r="AB3852" s="197" t="str">
        <f t="shared" si="1164"/>
        <v/>
      </c>
      <c r="AC3852" s="198" t="str">
        <f t="shared" si="1168"/>
        <v/>
      </c>
      <c r="AD3852" s="162"/>
      <c r="AE3852" s="199" t="str">
        <f t="shared" si="1169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80"/>
        <v>0</v>
      </c>
      <c r="AJ3852" s="200">
        <f t="shared" si="1181"/>
        <v>0</v>
      </c>
      <c r="AK3852" s="201" t="str">
        <f t="shared" si="1170"/>
        <v/>
      </c>
      <c r="AL3852" s="24"/>
      <c r="AM3852" s="24"/>
      <c r="AN3852" s="24"/>
      <c r="AO3852" s="24"/>
      <c r="AP3852" s="165" t="str">
        <f t="shared" si="1171"/>
        <v/>
      </c>
      <c r="AQ3852" s="203" t="str">
        <f t="shared" si="1172"/>
        <v/>
      </c>
      <c r="AR3852" s="206">
        <f t="shared" si="1173"/>
        <v>0</v>
      </c>
      <c r="AS3852" s="22" t="str">
        <f t="shared" si="1174"/>
        <v/>
      </c>
      <c r="AT3852" s="24" t="str">
        <f t="shared" si="1175"/>
        <v/>
      </c>
    </row>
    <row r="3853" spans="1:46">
      <c r="A3853" s="33" t="str">
        <f t="shared" si="1166"/>
        <v/>
      </c>
      <c r="B3853" s="23"/>
      <c r="C3853" s="23"/>
      <c r="D3853" s="202" t="str">
        <f t="shared" si="1177"/>
        <v/>
      </c>
      <c r="E3853" s="33" t="str">
        <f t="shared" si="1165"/>
        <v/>
      </c>
      <c r="F3853" s="23"/>
      <c r="G3853" s="23"/>
      <c r="H3853" s="29"/>
      <c r="I3853" s="204" t="str">
        <f t="shared" si="1167"/>
        <v/>
      </c>
      <c r="J3853" s="188"/>
      <c r="K3853" s="29"/>
      <c r="L3853" s="24"/>
      <c r="M3853" s="22"/>
      <c r="N3853" s="22"/>
      <c r="O3853" s="22"/>
      <c r="P3853" s="202" t="str">
        <f t="shared" si="1176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9"/>
        <v/>
      </c>
      <c r="Z3853" s="196" t="str">
        <f t="shared" si="1178"/>
        <v/>
      </c>
      <c r="AA3853" s="22"/>
      <c r="AB3853" s="197" t="str">
        <f t="shared" si="1164"/>
        <v/>
      </c>
      <c r="AC3853" s="198" t="str">
        <f t="shared" si="1168"/>
        <v/>
      </c>
      <c r="AD3853" s="162"/>
      <c r="AE3853" s="199" t="str">
        <f t="shared" si="1169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80"/>
        <v>0</v>
      </c>
      <c r="AJ3853" s="200">
        <f t="shared" si="1181"/>
        <v>0</v>
      </c>
      <c r="AK3853" s="201" t="str">
        <f t="shared" si="1170"/>
        <v/>
      </c>
      <c r="AL3853" s="24"/>
      <c r="AM3853" s="24"/>
      <c r="AN3853" s="24"/>
      <c r="AO3853" s="24"/>
      <c r="AP3853" s="165" t="str">
        <f t="shared" si="1171"/>
        <v/>
      </c>
      <c r="AQ3853" s="203" t="str">
        <f t="shared" si="1172"/>
        <v/>
      </c>
      <c r="AR3853" s="206">
        <f t="shared" si="1173"/>
        <v>0</v>
      </c>
      <c r="AS3853" s="22" t="str">
        <f t="shared" si="1174"/>
        <v/>
      </c>
      <c r="AT3853" s="24" t="str">
        <f t="shared" si="1175"/>
        <v/>
      </c>
    </row>
    <row r="3854" spans="1:46">
      <c r="A3854" s="33" t="str">
        <f t="shared" si="1166"/>
        <v/>
      </c>
      <c r="B3854" s="23"/>
      <c r="C3854" s="23"/>
      <c r="D3854" s="202" t="str">
        <f t="shared" si="1177"/>
        <v/>
      </c>
      <c r="E3854" s="33" t="str">
        <f t="shared" si="1165"/>
        <v/>
      </c>
      <c r="F3854" s="23"/>
      <c r="G3854" s="23"/>
      <c r="H3854" s="29"/>
      <c r="I3854" s="204" t="str">
        <f t="shared" si="1167"/>
        <v/>
      </c>
      <c r="J3854" s="188"/>
      <c r="K3854" s="29"/>
      <c r="L3854" s="24"/>
      <c r="M3854" s="22"/>
      <c r="N3854" s="22"/>
      <c r="O3854" s="22"/>
      <c r="P3854" s="202" t="str">
        <f t="shared" si="1176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9"/>
        <v/>
      </c>
      <c r="Z3854" s="196" t="str">
        <f t="shared" si="1178"/>
        <v/>
      </c>
      <c r="AA3854" s="22"/>
      <c r="AB3854" s="197" t="str">
        <f t="shared" si="1164"/>
        <v/>
      </c>
      <c r="AC3854" s="198" t="str">
        <f t="shared" si="1168"/>
        <v/>
      </c>
      <c r="AD3854" s="162"/>
      <c r="AE3854" s="199" t="str">
        <f t="shared" si="1169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80"/>
        <v>0</v>
      </c>
      <c r="AJ3854" s="200">
        <f t="shared" si="1181"/>
        <v>0</v>
      </c>
      <c r="AK3854" s="201" t="str">
        <f t="shared" si="1170"/>
        <v/>
      </c>
      <c r="AL3854" s="24"/>
      <c r="AM3854" s="24"/>
      <c r="AN3854" s="24"/>
      <c r="AO3854" s="24"/>
      <c r="AP3854" s="165" t="str">
        <f t="shared" si="1171"/>
        <v/>
      </c>
      <c r="AQ3854" s="203" t="str">
        <f t="shared" si="1172"/>
        <v/>
      </c>
      <c r="AR3854" s="206">
        <f t="shared" si="1173"/>
        <v>0</v>
      </c>
      <c r="AS3854" s="22" t="str">
        <f t="shared" si="1174"/>
        <v/>
      </c>
      <c r="AT3854" s="24" t="str">
        <f t="shared" si="1175"/>
        <v/>
      </c>
    </row>
    <row r="3855" spans="1:46">
      <c r="A3855" s="33" t="str">
        <f t="shared" si="1166"/>
        <v/>
      </c>
      <c r="B3855" s="23"/>
      <c r="C3855" s="23"/>
      <c r="D3855" s="202" t="str">
        <f t="shared" si="1177"/>
        <v/>
      </c>
      <c r="E3855" s="33" t="str">
        <f t="shared" si="1165"/>
        <v/>
      </c>
      <c r="F3855" s="23"/>
      <c r="G3855" s="23"/>
      <c r="H3855" s="29"/>
      <c r="I3855" s="204" t="str">
        <f t="shared" si="1167"/>
        <v/>
      </c>
      <c r="J3855" s="188"/>
      <c r="K3855" s="29"/>
      <c r="L3855" s="24"/>
      <c r="M3855" s="22"/>
      <c r="N3855" s="22"/>
      <c r="O3855" s="22"/>
      <c r="P3855" s="202" t="str">
        <f t="shared" si="1176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9"/>
        <v/>
      </c>
      <c r="Z3855" s="196" t="str">
        <f t="shared" si="1178"/>
        <v/>
      </c>
      <c r="AA3855" s="22"/>
      <c r="AB3855" s="197" t="str">
        <f t="shared" si="1164"/>
        <v/>
      </c>
      <c r="AC3855" s="198" t="str">
        <f t="shared" si="1168"/>
        <v/>
      </c>
      <c r="AD3855" s="162"/>
      <c r="AE3855" s="199" t="str">
        <f t="shared" si="1169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80"/>
        <v>0</v>
      </c>
      <c r="AJ3855" s="200">
        <f t="shared" si="1181"/>
        <v>0</v>
      </c>
      <c r="AK3855" s="201" t="str">
        <f t="shared" si="1170"/>
        <v/>
      </c>
      <c r="AL3855" s="24"/>
      <c r="AM3855" s="24"/>
      <c r="AN3855" s="24"/>
      <c r="AO3855" s="24"/>
      <c r="AP3855" s="165" t="str">
        <f t="shared" si="1171"/>
        <v/>
      </c>
      <c r="AQ3855" s="203" t="str">
        <f t="shared" si="1172"/>
        <v/>
      </c>
      <c r="AR3855" s="206">
        <f t="shared" si="1173"/>
        <v>0</v>
      </c>
      <c r="AS3855" s="22" t="str">
        <f t="shared" si="1174"/>
        <v/>
      </c>
      <c r="AT3855" s="24" t="str">
        <f t="shared" si="1175"/>
        <v/>
      </c>
    </row>
    <row r="3856" spans="1:46">
      <c r="A3856" s="33" t="str">
        <f t="shared" si="1166"/>
        <v/>
      </c>
      <c r="B3856" s="23"/>
      <c r="C3856" s="23"/>
      <c r="D3856" s="202" t="str">
        <f t="shared" si="1177"/>
        <v/>
      </c>
      <c r="E3856" s="33" t="str">
        <f t="shared" si="1165"/>
        <v/>
      </c>
      <c r="F3856" s="23"/>
      <c r="G3856" s="23"/>
      <c r="H3856" s="29"/>
      <c r="I3856" s="204" t="str">
        <f t="shared" si="1167"/>
        <v/>
      </c>
      <c r="J3856" s="188"/>
      <c r="K3856" s="29"/>
      <c r="L3856" s="24"/>
      <c r="M3856" s="22"/>
      <c r="N3856" s="22"/>
      <c r="O3856" s="22"/>
      <c r="P3856" s="202" t="str">
        <f t="shared" si="1176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9"/>
        <v/>
      </c>
      <c r="Z3856" s="196" t="str">
        <f t="shared" si="1178"/>
        <v/>
      </c>
      <c r="AA3856" s="22"/>
      <c r="AB3856" s="197" t="str">
        <f t="shared" si="1164"/>
        <v/>
      </c>
      <c r="AC3856" s="198" t="str">
        <f t="shared" si="1168"/>
        <v/>
      </c>
      <c r="AD3856" s="162"/>
      <c r="AE3856" s="199" t="str">
        <f t="shared" si="1169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80"/>
        <v>0</v>
      </c>
      <c r="AJ3856" s="200">
        <f t="shared" si="1181"/>
        <v>0</v>
      </c>
      <c r="AK3856" s="201" t="str">
        <f t="shared" si="1170"/>
        <v/>
      </c>
      <c r="AL3856" s="24"/>
      <c r="AM3856" s="24"/>
      <c r="AN3856" s="24"/>
      <c r="AO3856" s="24"/>
      <c r="AP3856" s="165" t="str">
        <f t="shared" si="1171"/>
        <v/>
      </c>
      <c r="AQ3856" s="203" t="str">
        <f t="shared" si="1172"/>
        <v/>
      </c>
      <c r="AR3856" s="206">
        <f t="shared" si="1173"/>
        <v>0</v>
      </c>
      <c r="AS3856" s="22" t="str">
        <f t="shared" si="1174"/>
        <v/>
      </c>
      <c r="AT3856" s="24" t="str">
        <f t="shared" si="1175"/>
        <v/>
      </c>
    </row>
    <row r="3857" spans="1:46">
      <c r="A3857" s="33" t="str">
        <f t="shared" si="1166"/>
        <v/>
      </c>
      <c r="B3857" s="23"/>
      <c r="C3857" s="23"/>
      <c r="D3857" s="202" t="str">
        <f t="shared" si="1177"/>
        <v/>
      </c>
      <c r="E3857" s="33" t="str">
        <f t="shared" si="1165"/>
        <v/>
      </c>
      <c r="F3857" s="23"/>
      <c r="G3857" s="23"/>
      <c r="H3857" s="29"/>
      <c r="I3857" s="204" t="str">
        <f t="shared" si="1167"/>
        <v/>
      </c>
      <c r="J3857" s="188"/>
      <c r="K3857" s="29"/>
      <c r="L3857" s="24"/>
      <c r="M3857" s="22"/>
      <c r="N3857" s="22"/>
      <c r="O3857" s="22"/>
      <c r="P3857" s="202" t="str">
        <f t="shared" si="1176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9"/>
        <v/>
      </c>
      <c r="Z3857" s="196" t="str">
        <f t="shared" si="1178"/>
        <v/>
      </c>
      <c r="AA3857" s="22"/>
      <c r="AB3857" s="197" t="str">
        <f t="shared" si="1164"/>
        <v/>
      </c>
      <c r="AC3857" s="198" t="str">
        <f t="shared" si="1168"/>
        <v/>
      </c>
      <c r="AD3857" s="162"/>
      <c r="AE3857" s="199" t="str">
        <f t="shared" si="1169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80"/>
        <v>0</v>
      </c>
      <c r="AJ3857" s="200">
        <f t="shared" si="1181"/>
        <v>0</v>
      </c>
      <c r="AK3857" s="201" t="str">
        <f t="shared" si="1170"/>
        <v/>
      </c>
      <c r="AL3857" s="24"/>
      <c r="AM3857" s="24"/>
      <c r="AN3857" s="24"/>
      <c r="AO3857" s="24"/>
      <c r="AP3857" s="165" t="str">
        <f t="shared" si="1171"/>
        <v/>
      </c>
      <c r="AQ3857" s="203" t="str">
        <f t="shared" si="1172"/>
        <v/>
      </c>
      <c r="AR3857" s="206">
        <f t="shared" si="1173"/>
        <v>0</v>
      </c>
      <c r="AS3857" s="22" t="str">
        <f t="shared" si="1174"/>
        <v/>
      </c>
      <c r="AT3857" s="24" t="str">
        <f t="shared" si="1175"/>
        <v/>
      </c>
    </row>
    <row r="3858" spans="1:46">
      <c r="A3858" s="33" t="str">
        <f t="shared" si="1166"/>
        <v/>
      </c>
      <c r="B3858" s="23"/>
      <c r="C3858" s="23"/>
      <c r="D3858" s="202" t="str">
        <f t="shared" si="1177"/>
        <v/>
      </c>
      <c r="E3858" s="33" t="str">
        <f t="shared" si="1165"/>
        <v/>
      </c>
      <c r="F3858" s="23"/>
      <c r="G3858" s="23"/>
      <c r="H3858" s="29"/>
      <c r="I3858" s="204" t="str">
        <f t="shared" si="1167"/>
        <v/>
      </c>
      <c r="J3858" s="188"/>
      <c r="K3858" s="29"/>
      <c r="L3858" s="24"/>
      <c r="M3858" s="22"/>
      <c r="N3858" s="22"/>
      <c r="O3858" s="22"/>
      <c r="P3858" s="202" t="str">
        <f t="shared" si="1176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9"/>
        <v/>
      </c>
      <c r="Z3858" s="196" t="str">
        <f t="shared" si="1178"/>
        <v/>
      </c>
      <c r="AA3858" s="22"/>
      <c r="AB3858" s="197" t="str">
        <f t="shared" ref="AB3858:AB3921" si="1182">IF(AND(R3858&lt;&gt;"C66",R3858&lt;&gt;""),Z3858/Y3858*AA3858,"")</f>
        <v/>
      </c>
      <c r="AC3858" s="198" t="str">
        <f t="shared" si="1168"/>
        <v/>
      </c>
      <c r="AD3858" s="162"/>
      <c r="AE3858" s="199" t="str">
        <f t="shared" si="1169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80"/>
        <v>0</v>
      </c>
      <c r="AJ3858" s="200">
        <f t="shared" si="1181"/>
        <v>0</v>
      </c>
      <c r="AK3858" s="201" t="str">
        <f t="shared" si="1170"/>
        <v/>
      </c>
      <c r="AL3858" s="24"/>
      <c r="AM3858" s="24"/>
      <c r="AN3858" s="24"/>
      <c r="AO3858" s="24"/>
      <c r="AP3858" s="165" t="str">
        <f t="shared" si="1171"/>
        <v/>
      </c>
      <c r="AQ3858" s="203" t="str">
        <f t="shared" si="1172"/>
        <v/>
      </c>
      <c r="AR3858" s="206">
        <f t="shared" si="1173"/>
        <v>0</v>
      </c>
      <c r="AS3858" s="22" t="str">
        <f t="shared" si="1174"/>
        <v/>
      </c>
      <c r="AT3858" s="24" t="str">
        <f t="shared" si="1175"/>
        <v/>
      </c>
    </row>
    <row r="3859" spans="1:46">
      <c r="A3859" s="33" t="str">
        <f t="shared" si="1166"/>
        <v/>
      </c>
      <c r="B3859" s="23"/>
      <c r="C3859" s="23"/>
      <c r="D3859" s="202" t="str">
        <f t="shared" si="1177"/>
        <v/>
      </c>
      <c r="E3859" s="33" t="str">
        <f t="shared" si="1165"/>
        <v/>
      </c>
      <c r="F3859" s="23"/>
      <c r="G3859" s="23"/>
      <c r="H3859" s="29"/>
      <c r="I3859" s="204" t="str">
        <f t="shared" si="1167"/>
        <v/>
      </c>
      <c r="J3859" s="188"/>
      <c r="K3859" s="29"/>
      <c r="L3859" s="24"/>
      <c r="M3859" s="22"/>
      <c r="N3859" s="22"/>
      <c r="O3859" s="22"/>
      <c r="P3859" s="202" t="str">
        <f t="shared" si="1176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9"/>
        <v/>
      </c>
      <c r="Z3859" s="196" t="str">
        <f t="shared" si="1178"/>
        <v/>
      </c>
      <c r="AA3859" s="22"/>
      <c r="AB3859" s="197" t="str">
        <f t="shared" si="1182"/>
        <v/>
      </c>
      <c r="AC3859" s="198" t="str">
        <f t="shared" si="1168"/>
        <v/>
      </c>
      <c r="AD3859" s="162"/>
      <c r="AE3859" s="199" t="str">
        <f t="shared" si="1169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80"/>
        <v>0</v>
      </c>
      <c r="AJ3859" s="200">
        <f t="shared" si="1181"/>
        <v>0</v>
      </c>
      <c r="AK3859" s="201" t="str">
        <f t="shared" si="1170"/>
        <v/>
      </c>
      <c r="AL3859" s="24"/>
      <c r="AM3859" s="24"/>
      <c r="AN3859" s="24"/>
      <c r="AO3859" s="24"/>
      <c r="AP3859" s="165" t="str">
        <f t="shared" si="1171"/>
        <v/>
      </c>
      <c r="AQ3859" s="203" t="str">
        <f t="shared" si="1172"/>
        <v/>
      </c>
      <c r="AR3859" s="206">
        <f t="shared" si="1173"/>
        <v>0</v>
      </c>
      <c r="AS3859" s="22" t="str">
        <f t="shared" si="1174"/>
        <v/>
      </c>
      <c r="AT3859" s="24" t="str">
        <f t="shared" si="1175"/>
        <v/>
      </c>
    </row>
    <row r="3860" spans="1:46">
      <c r="A3860" s="33" t="str">
        <f t="shared" si="1166"/>
        <v/>
      </c>
      <c r="B3860" s="23"/>
      <c r="C3860" s="23"/>
      <c r="D3860" s="202" t="str">
        <f t="shared" si="1177"/>
        <v/>
      </c>
      <c r="E3860" s="33" t="str">
        <f t="shared" si="1165"/>
        <v/>
      </c>
      <c r="F3860" s="23"/>
      <c r="G3860" s="23"/>
      <c r="H3860" s="29"/>
      <c r="I3860" s="204" t="str">
        <f t="shared" si="1167"/>
        <v/>
      </c>
      <c r="J3860" s="188"/>
      <c r="K3860" s="29"/>
      <c r="L3860" s="24"/>
      <c r="M3860" s="22"/>
      <c r="N3860" s="22"/>
      <c r="O3860" s="22"/>
      <c r="P3860" s="202" t="str">
        <f t="shared" si="1176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9"/>
        <v/>
      </c>
      <c r="Z3860" s="196" t="str">
        <f t="shared" si="1178"/>
        <v/>
      </c>
      <c r="AA3860" s="22"/>
      <c r="AB3860" s="197" t="str">
        <f t="shared" si="1182"/>
        <v/>
      </c>
      <c r="AC3860" s="198" t="str">
        <f t="shared" si="1168"/>
        <v/>
      </c>
      <c r="AD3860" s="162"/>
      <c r="AE3860" s="199" t="str">
        <f t="shared" si="1169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80"/>
        <v>0</v>
      </c>
      <c r="AJ3860" s="200">
        <f t="shared" si="1181"/>
        <v>0</v>
      </c>
      <c r="AK3860" s="201" t="str">
        <f t="shared" si="1170"/>
        <v/>
      </c>
      <c r="AL3860" s="24"/>
      <c r="AM3860" s="24"/>
      <c r="AN3860" s="24"/>
      <c r="AO3860" s="24"/>
      <c r="AP3860" s="165" t="str">
        <f t="shared" si="1171"/>
        <v/>
      </c>
      <c r="AQ3860" s="203" t="str">
        <f t="shared" si="1172"/>
        <v/>
      </c>
      <c r="AR3860" s="206">
        <f t="shared" si="1173"/>
        <v>0</v>
      </c>
      <c r="AS3860" s="22" t="str">
        <f t="shared" si="1174"/>
        <v/>
      </c>
      <c r="AT3860" s="24" t="str">
        <f t="shared" si="1175"/>
        <v/>
      </c>
    </row>
    <row r="3861" spans="1:46">
      <c r="A3861" s="33" t="str">
        <f t="shared" si="1166"/>
        <v/>
      </c>
      <c r="B3861" s="23"/>
      <c r="C3861" s="23"/>
      <c r="D3861" s="202" t="str">
        <f t="shared" si="1177"/>
        <v/>
      </c>
      <c r="E3861" s="33" t="str">
        <f t="shared" si="1165"/>
        <v/>
      </c>
      <c r="F3861" s="23"/>
      <c r="G3861" s="23"/>
      <c r="H3861" s="29"/>
      <c r="I3861" s="204" t="str">
        <f t="shared" si="1167"/>
        <v/>
      </c>
      <c r="J3861" s="188"/>
      <c r="K3861" s="29"/>
      <c r="L3861" s="24"/>
      <c r="M3861" s="22"/>
      <c r="N3861" s="22"/>
      <c r="O3861" s="22"/>
      <c r="P3861" s="202" t="str">
        <f t="shared" si="1176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9"/>
        <v/>
      </c>
      <c r="Z3861" s="196" t="str">
        <f t="shared" si="1178"/>
        <v/>
      </c>
      <c r="AA3861" s="22"/>
      <c r="AB3861" s="197" t="str">
        <f t="shared" si="1182"/>
        <v/>
      </c>
      <c r="AC3861" s="198" t="str">
        <f t="shared" si="1168"/>
        <v/>
      </c>
      <c r="AD3861" s="162"/>
      <c r="AE3861" s="199" t="str">
        <f t="shared" si="1169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80"/>
        <v>0</v>
      </c>
      <c r="AJ3861" s="200">
        <f t="shared" si="1181"/>
        <v>0</v>
      </c>
      <c r="AK3861" s="201" t="str">
        <f t="shared" si="1170"/>
        <v/>
      </c>
      <c r="AL3861" s="24"/>
      <c r="AM3861" s="24"/>
      <c r="AN3861" s="24"/>
      <c r="AO3861" s="24"/>
      <c r="AP3861" s="165" t="str">
        <f t="shared" si="1171"/>
        <v/>
      </c>
      <c r="AQ3861" s="203" t="str">
        <f t="shared" si="1172"/>
        <v/>
      </c>
      <c r="AR3861" s="206">
        <f t="shared" si="1173"/>
        <v>0</v>
      </c>
      <c r="AS3861" s="22" t="str">
        <f t="shared" si="1174"/>
        <v/>
      </c>
      <c r="AT3861" s="24" t="str">
        <f t="shared" si="1175"/>
        <v/>
      </c>
    </row>
    <row r="3862" spans="1:46">
      <c r="A3862" s="33" t="str">
        <f t="shared" si="1166"/>
        <v/>
      </c>
      <c r="B3862" s="23"/>
      <c r="C3862" s="23"/>
      <c r="D3862" s="202" t="str">
        <f t="shared" si="1177"/>
        <v/>
      </c>
      <c r="E3862" s="33" t="str">
        <f t="shared" si="1165"/>
        <v/>
      </c>
      <c r="F3862" s="23"/>
      <c r="G3862" s="23"/>
      <c r="H3862" s="29"/>
      <c r="I3862" s="204" t="str">
        <f t="shared" si="1167"/>
        <v/>
      </c>
      <c r="J3862" s="188"/>
      <c r="K3862" s="29"/>
      <c r="L3862" s="24"/>
      <c r="M3862" s="22"/>
      <c r="N3862" s="22"/>
      <c r="O3862" s="22"/>
      <c r="P3862" s="202" t="str">
        <f t="shared" si="1176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9"/>
        <v/>
      </c>
      <c r="Z3862" s="196" t="str">
        <f t="shared" si="1178"/>
        <v/>
      </c>
      <c r="AA3862" s="22"/>
      <c r="AB3862" s="197" t="str">
        <f t="shared" si="1182"/>
        <v/>
      </c>
      <c r="AC3862" s="198" t="str">
        <f t="shared" si="1168"/>
        <v/>
      </c>
      <c r="AD3862" s="162"/>
      <c r="AE3862" s="199" t="str">
        <f t="shared" si="1169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80"/>
        <v>0</v>
      </c>
      <c r="AJ3862" s="200">
        <f t="shared" si="1181"/>
        <v>0</v>
      </c>
      <c r="AK3862" s="201" t="str">
        <f t="shared" si="1170"/>
        <v/>
      </c>
      <c r="AL3862" s="24"/>
      <c r="AM3862" s="24"/>
      <c r="AN3862" s="24"/>
      <c r="AO3862" s="24"/>
      <c r="AP3862" s="165" t="str">
        <f t="shared" si="1171"/>
        <v/>
      </c>
      <c r="AQ3862" s="203" t="str">
        <f t="shared" si="1172"/>
        <v/>
      </c>
      <c r="AR3862" s="206">
        <f t="shared" si="1173"/>
        <v>0</v>
      </c>
      <c r="AS3862" s="22" t="str">
        <f t="shared" si="1174"/>
        <v/>
      </c>
      <c r="AT3862" s="24" t="str">
        <f t="shared" si="1175"/>
        <v/>
      </c>
    </row>
    <row r="3863" spans="1:46">
      <c r="A3863" s="33" t="str">
        <f t="shared" si="1166"/>
        <v/>
      </c>
      <c r="B3863" s="23"/>
      <c r="C3863" s="23"/>
      <c r="D3863" s="202" t="str">
        <f t="shared" si="1177"/>
        <v/>
      </c>
      <c r="E3863" s="33" t="str">
        <f t="shared" si="1165"/>
        <v/>
      </c>
      <c r="F3863" s="23"/>
      <c r="G3863" s="23"/>
      <c r="H3863" s="29"/>
      <c r="I3863" s="204" t="str">
        <f t="shared" si="1167"/>
        <v/>
      </c>
      <c r="J3863" s="188"/>
      <c r="K3863" s="29"/>
      <c r="L3863" s="24"/>
      <c r="M3863" s="22"/>
      <c r="N3863" s="22"/>
      <c r="O3863" s="22"/>
      <c r="P3863" s="202" t="str">
        <f t="shared" si="1176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9"/>
        <v/>
      </c>
      <c r="Z3863" s="196" t="str">
        <f t="shared" si="1178"/>
        <v/>
      </c>
      <c r="AA3863" s="22"/>
      <c r="AB3863" s="197" t="str">
        <f t="shared" si="1182"/>
        <v/>
      </c>
      <c r="AC3863" s="198" t="str">
        <f t="shared" si="1168"/>
        <v/>
      </c>
      <c r="AD3863" s="162"/>
      <c r="AE3863" s="199" t="str">
        <f t="shared" si="1169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80"/>
        <v>0</v>
      </c>
      <c r="AJ3863" s="200">
        <f t="shared" si="1181"/>
        <v>0</v>
      </c>
      <c r="AK3863" s="201" t="str">
        <f t="shared" si="1170"/>
        <v/>
      </c>
      <c r="AL3863" s="24"/>
      <c r="AM3863" s="24"/>
      <c r="AN3863" s="24"/>
      <c r="AO3863" s="24"/>
      <c r="AP3863" s="165" t="str">
        <f t="shared" si="1171"/>
        <v/>
      </c>
      <c r="AQ3863" s="203" t="str">
        <f t="shared" si="1172"/>
        <v/>
      </c>
      <c r="AR3863" s="206">
        <f t="shared" si="1173"/>
        <v>0</v>
      </c>
      <c r="AS3863" s="22" t="str">
        <f t="shared" si="1174"/>
        <v/>
      </c>
      <c r="AT3863" s="24" t="str">
        <f t="shared" si="1175"/>
        <v/>
      </c>
    </row>
    <row r="3864" spans="1:46">
      <c r="A3864" s="33" t="str">
        <f t="shared" si="1166"/>
        <v/>
      </c>
      <c r="B3864" s="23"/>
      <c r="C3864" s="23"/>
      <c r="D3864" s="202" t="str">
        <f t="shared" si="1177"/>
        <v/>
      </c>
      <c r="E3864" s="33" t="str">
        <f t="shared" ref="E3864:E3927" si="1183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67"/>
        <v/>
      </c>
      <c r="J3864" s="188"/>
      <c r="K3864" s="29"/>
      <c r="L3864" s="24"/>
      <c r="M3864" s="22"/>
      <c r="N3864" s="22"/>
      <c r="O3864" s="22"/>
      <c r="P3864" s="202" t="str">
        <f t="shared" si="1176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9"/>
        <v/>
      </c>
      <c r="Z3864" s="196" t="str">
        <f t="shared" si="1178"/>
        <v/>
      </c>
      <c r="AA3864" s="22"/>
      <c r="AB3864" s="197" t="str">
        <f t="shared" si="1182"/>
        <v/>
      </c>
      <c r="AC3864" s="198" t="str">
        <f t="shared" si="1168"/>
        <v/>
      </c>
      <c r="AD3864" s="162"/>
      <c r="AE3864" s="199" t="str">
        <f t="shared" si="1169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80"/>
        <v>0</v>
      </c>
      <c r="AJ3864" s="200">
        <f t="shared" si="1181"/>
        <v>0</v>
      </c>
      <c r="AK3864" s="201" t="str">
        <f t="shared" si="1170"/>
        <v/>
      </c>
      <c r="AL3864" s="24"/>
      <c r="AM3864" s="24"/>
      <c r="AN3864" s="24"/>
      <c r="AO3864" s="24"/>
      <c r="AP3864" s="165" t="str">
        <f t="shared" si="1171"/>
        <v/>
      </c>
      <c r="AQ3864" s="203" t="str">
        <f t="shared" si="1172"/>
        <v/>
      </c>
      <c r="AR3864" s="206">
        <f t="shared" si="1173"/>
        <v>0</v>
      </c>
      <c r="AS3864" s="22" t="str">
        <f t="shared" si="1174"/>
        <v/>
      </c>
      <c r="AT3864" s="24" t="str">
        <f t="shared" si="1175"/>
        <v/>
      </c>
    </row>
    <row r="3865" spans="1:46">
      <c r="A3865" s="33" t="str">
        <f t="shared" si="1166"/>
        <v/>
      </c>
      <c r="B3865" s="23"/>
      <c r="C3865" s="23"/>
      <c r="D3865" s="202" t="str">
        <f t="shared" si="1177"/>
        <v/>
      </c>
      <c r="E3865" s="33" t="str">
        <f t="shared" si="1183"/>
        <v/>
      </c>
      <c r="F3865" s="23"/>
      <c r="G3865" s="23"/>
      <c r="H3865" s="29"/>
      <c r="I3865" s="204" t="str">
        <f t="shared" si="1167"/>
        <v/>
      </c>
      <c r="J3865" s="188"/>
      <c r="K3865" s="29"/>
      <c r="L3865" s="24"/>
      <c r="M3865" s="22"/>
      <c r="N3865" s="22"/>
      <c r="O3865" s="22"/>
      <c r="P3865" s="202" t="str">
        <f t="shared" si="1176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9"/>
        <v/>
      </c>
      <c r="Z3865" s="196" t="str">
        <f t="shared" si="1178"/>
        <v/>
      </c>
      <c r="AA3865" s="22"/>
      <c r="AB3865" s="197" t="str">
        <f t="shared" si="1182"/>
        <v/>
      </c>
      <c r="AC3865" s="198" t="str">
        <f t="shared" si="1168"/>
        <v/>
      </c>
      <c r="AD3865" s="162"/>
      <c r="AE3865" s="199" t="str">
        <f t="shared" si="1169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80"/>
        <v>0</v>
      </c>
      <c r="AJ3865" s="200">
        <f t="shared" si="1181"/>
        <v>0</v>
      </c>
      <c r="AK3865" s="201" t="str">
        <f t="shared" si="1170"/>
        <v/>
      </c>
      <c r="AL3865" s="24"/>
      <c r="AM3865" s="24"/>
      <c r="AN3865" s="24"/>
      <c r="AO3865" s="24"/>
      <c r="AP3865" s="165" t="str">
        <f t="shared" si="1171"/>
        <v/>
      </c>
      <c r="AQ3865" s="203" t="str">
        <f t="shared" si="1172"/>
        <v/>
      </c>
      <c r="AR3865" s="206">
        <f t="shared" si="1173"/>
        <v>0</v>
      </c>
      <c r="AS3865" s="22" t="str">
        <f t="shared" si="1174"/>
        <v/>
      </c>
      <c r="AT3865" s="24" t="str">
        <f t="shared" si="1175"/>
        <v/>
      </c>
    </row>
    <row r="3866" spans="1:46">
      <c r="A3866" s="33" t="str">
        <f t="shared" si="1166"/>
        <v/>
      </c>
      <c r="B3866" s="23"/>
      <c r="C3866" s="23"/>
      <c r="D3866" s="202" t="str">
        <f t="shared" si="1177"/>
        <v/>
      </c>
      <c r="E3866" s="33" t="str">
        <f t="shared" si="1183"/>
        <v/>
      </c>
      <c r="F3866" s="23"/>
      <c r="G3866" s="23"/>
      <c r="H3866" s="29"/>
      <c r="I3866" s="204" t="str">
        <f t="shared" si="1167"/>
        <v/>
      </c>
      <c r="J3866" s="188"/>
      <c r="K3866" s="29"/>
      <c r="L3866" s="24"/>
      <c r="M3866" s="22"/>
      <c r="N3866" s="22"/>
      <c r="O3866" s="22"/>
      <c r="P3866" s="202" t="str">
        <f t="shared" si="1176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9"/>
        <v/>
      </c>
      <c r="Z3866" s="196" t="str">
        <f t="shared" si="1178"/>
        <v/>
      </c>
      <c r="AA3866" s="22"/>
      <c r="AB3866" s="197" t="str">
        <f t="shared" si="1182"/>
        <v/>
      </c>
      <c r="AC3866" s="198" t="str">
        <f t="shared" si="1168"/>
        <v/>
      </c>
      <c r="AD3866" s="162"/>
      <c r="AE3866" s="199" t="str">
        <f t="shared" si="1169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80"/>
        <v>0</v>
      </c>
      <c r="AJ3866" s="200">
        <f t="shared" si="1181"/>
        <v>0</v>
      </c>
      <c r="AK3866" s="201" t="str">
        <f t="shared" si="1170"/>
        <v/>
      </c>
      <c r="AL3866" s="24"/>
      <c r="AM3866" s="24"/>
      <c r="AN3866" s="24"/>
      <c r="AO3866" s="24"/>
      <c r="AP3866" s="165" t="str">
        <f t="shared" si="1171"/>
        <v/>
      </c>
      <c r="AQ3866" s="203" t="str">
        <f t="shared" si="1172"/>
        <v/>
      </c>
      <c r="AR3866" s="206">
        <f t="shared" si="1173"/>
        <v>0</v>
      </c>
      <c r="AS3866" s="22" t="str">
        <f t="shared" si="1174"/>
        <v/>
      </c>
      <c r="AT3866" s="24" t="str">
        <f t="shared" si="1175"/>
        <v/>
      </c>
    </row>
    <row r="3867" spans="1:46">
      <c r="A3867" s="33" t="str">
        <f t="shared" si="1166"/>
        <v/>
      </c>
      <c r="B3867" s="23"/>
      <c r="C3867" s="23"/>
      <c r="D3867" s="202" t="str">
        <f t="shared" si="1177"/>
        <v/>
      </c>
      <c r="E3867" s="33" t="str">
        <f t="shared" si="1183"/>
        <v/>
      </c>
      <c r="F3867" s="23"/>
      <c r="G3867" s="23"/>
      <c r="H3867" s="29"/>
      <c r="I3867" s="204" t="str">
        <f t="shared" si="1167"/>
        <v/>
      </c>
      <c r="J3867" s="188"/>
      <c r="K3867" s="29"/>
      <c r="L3867" s="24"/>
      <c r="M3867" s="22"/>
      <c r="N3867" s="22"/>
      <c r="O3867" s="22"/>
      <c r="P3867" s="202" t="str">
        <f t="shared" si="1176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9"/>
        <v/>
      </c>
      <c r="Z3867" s="196" t="str">
        <f t="shared" si="1178"/>
        <v/>
      </c>
      <c r="AA3867" s="22"/>
      <c r="AB3867" s="197" t="str">
        <f t="shared" si="1182"/>
        <v/>
      </c>
      <c r="AC3867" s="198" t="str">
        <f t="shared" si="1168"/>
        <v/>
      </c>
      <c r="AD3867" s="162"/>
      <c r="AE3867" s="199" t="str">
        <f t="shared" si="1169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80"/>
        <v>0</v>
      </c>
      <c r="AJ3867" s="200">
        <f t="shared" si="1181"/>
        <v>0</v>
      </c>
      <c r="AK3867" s="201" t="str">
        <f t="shared" si="1170"/>
        <v/>
      </c>
      <c r="AL3867" s="24"/>
      <c r="AM3867" s="24"/>
      <c r="AN3867" s="24"/>
      <c r="AO3867" s="24"/>
      <c r="AP3867" s="165" t="str">
        <f t="shared" si="1171"/>
        <v/>
      </c>
      <c r="AQ3867" s="203" t="str">
        <f t="shared" si="1172"/>
        <v/>
      </c>
      <c r="AR3867" s="206">
        <f t="shared" si="1173"/>
        <v>0</v>
      </c>
      <c r="AS3867" s="22" t="str">
        <f t="shared" si="1174"/>
        <v/>
      </c>
      <c r="AT3867" s="24" t="str">
        <f t="shared" si="1175"/>
        <v/>
      </c>
    </row>
    <row r="3868" spans="1:46">
      <c r="A3868" s="33" t="str">
        <f t="shared" si="1166"/>
        <v/>
      </c>
      <c r="B3868" s="23"/>
      <c r="C3868" s="23"/>
      <c r="D3868" s="202" t="str">
        <f t="shared" si="1177"/>
        <v/>
      </c>
      <c r="E3868" s="33" t="str">
        <f t="shared" si="1183"/>
        <v/>
      </c>
      <c r="F3868" s="23"/>
      <c r="G3868" s="23"/>
      <c r="H3868" s="29"/>
      <c r="I3868" s="204" t="str">
        <f t="shared" si="1167"/>
        <v/>
      </c>
      <c r="J3868" s="188"/>
      <c r="K3868" s="29"/>
      <c r="L3868" s="24"/>
      <c r="M3868" s="22"/>
      <c r="N3868" s="22"/>
      <c r="O3868" s="22"/>
      <c r="P3868" s="202" t="str">
        <f t="shared" si="1176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9"/>
        <v/>
      </c>
      <c r="Z3868" s="196" t="str">
        <f t="shared" si="1178"/>
        <v/>
      </c>
      <c r="AA3868" s="22"/>
      <c r="AB3868" s="197" t="str">
        <f t="shared" si="1182"/>
        <v/>
      </c>
      <c r="AC3868" s="198" t="str">
        <f t="shared" si="1168"/>
        <v/>
      </c>
      <c r="AD3868" s="162"/>
      <c r="AE3868" s="199" t="str">
        <f t="shared" si="1169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80"/>
        <v>0</v>
      </c>
      <c r="AJ3868" s="200">
        <f t="shared" si="1181"/>
        <v>0</v>
      </c>
      <c r="AK3868" s="201" t="str">
        <f t="shared" si="1170"/>
        <v/>
      </c>
      <c r="AL3868" s="24"/>
      <c r="AM3868" s="24"/>
      <c r="AN3868" s="24"/>
      <c r="AO3868" s="24"/>
      <c r="AP3868" s="165" t="str">
        <f t="shared" si="1171"/>
        <v/>
      </c>
      <c r="AQ3868" s="203" t="str">
        <f t="shared" si="1172"/>
        <v/>
      </c>
      <c r="AR3868" s="206">
        <f t="shared" si="1173"/>
        <v>0</v>
      </c>
      <c r="AS3868" s="22" t="str">
        <f t="shared" si="1174"/>
        <v/>
      </c>
      <c r="AT3868" s="24" t="str">
        <f t="shared" si="1175"/>
        <v/>
      </c>
    </row>
    <row r="3869" spans="1:46">
      <c r="A3869" s="33" t="str">
        <f t="shared" si="1166"/>
        <v/>
      </c>
      <c r="B3869" s="23"/>
      <c r="C3869" s="23"/>
      <c r="D3869" s="202" t="str">
        <f t="shared" si="1177"/>
        <v/>
      </c>
      <c r="E3869" s="33" t="str">
        <f t="shared" si="1183"/>
        <v/>
      </c>
      <c r="F3869" s="23"/>
      <c r="G3869" s="23"/>
      <c r="H3869" s="29"/>
      <c r="I3869" s="204" t="str">
        <f t="shared" si="1167"/>
        <v/>
      </c>
      <c r="J3869" s="188"/>
      <c r="K3869" s="29"/>
      <c r="L3869" s="24"/>
      <c r="M3869" s="22"/>
      <c r="N3869" s="22"/>
      <c r="O3869" s="22"/>
      <c r="P3869" s="202" t="str">
        <f t="shared" si="1176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9"/>
        <v/>
      </c>
      <c r="Z3869" s="196" t="str">
        <f t="shared" si="1178"/>
        <v/>
      </c>
      <c r="AA3869" s="22"/>
      <c r="AB3869" s="197" t="str">
        <f t="shared" si="1182"/>
        <v/>
      </c>
      <c r="AC3869" s="198" t="str">
        <f t="shared" si="1168"/>
        <v/>
      </c>
      <c r="AD3869" s="162"/>
      <c r="AE3869" s="199" t="str">
        <f t="shared" si="1169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80"/>
        <v>0</v>
      </c>
      <c r="AJ3869" s="200">
        <f t="shared" si="1181"/>
        <v>0</v>
      </c>
      <c r="AK3869" s="201" t="str">
        <f t="shared" si="1170"/>
        <v/>
      </c>
      <c r="AL3869" s="24"/>
      <c r="AM3869" s="24"/>
      <c r="AN3869" s="24"/>
      <c r="AO3869" s="24"/>
      <c r="AP3869" s="165" t="str">
        <f t="shared" si="1171"/>
        <v/>
      </c>
      <c r="AQ3869" s="203" t="str">
        <f t="shared" si="1172"/>
        <v/>
      </c>
      <c r="AR3869" s="206">
        <f t="shared" si="1173"/>
        <v>0</v>
      </c>
      <c r="AS3869" s="22" t="str">
        <f t="shared" si="1174"/>
        <v/>
      </c>
      <c r="AT3869" s="24" t="str">
        <f t="shared" si="1175"/>
        <v/>
      </c>
    </row>
    <row r="3870" spans="1:46">
      <c r="A3870" s="33" t="str">
        <f t="shared" si="1166"/>
        <v/>
      </c>
      <c r="B3870" s="23"/>
      <c r="C3870" s="23"/>
      <c r="D3870" s="202" t="str">
        <f t="shared" si="1177"/>
        <v/>
      </c>
      <c r="E3870" s="33" t="str">
        <f t="shared" si="1183"/>
        <v/>
      </c>
      <c r="F3870" s="23"/>
      <c r="G3870" s="23"/>
      <c r="H3870" s="29"/>
      <c r="I3870" s="204" t="str">
        <f t="shared" si="1167"/>
        <v/>
      </c>
      <c r="J3870" s="188"/>
      <c r="K3870" s="29"/>
      <c r="L3870" s="24"/>
      <c r="M3870" s="22"/>
      <c r="N3870" s="22"/>
      <c r="O3870" s="22"/>
      <c r="P3870" s="202" t="str">
        <f t="shared" si="1176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9"/>
        <v/>
      </c>
      <c r="Z3870" s="196" t="str">
        <f t="shared" si="1178"/>
        <v/>
      </c>
      <c r="AA3870" s="22"/>
      <c r="AB3870" s="197" t="str">
        <f t="shared" si="1182"/>
        <v/>
      </c>
      <c r="AC3870" s="198" t="str">
        <f t="shared" si="1168"/>
        <v/>
      </c>
      <c r="AD3870" s="162"/>
      <c r="AE3870" s="199" t="str">
        <f t="shared" si="1169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80"/>
        <v>0</v>
      </c>
      <c r="AJ3870" s="200">
        <f t="shared" si="1181"/>
        <v>0</v>
      </c>
      <c r="AK3870" s="201" t="str">
        <f t="shared" si="1170"/>
        <v/>
      </c>
      <c r="AL3870" s="24"/>
      <c r="AM3870" s="24"/>
      <c r="AN3870" s="24"/>
      <c r="AO3870" s="24"/>
      <c r="AP3870" s="165" t="str">
        <f t="shared" si="1171"/>
        <v/>
      </c>
      <c r="AQ3870" s="203" t="str">
        <f t="shared" si="1172"/>
        <v/>
      </c>
      <c r="AR3870" s="206">
        <f t="shared" si="1173"/>
        <v>0</v>
      </c>
      <c r="AS3870" s="22" t="str">
        <f t="shared" si="1174"/>
        <v/>
      </c>
      <c r="AT3870" s="24" t="str">
        <f t="shared" si="1175"/>
        <v/>
      </c>
    </row>
    <row r="3871" spans="1:46">
      <c r="A3871" s="33" t="str">
        <f t="shared" si="1166"/>
        <v/>
      </c>
      <c r="B3871" s="23"/>
      <c r="C3871" s="23"/>
      <c r="D3871" s="202" t="str">
        <f t="shared" si="1177"/>
        <v/>
      </c>
      <c r="E3871" s="33" t="str">
        <f t="shared" si="1183"/>
        <v/>
      </c>
      <c r="F3871" s="23"/>
      <c r="G3871" s="23"/>
      <c r="H3871" s="29"/>
      <c r="I3871" s="204" t="str">
        <f t="shared" si="1167"/>
        <v/>
      </c>
      <c r="J3871" s="188"/>
      <c r="K3871" s="29"/>
      <c r="L3871" s="24"/>
      <c r="M3871" s="22"/>
      <c r="N3871" s="22"/>
      <c r="O3871" s="22"/>
      <c r="P3871" s="202" t="str">
        <f t="shared" si="1176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9"/>
        <v/>
      </c>
      <c r="Z3871" s="196" t="str">
        <f t="shared" si="1178"/>
        <v/>
      </c>
      <c r="AA3871" s="22"/>
      <c r="AB3871" s="197" t="str">
        <f t="shared" si="1182"/>
        <v/>
      </c>
      <c r="AC3871" s="198" t="str">
        <f t="shared" si="1168"/>
        <v/>
      </c>
      <c r="AD3871" s="162"/>
      <c r="AE3871" s="199" t="str">
        <f t="shared" si="1169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80"/>
        <v>0</v>
      </c>
      <c r="AJ3871" s="200">
        <f t="shared" si="1181"/>
        <v>0</v>
      </c>
      <c r="AK3871" s="201" t="str">
        <f t="shared" si="1170"/>
        <v/>
      </c>
      <c r="AL3871" s="24"/>
      <c r="AM3871" s="24"/>
      <c r="AN3871" s="24"/>
      <c r="AO3871" s="24"/>
      <c r="AP3871" s="165" t="str">
        <f t="shared" si="1171"/>
        <v/>
      </c>
      <c r="AQ3871" s="203" t="str">
        <f t="shared" si="1172"/>
        <v/>
      </c>
      <c r="AR3871" s="206">
        <f t="shared" si="1173"/>
        <v>0</v>
      </c>
      <c r="AS3871" s="22" t="str">
        <f t="shared" si="1174"/>
        <v/>
      </c>
      <c r="AT3871" s="24" t="str">
        <f t="shared" si="1175"/>
        <v/>
      </c>
    </row>
    <row r="3872" spans="1:46">
      <c r="A3872" s="33" t="str">
        <f t="shared" ref="A3872:A3935" si="1184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77"/>
        <v/>
      </c>
      <c r="E3872" s="33" t="str">
        <f t="shared" si="1183"/>
        <v/>
      </c>
      <c r="F3872" s="23"/>
      <c r="G3872" s="23"/>
      <c r="H3872" s="29"/>
      <c r="I3872" s="204" t="str">
        <f t="shared" ref="I3872:I3935" si="1185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76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9"/>
        <v/>
      </c>
      <c r="Z3872" s="196" t="str">
        <f t="shared" si="1178"/>
        <v/>
      </c>
      <c r="AA3872" s="22"/>
      <c r="AB3872" s="197" t="str">
        <f t="shared" si="1182"/>
        <v/>
      </c>
      <c r="AC3872" s="198" t="str">
        <f t="shared" ref="AC3872:AC3935" si="1186">IF(R3872&lt;&gt;"",AB3872*AD3872,"")</f>
        <v/>
      </c>
      <c r="AD3872" s="162"/>
      <c r="AE3872" s="199" t="str">
        <f t="shared" ref="AE3872:AE3935" si="1187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80"/>
        <v>0</v>
      </c>
      <c r="AJ3872" s="200">
        <f t="shared" si="1181"/>
        <v>0</v>
      </c>
      <c r="AK3872" s="201" t="str">
        <f t="shared" ref="AK3872:AK3935" si="1188">IF(AJ3872&gt;0,AJ3872/AI3872,"")</f>
        <v/>
      </c>
      <c r="AL3872" s="24"/>
      <c r="AM3872" s="24"/>
      <c r="AN3872" s="24"/>
      <c r="AO3872" s="24"/>
      <c r="AP3872" s="165" t="str">
        <f t="shared" ref="AP3872:AP3935" si="1189">IF(F3872="","",F3872&amp;G3872)</f>
        <v/>
      </c>
      <c r="AQ3872" s="203" t="str">
        <f t="shared" ref="AQ3872:AQ3935" si="1190">IF(W3872="","",F3872&amp;G3872&amp;W3872)</f>
        <v/>
      </c>
      <c r="AR3872" s="206">
        <f t="shared" ref="AR3872:AR3935" si="1191">IFERROR(IF(AND(M3872="YAMAHA", R3872="C28"), "YAMAHA_Non_Mounter", IF(AND(M3872="YAMAHA", R3872="C49"), "YAMAHA_Mounter", M3872)),"")</f>
        <v>0</v>
      </c>
      <c r="AS3872" s="22" t="str">
        <f t="shared" ref="AS3872:AS3935" si="1192">IFERROR(IF(OR(G3872="TBA", G3872=""), "", DATEDIF(DATE(B3872, C3872, 1), DATE(F3872, G3872, 1), "M")),"")</f>
        <v/>
      </c>
      <c r="AT3872" s="24" t="str">
        <f t="shared" ref="AT3872:AT3935" si="1193">IF(ISNUMBER(AS3872), IF(AS3872&gt;=0, IF(AS3872&lt;=3, "0-3 months", IF(AS3872&lt;=6, "4-6 months", "&gt; 6 months"))), "")</f>
        <v/>
      </c>
    </row>
    <row r="3873" spans="1:46">
      <c r="A3873" s="33" t="str">
        <f t="shared" si="1184"/>
        <v/>
      </c>
      <c r="B3873" s="23"/>
      <c r="C3873" s="23"/>
      <c r="D3873" s="202" t="str">
        <f t="shared" si="1177"/>
        <v/>
      </c>
      <c r="E3873" s="33" t="str">
        <f t="shared" si="1183"/>
        <v/>
      </c>
      <c r="F3873" s="23"/>
      <c r="G3873" s="23"/>
      <c r="H3873" s="29"/>
      <c r="I3873" s="204" t="str">
        <f t="shared" si="1185"/>
        <v/>
      </c>
      <c r="J3873" s="188"/>
      <c r="K3873" s="29"/>
      <c r="L3873" s="24"/>
      <c r="M3873" s="22"/>
      <c r="N3873" s="22"/>
      <c r="O3873" s="22"/>
      <c r="P3873" s="202" t="str">
        <f t="shared" ref="P3873:P3936" si="1194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9"/>
        <v/>
      </c>
      <c r="Z3873" s="196" t="str">
        <f t="shared" si="1178"/>
        <v/>
      </c>
      <c r="AA3873" s="22"/>
      <c r="AB3873" s="197" t="str">
        <f t="shared" si="1182"/>
        <v/>
      </c>
      <c r="AC3873" s="198" t="str">
        <f t="shared" si="1186"/>
        <v/>
      </c>
      <c r="AD3873" s="162"/>
      <c r="AE3873" s="199" t="str">
        <f t="shared" si="1187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80"/>
        <v>0</v>
      </c>
      <c r="AJ3873" s="200">
        <f t="shared" si="1181"/>
        <v>0</v>
      </c>
      <c r="AK3873" s="201" t="str">
        <f t="shared" si="1188"/>
        <v/>
      </c>
      <c r="AL3873" s="24"/>
      <c r="AM3873" s="24"/>
      <c r="AN3873" s="24"/>
      <c r="AO3873" s="24"/>
      <c r="AP3873" s="165" t="str">
        <f t="shared" si="1189"/>
        <v/>
      </c>
      <c r="AQ3873" s="203" t="str">
        <f t="shared" si="1190"/>
        <v/>
      </c>
      <c r="AR3873" s="206">
        <f t="shared" si="1191"/>
        <v>0</v>
      </c>
      <c r="AS3873" s="22" t="str">
        <f t="shared" si="1192"/>
        <v/>
      </c>
      <c r="AT3873" s="24" t="str">
        <f t="shared" si="1193"/>
        <v/>
      </c>
    </row>
    <row r="3874" spans="1:46">
      <c r="A3874" s="33" t="str">
        <f t="shared" si="1184"/>
        <v/>
      </c>
      <c r="B3874" s="23"/>
      <c r="C3874" s="23"/>
      <c r="D3874" s="202" t="str">
        <f t="shared" si="1177"/>
        <v/>
      </c>
      <c r="E3874" s="33" t="str">
        <f t="shared" si="1183"/>
        <v/>
      </c>
      <c r="F3874" s="23"/>
      <c r="G3874" s="23"/>
      <c r="H3874" s="29"/>
      <c r="I3874" s="204" t="str">
        <f t="shared" si="1185"/>
        <v/>
      </c>
      <c r="J3874" s="188"/>
      <c r="K3874" s="29"/>
      <c r="L3874" s="24"/>
      <c r="M3874" s="22"/>
      <c r="N3874" s="22"/>
      <c r="O3874" s="22"/>
      <c r="P3874" s="202" t="str">
        <f t="shared" si="1194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9"/>
        <v/>
      </c>
      <c r="Z3874" s="196" t="str">
        <f t="shared" si="1178"/>
        <v/>
      </c>
      <c r="AA3874" s="22"/>
      <c r="AB3874" s="197" t="str">
        <f t="shared" si="1182"/>
        <v/>
      </c>
      <c r="AC3874" s="198" t="str">
        <f t="shared" si="1186"/>
        <v/>
      </c>
      <c r="AD3874" s="162"/>
      <c r="AE3874" s="199" t="str">
        <f t="shared" si="1187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80"/>
        <v>0</v>
      </c>
      <c r="AJ3874" s="200">
        <f t="shared" si="1181"/>
        <v>0</v>
      </c>
      <c r="AK3874" s="201" t="str">
        <f t="shared" si="1188"/>
        <v/>
      </c>
      <c r="AL3874" s="24"/>
      <c r="AM3874" s="24"/>
      <c r="AN3874" s="24"/>
      <c r="AO3874" s="24"/>
      <c r="AP3874" s="165" t="str">
        <f t="shared" si="1189"/>
        <v/>
      </c>
      <c r="AQ3874" s="203" t="str">
        <f t="shared" si="1190"/>
        <v/>
      </c>
      <c r="AR3874" s="206">
        <f t="shared" si="1191"/>
        <v>0</v>
      </c>
      <c r="AS3874" s="22" t="str">
        <f t="shared" si="1192"/>
        <v/>
      </c>
      <c r="AT3874" s="24" t="str">
        <f t="shared" si="1193"/>
        <v/>
      </c>
    </row>
    <row r="3875" spans="1:46">
      <c r="A3875" s="33" t="str">
        <f t="shared" si="1184"/>
        <v/>
      </c>
      <c r="B3875" s="23"/>
      <c r="C3875" s="23"/>
      <c r="D3875" s="202" t="str">
        <f t="shared" si="1177"/>
        <v/>
      </c>
      <c r="E3875" s="33" t="str">
        <f t="shared" si="1183"/>
        <v/>
      </c>
      <c r="F3875" s="23"/>
      <c r="G3875" s="23"/>
      <c r="H3875" s="29"/>
      <c r="I3875" s="204" t="str">
        <f t="shared" si="1185"/>
        <v/>
      </c>
      <c r="J3875" s="188"/>
      <c r="K3875" s="29"/>
      <c r="L3875" s="24"/>
      <c r="M3875" s="22"/>
      <c r="N3875" s="22"/>
      <c r="O3875" s="22"/>
      <c r="P3875" s="202" t="str">
        <f t="shared" si="1194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9"/>
        <v/>
      </c>
      <c r="Z3875" s="196" t="str">
        <f t="shared" si="1178"/>
        <v/>
      </c>
      <c r="AA3875" s="22"/>
      <c r="AB3875" s="197" t="str">
        <f t="shared" si="1182"/>
        <v/>
      </c>
      <c r="AC3875" s="198" t="str">
        <f t="shared" si="1186"/>
        <v/>
      </c>
      <c r="AD3875" s="162"/>
      <c r="AE3875" s="199" t="str">
        <f t="shared" si="1187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80"/>
        <v>0</v>
      </c>
      <c r="AJ3875" s="200">
        <f t="shared" si="1181"/>
        <v>0</v>
      </c>
      <c r="AK3875" s="201" t="str">
        <f t="shared" si="1188"/>
        <v/>
      </c>
      <c r="AL3875" s="24"/>
      <c r="AM3875" s="24"/>
      <c r="AN3875" s="24"/>
      <c r="AO3875" s="24"/>
      <c r="AP3875" s="165" t="str">
        <f t="shared" si="1189"/>
        <v/>
      </c>
      <c r="AQ3875" s="203" t="str">
        <f t="shared" si="1190"/>
        <v/>
      </c>
      <c r="AR3875" s="206">
        <f t="shared" si="1191"/>
        <v>0</v>
      </c>
      <c r="AS3875" s="22" t="str">
        <f t="shared" si="1192"/>
        <v/>
      </c>
      <c r="AT3875" s="24" t="str">
        <f t="shared" si="1193"/>
        <v/>
      </c>
    </row>
    <row r="3876" spans="1:46">
      <c r="A3876" s="33" t="str">
        <f t="shared" si="1184"/>
        <v/>
      </c>
      <c r="B3876" s="23"/>
      <c r="C3876" s="23"/>
      <c r="D3876" s="202" t="str">
        <f t="shared" si="1177"/>
        <v/>
      </c>
      <c r="E3876" s="33" t="str">
        <f t="shared" si="1183"/>
        <v/>
      </c>
      <c r="F3876" s="23"/>
      <c r="G3876" s="23"/>
      <c r="H3876" s="29"/>
      <c r="I3876" s="204" t="str">
        <f t="shared" si="1185"/>
        <v/>
      </c>
      <c r="J3876" s="188"/>
      <c r="K3876" s="29"/>
      <c r="L3876" s="24"/>
      <c r="M3876" s="22"/>
      <c r="N3876" s="22"/>
      <c r="O3876" s="22"/>
      <c r="P3876" s="202" t="str">
        <f t="shared" si="1194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9"/>
        <v/>
      </c>
      <c r="Z3876" s="196" t="str">
        <f t="shared" si="1178"/>
        <v/>
      </c>
      <c r="AA3876" s="22"/>
      <c r="AB3876" s="197" t="str">
        <f t="shared" si="1182"/>
        <v/>
      </c>
      <c r="AC3876" s="198" t="str">
        <f t="shared" si="1186"/>
        <v/>
      </c>
      <c r="AD3876" s="162"/>
      <c r="AE3876" s="199" t="str">
        <f t="shared" si="1187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80"/>
        <v>0</v>
      </c>
      <c r="AJ3876" s="200">
        <f t="shared" si="1181"/>
        <v>0</v>
      </c>
      <c r="AK3876" s="201" t="str">
        <f t="shared" si="1188"/>
        <v/>
      </c>
      <c r="AL3876" s="24"/>
      <c r="AM3876" s="24"/>
      <c r="AN3876" s="24"/>
      <c r="AO3876" s="24"/>
      <c r="AP3876" s="165" t="str">
        <f t="shared" si="1189"/>
        <v/>
      </c>
      <c r="AQ3876" s="203" t="str">
        <f t="shared" si="1190"/>
        <v/>
      </c>
      <c r="AR3876" s="206">
        <f t="shared" si="1191"/>
        <v>0</v>
      </c>
      <c r="AS3876" s="22" t="str">
        <f t="shared" si="1192"/>
        <v/>
      </c>
      <c r="AT3876" s="24" t="str">
        <f t="shared" si="1193"/>
        <v/>
      </c>
    </row>
    <row r="3877" spans="1:46">
      <c r="A3877" s="33" t="str">
        <f t="shared" si="1184"/>
        <v/>
      </c>
      <c r="B3877" s="23"/>
      <c r="C3877" s="23"/>
      <c r="D3877" s="202" t="str">
        <f t="shared" si="1177"/>
        <v/>
      </c>
      <c r="E3877" s="33" t="str">
        <f t="shared" si="1183"/>
        <v/>
      </c>
      <c r="F3877" s="23"/>
      <c r="G3877" s="23"/>
      <c r="H3877" s="29"/>
      <c r="I3877" s="204" t="str">
        <f t="shared" si="1185"/>
        <v/>
      </c>
      <c r="J3877" s="188"/>
      <c r="K3877" s="29"/>
      <c r="L3877" s="24"/>
      <c r="M3877" s="22"/>
      <c r="N3877" s="22"/>
      <c r="O3877" s="22"/>
      <c r="P3877" s="202" t="str">
        <f t="shared" si="1194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9"/>
        <v/>
      </c>
      <c r="Z3877" s="196" t="str">
        <f t="shared" si="1178"/>
        <v/>
      </c>
      <c r="AA3877" s="22"/>
      <c r="AB3877" s="197" t="str">
        <f t="shared" si="1182"/>
        <v/>
      </c>
      <c r="AC3877" s="198" t="str">
        <f t="shared" si="1186"/>
        <v/>
      </c>
      <c r="AD3877" s="162"/>
      <c r="AE3877" s="199" t="str">
        <f t="shared" si="1187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80"/>
        <v>0</v>
      </c>
      <c r="AJ3877" s="200">
        <f t="shared" si="1181"/>
        <v>0</v>
      </c>
      <c r="AK3877" s="201" t="str">
        <f t="shared" si="1188"/>
        <v/>
      </c>
      <c r="AL3877" s="24"/>
      <c r="AM3877" s="24"/>
      <c r="AN3877" s="24"/>
      <c r="AO3877" s="24"/>
      <c r="AP3877" s="165" t="str">
        <f t="shared" si="1189"/>
        <v/>
      </c>
      <c r="AQ3877" s="203" t="str">
        <f t="shared" si="1190"/>
        <v/>
      </c>
      <c r="AR3877" s="206">
        <f t="shared" si="1191"/>
        <v>0</v>
      </c>
      <c r="AS3877" s="22" t="str">
        <f t="shared" si="1192"/>
        <v/>
      </c>
      <c r="AT3877" s="24" t="str">
        <f t="shared" si="1193"/>
        <v/>
      </c>
    </row>
    <row r="3878" spans="1:46">
      <c r="A3878" s="33" t="str">
        <f t="shared" si="1184"/>
        <v/>
      </c>
      <c r="B3878" s="23"/>
      <c r="C3878" s="23"/>
      <c r="D3878" s="202" t="str">
        <f t="shared" si="1177"/>
        <v/>
      </c>
      <c r="E3878" s="33" t="str">
        <f t="shared" si="1183"/>
        <v/>
      </c>
      <c r="F3878" s="23"/>
      <c r="G3878" s="23"/>
      <c r="H3878" s="29"/>
      <c r="I3878" s="204" t="str">
        <f t="shared" si="1185"/>
        <v/>
      </c>
      <c r="J3878" s="188"/>
      <c r="K3878" s="29"/>
      <c r="L3878" s="24"/>
      <c r="M3878" s="22"/>
      <c r="N3878" s="22"/>
      <c r="O3878" s="22"/>
      <c r="P3878" s="202" t="str">
        <f t="shared" si="1194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9"/>
        <v/>
      </c>
      <c r="Z3878" s="196" t="str">
        <f t="shared" si="1178"/>
        <v/>
      </c>
      <c r="AA3878" s="22"/>
      <c r="AB3878" s="197" t="str">
        <f t="shared" si="1182"/>
        <v/>
      </c>
      <c r="AC3878" s="198" t="str">
        <f t="shared" si="1186"/>
        <v/>
      </c>
      <c r="AD3878" s="162"/>
      <c r="AE3878" s="199" t="str">
        <f t="shared" si="1187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80"/>
        <v>0</v>
      </c>
      <c r="AJ3878" s="200">
        <f t="shared" si="1181"/>
        <v>0</v>
      </c>
      <c r="AK3878" s="201" t="str">
        <f t="shared" si="1188"/>
        <v/>
      </c>
      <c r="AL3878" s="24"/>
      <c r="AM3878" s="24"/>
      <c r="AN3878" s="24"/>
      <c r="AO3878" s="24"/>
      <c r="AP3878" s="165" t="str">
        <f t="shared" si="1189"/>
        <v/>
      </c>
      <c r="AQ3878" s="203" t="str">
        <f t="shared" si="1190"/>
        <v/>
      </c>
      <c r="AR3878" s="206">
        <f t="shared" si="1191"/>
        <v>0</v>
      </c>
      <c r="AS3878" s="22" t="str">
        <f t="shared" si="1192"/>
        <v/>
      </c>
      <c r="AT3878" s="24" t="str">
        <f t="shared" si="1193"/>
        <v/>
      </c>
    </row>
    <row r="3879" spans="1:46">
      <c r="A3879" s="33" t="str">
        <f t="shared" si="1184"/>
        <v/>
      </c>
      <c r="B3879" s="23"/>
      <c r="C3879" s="23"/>
      <c r="D3879" s="202" t="str">
        <f t="shared" si="1177"/>
        <v/>
      </c>
      <c r="E3879" s="33" t="str">
        <f t="shared" si="1183"/>
        <v/>
      </c>
      <c r="F3879" s="23"/>
      <c r="G3879" s="23"/>
      <c r="H3879" s="29"/>
      <c r="I3879" s="204" t="str">
        <f t="shared" si="1185"/>
        <v/>
      </c>
      <c r="J3879" s="188"/>
      <c r="K3879" s="29"/>
      <c r="L3879" s="24"/>
      <c r="M3879" s="22"/>
      <c r="N3879" s="22"/>
      <c r="O3879" s="22"/>
      <c r="P3879" s="202" t="str">
        <f t="shared" si="1194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9"/>
        <v/>
      </c>
      <c r="Z3879" s="196" t="str">
        <f t="shared" si="1178"/>
        <v/>
      </c>
      <c r="AA3879" s="22"/>
      <c r="AB3879" s="197" t="str">
        <f t="shared" si="1182"/>
        <v/>
      </c>
      <c r="AC3879" s="198" t="str">
        <f t="shared" si="1186"/>
        <v/>
      </c>
      <c r="AD3879" s="162"/>
      <c r="AE3879" s="199" t="str">
        <f t="shared" si="1187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80"/>
        <v>0</v>
      </c>
      <c r="AJ3879" s="200">
        <f t="shared" si="1181"/>
        <v>0</v>
      </c>
      <c r="AK3879" s="201" t="str">
        <f t="shared" si="1188"/>
        <v/>
      </c>
      <c r="AL3879" s="24"/>
      <c r="AM3879" s="24"/>
      <c r="AN3879" s="24"/>
      <c r="AO3879" s="24"/>
      <c r="AP3879" s="165" t="str">
        <f t="shared" si="1189"/>
        <v/>
      </c>
      <c r="AQ3879" s="203" t="str">
        <f t="shared" si="1190"/>
        <v/>
      </c>
      <c r="AR3879" s="206">
        <f t="shared" si="1191"/>
        <v>0</v>
      </c>
      <c r="AS3879" s="22" t="str">
        <f t="shared" si="1192"/>
        <v/>
      </c>
      <c r="AT3879" s="24" t="str">
        <f t="shared" si="1193"/>
        <v/>
      </c>
    </row>
    <row r="3880" spans="1:46">
      <c r="A3880" s="33" t="str">
        <f t="shared" si="1184"/>
        <v/>
      </c>
      <c r="B3880" s="23"/>
      <c r="C3880" s="23"/>
      <c r="D3880" s="202" t="str">
        <f t="shared" si="1177"/>
        <v/>
      </c>
      <c r="E3880" s="33" t="str">
        <f t="shared" si="1183"/>
        <v/>
      </c>
      <c r="F3880" s="23"/>
      <c r="G3880" s="23"/>
      <c r="H3880" s="29"/>
      <c r="I3880" s="204" t="str">
        <f t="shared" si="1185"/>
        <v/>
      </c>
      <c r="J3880" s="188"/>
      <c r="K3880" s="29"/>
      <c r="L3880" s="24"/>
      <c r="M3880" s="22"/>
      <c r="N3880" s="22"/>
      <c r="O3880" s="22"/>
      <c r="P3880" s="202" t="str">
        <f t="shared" si="1194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9"/>
        <v/>
      </c>
      <c r="Z3880" s="196" t="str">
        <f t="shared" si="1178"/>
        <v/>
      </c>
      <c r="AA3880" s="22"/>
      <c r="AB3880" s="197" t="str">
        <f t="shared" si="1182"/>
        <v/>
      </c>
      <c r="AC3880" s="198" t="str">
        <f t="shared" si="1186"/>
        <v/>
      </c>
      <c r="AD3880" s="162"/>
      <c r="AE3880" s="199" t="str">
        <f t="shared" si="1187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80"/>
        <v>0</v>
      </c>
      <c r="AJ3880" s="200">
        <f t="shared" si="1181"/>
        <v>0</v>
      </c>
      <c r="AK3880" s="201" t="str">
        <f t="shared" si="1188"/>
        <v/>
      </c>
      <c r="AL3880" s="24"/>
      <c r="AM3880" s="24"/>
      <c r="AN3880" s="24"/>
      <c r="AO3880" s="24"/>
      <c r="AP3880" s="165" t="str">
        <f t="shared" si="1189"/>
        <v/>
      </c>
      <c r="AQ3880" s="203" t="str">
        <f t="shared" si="1190"/>
        <v/>
      </c>
      <c r="AR3880" s="206">
        <f t="shared" si="1191"/>
        <v>0</v>
      </c>
      <c r="AS3880" s="22" t="str">
        <f t="shared" si="1192"/>
        <v/>
      </c>
      <c r="AT3880" s="24" t="str">
        <f t="shared" si="1193"/>
        <v/>
      </c>
    </row>
    <row r="3881" spans="1:46">
      <c r="A3881" s="33" t="str">
        <f t="shared" si="1184"/>
        <v/>
      </c>
      <c r="B3881" s="23"/>
      <c r="C3881" s="23"/>
      <c r="D3881" s="202" t="str">
        <f t="shared" si="1177"/>
        <v/>
      </c>
      <c r="E3881" s="33" t="str">
        <f t="shared" si="1183"/>
        <v/>
      </c>
      <c r="F3881" s="23"/>
      <c r="G3881" s="23"/>
      <c r="H3881" s="29"/>
      <c r="I3881" s="204" t="str">
        <f t="shared" si="1185"/>
        <v/>
      </c>
      <c r="J3881" s="188"/>
      <c r="K3881" s="29"/>
      <c r="L3881" s="24"/>
      <c r="M3881" s="22"/>
      <c r="N3881" s="22"/>
      <c r="O3881" s="22"/>
      <c r="P3881" s="202" t="str">
        <f t="shared" si="1194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9"/>
        <v/>
      </c>
      <c r="Z3881" s="196" t="str">
        <f t="shared" si="1178"/>
        <v/>
      </c>
      <c r="AA3881" s="22"/>
      <c r="AB3881" s="197" t="str">
        <f t="shared" si="1182"/>
        <v/>
      </c>
      <c r="AC3881" s="198" t="str">
        <f t="shared" si="1186"/>
        <v/>
      </c>
      <c r="AD3881" s="162"/>
      <c r="AE3881" s="199" t="str">
        <f t="shared" si="1187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80"/>
        <v>0</v>
      </c>
      <c r="AJ3881" s="200">
        <f t="shared" si="1181"/>
        <v>0</v>
      </c>
      <c r="AK3881" s="201" t="str">
        <f t="shared" si="1188"/>
        <v/>
      </c>
      <c r="AL3881" s="24"/>
      <c r="AM3881" s="24"/>
      <c r="AN3881" s="24"/>
      <c r="AO3881" s="24"/>
      <c r="AP3881" s="165" t="str">
        <f t="shared" si="1189"/>
        <v/>
      </c>
      <c r="AQ3881" s="203" t="str">
        <f t="shared" si="1190"/>
        <v/>
      </c>
      <c r="AR3881" s="206">
        <f t="shared" si="1191"/>
        <v>0</v>
      </c>
      <c r="AS3881" s="22" t="str">
        <f t="shared" si="1192"/>
        <v/>
      </c>
      <c r="AT3881" s="24" t="str">
        <f t="shared" si="1193"/>
        <v/>
      </c>
    </row>
    <row r="3882" spans="1:46">
      <c r="A3882" s="33" t="str">
        <f t="shared" si="1184"/>
        <v/>
      </c>
      <c r="B3882" s="23"/>
      <c r="C3882" s="23"/>
      <c r="D3882" s="202" t="str">
        <f t="shared" si="1177"/>
        <v/>
      </c>
      <c r="E3882" s="33" t="str">
        <f t="shared" si="1183"/>
        <v/>
      </c>
      <c r="F3882" s="23"/>
      <c r="G3882" s="23"/>
      <c r="H3882" s="29"/>
      <c r="I3882" s="204" t="str">
        <f t="shared" si="1185"/>
        <v/>
      </c>
      <c r="J3882" s="188"/>
      <c r="K3882" s="29"/>
      <c r="L3882" s="24"/>
      <c r="M3882" s="22"/>
      <c r="N3882" s="22"/>
      <c r="O3882" s="22"/>
      <c r="P3882" s="202" t="str">
        <f t="shared" si="1194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9"/>
        <v/>
      </c>
      <c r="Z3882" s="196" t="str">
        <f t="shared" si="1178"/>
        <v/>
      </c>
      <c r="AA3882" s="22"/>
      <c r="AB3882" s="197" t="str">
        <f t="shared" si="1182"/>
        <v/>
      </c>
      <c r="AC3882" s="198" t="str">
        <f t="shared" si="1186"/>
        <v/>
      </c>
      <c r="AD3882" s="162"/>
      <c r="AE3882" s="199" t="str">
        <f t="shared" si="1187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80"/>
        <v>0</v>
      </c>
      <c r="AJ3882" s="200">
        <f t="shared" si="1181"/>
        <v>0</v>
      </c>
      <c r="AK3882" s="201" t="str">
        <f t="shared" si="1188"/>
        <v/>
      </c>
      <c r="AL3882" s="24"/>
      <c r="AM3882" s="24"/>
      <c r="AN3882" s="24"/>
      <c r="AO3882" s="24"/>
      <c r="AP3882" s="165" t="str">
        <f t="shared" si="1189"/>
        <v/>
      </c>
      <c r="AQ3882" s="203" t="str">
        <f t="shared" si="1190"/>
        <v/>
      </c>
      <c r="AR3882" s="206">
        <f t="shared" si="1191"/>
        <v>0</v>
      </c>
      <c r="AS3882" s="22" t="str">
        <f t="shared" si="1192"/>
        <v/>
      </c>
      <c r="AT3882" s="24" t="str">
        <f t="shared" si="1193"/>
        <v/>
      </c>
    </row>
    <row r="3883" spans="1:46">
      <c r="A3883" s="33" t="str">
        <f t="shared" si="1184"/>
        <v/>
      </c>
      <c r="B3883" s="23"/>
      <c r="C3883" s="23"/>
      <c r="D3883" s="202" t="str">
        <f t="shared" si="1177"/>
        <v/>
      </c>
      <c r="E3883" s="33" t="str">
        <f t="shared" si="1183"/>
        <v/>
      </c>
      <c r="F3883" s="23"/>
      <c r="G3883" s="23"/>
      <c r="H3883" s="29"/>
      <c r="I3883" s="204" t="str">
        <f t="shared" si="1185"/>
        <v/>
      </c>
      <c r="J3883" s="188"/>
      <c r="K3883" s="29"/>
      <c r="L3883" s="24"/>
      <c r="M3883" s="22"/>
      <c r="N3883" s="22"/>
      <c r="O3883" s="22"/>
      <c r="P3883" s="202" t="str">
        <f t="shared" si="1194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9"/>
        <v/>
      </c>
      <c r="Z3883" s="196" t="str">
        <f t="shared" si="1178"/>
        <v/>
      </c>
      <c r="AA3883" s="22"/>
      <c r="AB3883" s="197" t="str">
        <f t="shared" si="1182"/>
        <v/>
      </c>
      <c r="AC3883" s="198" t="str">
        <f t="shared" si="1186"/>
        <v/>
      </c>
      <c r="AD3883" s="162"/>
      <c r="AE3883" s="199" t="str">
        <f t="shared" si="1187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80"/>
        <v>0</v>
      </c>
      <c r="AJ3883" s="200">
        <f t="shared" si="1181"/>
        <v>0</v>
      </c>
      <c r="AK3883" s="201" t="str">
        <f t="shared" si="1188"/>
        <v/>
      </c>
      <c r="AL3883" s="24"/>
      <c r="AM3883" s="24"/>
      <c r="AN3883" s="24"/>
      <c r="AO3883" s="24"/>
      <c r="AP3883" s="165" t="str">
        <f t="shared" si="1189"/>
        <v/>
      </c>
      <c r="AQ3883" s="203" t="str">
        <f t="shared" si="1190"/>
        <v/>
      </c>
      <c r="AR3883" s="206">
        <f t="shared" si="1191"/>
        <v>0</v>
      </c>
      <c r="AS3883" s="22" t="str">
        <f t="shared" si="1192"/>
        <v/>
      </c>
      <c r="AT3883" s="24" t="str">
        <f t="shared" si="1193"/>
        <v/>
      </c>
    </row>
    <row r="3884" spans="1:46">
      <c r="A3884" s="33" t="str">
        <f t="shared" si="1184"/>
        <v/>
      </c>
      <c r="B3884" s="23"/>
      <c r="C3884" s="23"/>
      <c r="D3884" s="202" t="str">
        <f t="shared" si="1177"/>
        <v/>
      </c>
      <c r="E3884" s="33" t="str">
        <f t="shared" si="1183"/>
        <v/>
      </c>
      <c r="F3884" s="23"/>
      <c r="G3884" s="23"/>
      <c r="H3884" s="29"/>
      <c r="I3884" s="204" t="str">
        <f t="shared" si="1185"/>
        <v/>
      </c>
      <c r="J3884" s="188"/>
      <c r="K3884" s="29"/>
      <c r="L3884" s="24"/>
      <c r="M3884" s="22"/>
      <c r="N3884" s="22"/>
      <c r="O3884" s="22"/>
      <c r="P3884" s="202" t="str">
        <f t="shared" si="1194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9"/>
        <v/>
      </c>
      <c r="Z3884" s="196" t="str">
        <f t="shared" si="1178"/>
        <v/>
      </c>
      <c r="AA3884" s="22"/>
      <c r="AB3884" s="197" t="str">
        <f t="shared" si="1182"/>
        <v/>
      </c>
      <c r="AC3884" s="198" t="str">
        <f t="shared" si="1186"/>
        <v/>
      </c>
      <c r="AD3884" s="162"/>
      <c r="AE3884" s="199" t="str">
        <f t="shared" si="1187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80"/>
        <v>0</v>
      </c>
      <c r="AJ3884" s="200">
        <f t="shared" si="1181"/>
        <v>0</v>
      </c>
      <c r="AK3884" s="201" t="str">
        <f t="shared" si="1188"/>
        <v/>
      </c>
      <c r="AL3884" s="24"/>
      <c r="AM3884" s="24"/>
      <c r="AN3884" s="24"/>
      <c r="AO3884" s="24"/>
      <c r="AP3884" s="165" t="str">
        <f t="shared" si="1189"/>
        <v/>
      </c>
      <c r="AQ3884" s="203" t="str">
        <f t="shared" si="1190"/>
        <v/>
      </c>
      <c r="AR3884" s="206">
        <f t="shared" si="1191"/>
        <v>0</v>
      </c>
      <c r="AS3884" s="22" t="str">
        <f t="shared" si="1192"/>
        <v/>
      </c>
      <c r="AT3884" s="24" t="str">
        <f t="shared" si="1193"/>
        <v/>
      </c>
    </row>
    <row r="3885" spans="1:46">
      <c r="A3885" s="33" t="str">
        <f t="shared" si="1184"/>
        <v/>
      </c>
      <c r="B3885" s="23"/>
      <c r="C3885" s="23"/>
      <c r="D3885" s="202" t="str">
        <f t="shared" si="1177"/>
        <v/>
      </c>
      <c r="E3885" s="33" t="str">
        <f t="shared" si="1183"/>
        <v/>
      </c>
      <c r="F3885" s="23"/>
      <c r="G3885" s="23"/>
      <c r="H3885" s="29"/>
      <c r="I3885" s="204" t="str">
        <f t="shared" si="1185"/>
        <v/>
      </c>
      <c r="J3885" s="188"/>
      <c r="K3885" s="29"/>
      <c r="L3885" s="24"/>
      <c r="M3885" s="22"/>
      <c r="N3885" s="22"/>
      <c r="O3885" s="22"/>
      <c r="P3885" s="202" t="str">
        <f t="shared" si="1194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9"/>
        <v/>
      </c>
      <c r="Z3885" s="196" t="str">
        <f t="shared" si="1178"/>
        <v/>
      </c>
      <c r="AA3885" s="22"/>
      <c r="AB3885" s="197" t="str">
        <f t="shared" si="1182"/>
        <v/>
      </c>
      <c r="AC3885" s="198" t="str">
        <f t="shared" si="1186"/>
        <v/>
      </c>
      <c r="AD3885" s="162"/>
      <c r="AE3885" s="199" t="str">
        <f t="shared" si="1187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80"/>
        <v>0</v>
      </c>
      <c r="AJ3885" s="200">
        <f t="shared" si="1181"/>
        <v>0</v>
      </c>
      <c r="AK3885" s="201" t="str">
        <f t="shared" si="1188"/>
        <v/>
      </c>
      <c r="AL3885" s="24"/>
      <c r="AM3885" s="24"/>
      <c r="AN3885" s="24"/>
      <c r="AO3885" s="24"/>
      <c r="AP3885" s="165" t="str">
        <f t="shared" si="1189"/>
        <v/>
      </c>
      <c r="AQ3885" s="203" t="str">
        <f t="shared" si="1190"/>
        <v/>
      </c>
      <c r="AR3885" s="206">
        <f t="shared" si="1191"/>
        <v>0</v>
      </c>
      <c r="AS3885" s="22" t="str">
        <f t="shared" si="1192"/>
        <v/>
      </c>
      <c r="AT3885" s="24" t="str">
        <f t="shared" si="1193"/>
        <v/>
      </c>
    </row>
    <row r="3886" spans="1:46">
      <c r="A3886" s="33" t="str">
        <f t="shared" si="1184"/>
        <v/>
      </c>
      <c r="B3886" s="23"/>
      <c r="C3886" s="23"/>
      <c r="D3886" s="202" t="str">
        <f t="shared" si="1177"/>
        <v/>
      </c>
      <c r="E3886" s="33" t="str">
        <f t="shared" si="1183"/>
        <v/>
      </c>
      <c r="F3886" s="23"/>
      <c r="G3886" s="23"/>
      <c r="H3886" s="29"/>
      <c r="I3886" s="204" t="str">
        <f t="shared" si="1185"/>
        <v/>
      </c>
      <c r="J3886" s="188"/>
      <c r="K3886" s="29"/>
      <c r="L3886" s="24"/>
      <c r="M3886" s="22"/>
      <c r="N3886" s="22"/>
      <c r="O3886" s="22"/>
      <c r="P3886" s="202" t="str">
        <f t="shared" si="1194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9"/>
        <v/>
      </c>
      <c r="Z3886" s="196" t="str">
        <f t="shared" si="1178"/>
        <v/>
      </c>
      <c r="AA3886" s="22"/>
      <c r="AB3886" s="197" t="str">
        <f t="shared" si="1182"/>
        <v/>
      </c>
      <c r="AC3886" s="198" t="str">
        <f t="shared" si="1186"/>
        <v/>
      </c>
      <c r="AD3886" s="162"/>
      <c r="AE3886" s="199" t="str">
        <f t="shared" si="1187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80"/>
        <v>0</v>
      </c>
      <c r="AJ3886" s="200">
        <f t="shared" si="1181"/>
        <v>0</v>
      </c>
      <c r="AK3886" s="201" t="str">
        <f t="shared" si="1188"/>
        <v/>
      </c>
      <c r="AL3886" s="24"/>
      <c r="AM3886" s="24"/>
      <c r="AN3886" s="24"/>
      <c r="AO3886" s="24"/>
      <c r="AP3886" s="165" t="str">
        <f t="shared" si="1189"/>
        <v/>
      </c>
      <c r="AQ3886" s="203" t="str">
        <f t="shared" si="1190"/>
        <v/>
      </c>
      <c r="AR3886" s="206">
        <f t="shared" si="1191"/>
        <v>0</v>
      </c>
      <c r="AS3886" s="22" t="str">
        <f t="shared" si="1192"/>
        <v/>
      </c>
      <c r="AT3886" s="24" t="str">
        <f t="shared" si="1193"/>
        <v/>
      </c>
    </row>
    <row r="3887" spans="1:46">
      <c r="A3887" s="33" t="str">
        <f t="shared" si="1184"/>
        <v/>
      </c>
      <c r="B3887" s="23"/>
      <c r="C3887" s="23"/>
      <c r="D3887" s="202" t="str">
        <f t="shared" si="1177"/>
        <v/>
      </c>
      <c r="E3887" s="33" t="str">
        <f t="shared" si="1183"/>
        <v/>
      </c>
      <c r="F3887" s="23"/>
      <c r="G3887" s="23"/>
      <c r="H3887" s="29"/>
      <c r="I3887" s="204" t="str">
        <f t="shared" si="1185"/>
        <v/>
      </c>
      <c r="J3887" s="188"/>
      <c r="K3887" s="29"/>
      <c r="L3887" s="24"/>
      <c r="M3887" s="22"/>
      <c r="N3887" s="22"/>
      <c r="O3887" s="22"/>
      <c r="P3887" s="202" t="str">
        <f t="shared" si="1194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9"/>
        <v/>
      </c>
      <c r="Z3887" s="196" t="str">
        <f t="shared" si="1178"/>
        <v/>
      </c>
      <c r="AA3887" s="22"/>
      <c r="AB3887" s="197" t="str">
        <f t="shared" si="1182"/>
        <v/>
      </c>
      <c r="AC3887" s="198" t="str">
        <f t="shared" si="1186"/>
        <v/>
      </c>
      <c r="AD3887" s="162"/>
      <c r="AE3887" s="199" t="str">
        <f t="shared" si="1187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80"/>
        <v>0</v>
      </c>
      <c r="AJ3887" s="200">
        <f t="shared" si="1181"/>
        <v>0</v>
      </c>
      <c r="AK3887" s="201" t="str">
        <f t="shared" si="1188"/>
        <v/>
      </c>
      <c r="AL3887" s="24"/>
      <c r="AM3887" s="24"/>
      <c r="AN3887" s="24"/>
      <c r="AO3887" s="24"/>
      <c r="AP3887" s="165" t="str">
        <f t="shared" si="1189"/>
        <v/>
      </c>
      <c r="AQ3887" s="203" t="str">
        <f t="shared" si="1190"/>
        <v/>
      </c>
      <c r="AR3887" s="206">
        <f t="shared" si="1191"/>
        <v>0</v>
      </c>
      <c r="AS3887" s="22" t="str">
        <f t="shared" si="1192"/>
        <v/>
      </c>
      <c r="AT3887" s="24" t="str">
        <f t="shared" si="1193"/>
        <v/>
      </c>
    </row>
    <row r="3888" spans="1:46">
      <c r="A3888" s="33" t="str">
        <f t="shared" si="1184"/>
        <v/>
      </c>
      <c r="B3888" s="23"/>
      <c r="C3888" s="23"/>
      <c r="D3888" s="202" t="str">
        <f t="shared" si="1177"/>
        <v/>
      </c>
      <c r="E3888" s="33" t="str">
        <f t="shared" si="1183"/>
        <v/>
      </c>
      <c r="F3888" s="23"/>
      <c r="G3888" s="23"/>
      <c r="H3888" s="29"/>
      <c r="I3888" s="204" t="str">
        <f t="shared" si="1185"/>
        <v/>
      </c>
      <c r="J3888" s="188"/>
      <c r="K3888" s="29"/>
      <c r="L3888" s="24"/>
      <c r="M3888" s="22"/>
      <c r="N3888" s="22"/>
      <c r="O3888" s="22"/>
      <c r="P3888" s="202" t="str">
        <f t="shared" si="1194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9"/>
        <v/>
      </c>
      <c r="Z3888" s="196" t="str">
        <f t="shared" si="1178"/>
        <v/>
      </c>
      <c r="AA3888" s="22"/>
      <c r="AB3888" s="197" t="str">
        <f t="shared" si="1182"/>
        <v/>
      </c>
      <c r="AC3888" s="198" t="str">
        <f t="shared" si="1186"/>
        <v/>
      </c>
      <c r="AD3888" s="162"/>
      <c r="AE3888" s="199" t="str">
        <f t="shared" si="1187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80"/>
        <v>0</v>
      </c>
      <c r="AJ3888" s="200">
        <f t="shared" si="1181"/>
        <v>0</v>
      </c>
      <c r="AK3888" s="201" t="str">
        <f t="shared" si="1188"/>
        <v/>
      </c>
      <c r="AL3888" s="24"/>
      <c r="AM3888" s="24"/>
      <c r="AN3888" s="24"/>
      <c r="AO3888" s="24"/>
      <c r="AP3888" s="165" t="str">
        <f t="shared" si="1189"/>
        <v/>
      </c>
      <c r="AQ3888" s="203" t="str">
        <f t="shared" si="1190"/>
        <v/>
      </c>
      <c r="AR3888" s="206">
        <f t="shared" si="1191"/>
        <v>0</v>
      </c>
      <c r="AS3888" s="22" t="str">
        <f t="shared" si="1192"/>
        <v/>
      </c>
      <c r="AT3888" s="24" t="str">
        <f t="shared" si="1193"/>
        <v/>
      </c>
    </row>
    <row r="3889" spans="1:46">
      <c r="A3889" s="33" t="str">
        <f t="shared" si="1184"/>
        <v/>
      </c>
      <c r="B3889" s="23"/>
      <c r="C3889" s="23"/>
      <c r="D3889" s="202" t="str">
        <f t="shared" si="1177"/>
        <v/>
      </c>
      <c r="E3889" s="33" t="str">
        <f t="shared" si="1183"/>
        <v/>
      </c>
      <c r="F3889" s="23"/>
      <c r="G3889" s="23"/>
      <c r="H3889" s="29"/>
      <c r="I3889" s="204" t="str">
        <f t="shared" si="1185"/>
        <v/>
      </c>
      <c r="J3889" s="188"/>
      <c r="K3889" s="29"/>
      <c r="L3889" s="24"/>
      <c r="M3889" s="22"/>
      <c r="N3889" s="22"/>
      <c r="O3889" s="22"/>
      <c r="P3889" s="202" t="str">
        <f t="shared" si="1194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9"/>
        <v/>
      </c>
      <c r="Z3889" s="196" t="str">
        <f t="shared" si="1178"/>
        <v/>
      </c>
      <c r="AA3889" s="22"/>
      <c r="AB3889" s="197" t="str">
        <f t="shared" si="1182"/>
        <v/>
      </c>
      <c r="AC3889" s="198" t="str">
        <f t="shared" si="1186"/>
        <v/>
      </c>
      <c r="AD3889" s="162"/>
      <c r="AE3889" s="199" t="str">
        <f t="shared" si="1187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80"/>
        <v>0</v>
      </c>
      <c r="AJ3889" s="200">
        <f t="shared" si="1181"/>
        <v>0</v>
      </c>
      <c r="AK3889" s="201" t="str">
        <f t="shared" si="1188"/>
        <v/>
      </c>
      <c r="AL3889" s="24"/>
      <c r="AM3889" s="24"/>
      <c r="AN3889" s="24"/>
      <c r="AO3889" s="24"/>
      <c r="AP3889" s="165" t="str">
        <f t="shared" si="1189"/>
        <v/>
      </c>
      <c r="AQ3889" s="203" t="str">
        <f t="shared" si="1190"/>
        <v/>
      </c>
      <c r="AR3889" s="206">
        <f t="shared" si="1191"/>
        <v>0</v>
      </c>
      <c r="AS3889" s="22" t="str">
        <f t="shared" si="1192"/>
        <v/>
      </c>
      <c r="AT3889" s="24" t="str">
        <f t="shared" si="1193"/>
        <v/>
      </c>
    </row>
    <row r="3890" spans="1:46">
      <c r="A3890" s="33" t="str">
        <f t="shared" si="1184"/>
        <v/>
      </c>
      <c r="B3890" s="23"/>
      <c r="C3890" s="23"/>
      <c r="D3890" s="202" t="str">
        <f t="shared" ref="D3890:D3953" si="1195">IF(B3890="","",IF(AND(C3890&gt;=10,C3890&lt;=12),"Q3",IF(AND(C3890&gt;=1,C3890&lt;=3),"Q4",IF(AND(C3890&gt;=7,C3890&lt;=9),"Q2",IF(AND(C3890&gt;=4,C3890&lt;=6),"Q1")))))</f>
        <v/>
      </c>
      <c r="E3890" s="33" t="str">
        <f t="shared" si="1183"/>
        <v/>
      </c>
      <c r="F3890" s="23"/>
      <c r="G3890" s="23"/>
      <c r="H3890" s="29"/>
      <c r="I3890" s="204" t="str">
        <f t="shared" si="1185"/>
        <v/>
      </c>
      <c r="J3890" s="188"/>
      <c r="K3890" s="29"/>
      <c r="L3890" s="24"/>
      <c r="M3890" s="22"/>
      <c r="N3890" s="22"/>
      <c r="O3890" s="22"/>
      <c r="P3890" s="202" t="str">
        <f t="shared" si="1194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9"/>
        <v/>
      </c>
      <c r="Z3890" s="196" t="str">
        <f t="shared" ref="Z3890:Z3953" si="1196">IF(X3890="","",X3890*MAX(O3890,N3890))</f>
        <v/>
      </c>
      <c r="AA3890" s="22"/>
      <c r="AB3890" s="197" t="str">
        <f t="shared" si="1182"/>
        <v/>
      </c>
      <c r="AC3890" s="198" t="str">
        <f t="shared" si="1186"/>
        <v/>
      </c>
      <c r="AD3890" s="162"/>
      <c r="AE3890" s="199" t="str">
        <f t="shared" si="1187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80"/>
        <v>0</v>
      </c>
      <c r="AJ3890" s="200">
        <f t="shared" si="1181"/>
        <v>0</v>
      </c>
      <c r="AK3890" s="201" t="str">
        <f t="shared" si="1188"/>
        <v/>
      </c>
      <c r="AL3890" s="24"/>
      <c r="AM3890" s="24"/>
      <c r="AN3890" s="24"/>
      <c r="AO3890" s="24"/>
      <c r="AP3890" s="165" t="str">
        <f t="shared" si="1189"/>
        <v/>
      </c>
      <c r="AQ3890" s="203" t="str">
        <f t="shared" si="1190"/>
        <v/>
      </c>
      <c r="AR3890" s="206">
        <f t="shared" si="1191"/>
        <v>0</v>
      </c>
      <c r="AS3890" s="22" t="str">
        <f t="shared" si="1192"/>
        <v/>
      </c>
      <c r="AT3890" s="24" t="str">
        <f t="shared" si="1193"/>
        <v/>
      </c>
    </row>
    <row r="3891" spans="1:46">
      <c r="A3891" s="33" t="str">
        <f t="shared" si="1184"/>
        <v/>
      </c>
      <c r="B3891" s="23"/>
      <c r="C3891" s="23"/>
      <c r="D3891" s="202" t="str">
        <f t="shared" si="1195"/>
        <v/>
      </c>
      <c r="E3891" s="33" t="str">
        <f t="shared" si="1183"/>
        <v/>
      </c>
      <c r="F3891" s="23"/>
      <c r="G3891" s="23"/>
      <c r="H3891" s="29"/>
      <c r="I3891" s="204" t="str">
        <f t="shared" si="1185"/>
        <v/>
      </c>
      <c r="J3891" s="188"/>
      <c r="K3891" s="29"/>
      <c r="L3891" s="24"/>
      <c r="M3891" s="22"/>
      <c r="N3891" s="22"/>
      <c r="O3891" s="22"/>
      <c r="P3891" s="202" t="str">
        <f t="shared" si="1194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9"/>
        <v/>
      </c>
      <c r="Z3891" s="196" t="str">
        <f t="shared" si="1196"/>
        <v/>
      </c>
      <c r="AA3891" s="22"/>
      <c r="AB3891" s="197" t="str">
        <f t="shared" si="1182"/>
        <v/>
      </c>
      <c r="AC3891" s="198" t="str">
        <f t="shared" si="1186"/>
        <v/>
      </c>
      <c r="AD3891" s="162"/>
      <c r="AE3891" s="199" t="str">
        <f t="shared" si="1187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80"/>
        <v>0</v>
      </c>
      <c r="AJ3891" s="200">
        <f t="shared" si="1181"/>
        <v>0</v>
      </c>
      <c r="AK3891" s="201" t="str">
        <f t="shared" si="1188"/>
        <v/>
      </c>
      <c r="AL3891" s="24"/>
      <c r="AM3891" s="24"/>
      <c r="AN3891" s="24"/>
      <c r="AO3891" s="24"/>
      <c r="AP3891" s="165" t="str">
        <f t="shared" si="1189"/>
        <v/>
      </c>
      <c r="AQ3891" s="203" t="str">
        <f t="shared" si="1190"/>
        <v/>
      </c>
      <c r="AR3891" s="206">
        <f t="shared" si="1191"/>
        <v>0</v>
      </c>
      <c r="AS3891" s="22" t="str">
        <f t="shared" si="1192"/>
        <v/>
      </c>
      <c r="AT3891" s="24" t="str">
        <f t="shared" si="1193"/>
        <v/>
      </c>
    </row>
    <row r="3892" spans="1:46">
      <c r="A3892" s="33" t="str">
        <f t="shared" si="1184"/>
        <v/>
      </c>
      <c r="B3892" s="23"/>
      <c r="C3892" s="23"/>
      <c r="D3892" s="202" t="str">
        <f t="shared" si="1195"/>
        <v/>
      </c>
      <c r="E3892" s="33" t="str">
        <f t="shared" si="1183"/>
        <v/>
      </c>
      <c r="F3892" s="23"/>
      <c r="G3892" s="23"/>
      <c r="H3892" s="29"/>
      <c r="I3892" s="204" t="str">
        <f t="shared" si="1185"/>
        <v/>
      </c>
      <c r="J3892" s="188"/>
      <c r="K3892" s="29"/>
      <c r="L3892" s="24"/>
      <c r="M3892" s="22"/>
      <c r="N3892" s="22"/>
      <c r="O3892" s="22"/>
      <c r="P3892" s="202" t="str">
        <f t="shared" si="1194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97">IF(W3892="","",IF(W3892="RMB","1.13", "1"))</f>
        <v/>
      </c>
      <c r="Z3892" s="196" t="str">
        <f t="shared" si="1196"/>
        <v/>
      </c>
      <c r="AA3892" s="22"/>
      <c r="AB3892" s="197" t="str">
        <f t="shared" si="1182"/>
        <v/>
      </c>
      <c r="AC3892" s="198" t="str">
        <f t="shared" si="1186"/>
        <v/>
      </c>
      <c r="AD3892" s="162"/>
      <c r="AE3892" s="199" t="str">
        <f t="shared" si="1187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80"/>
        <v>0</v>
      </c>
      <c r="AJ3892" s="200">
        <f t="shared" si="1181"/>
        <v>0</v>
      </c>
      <c r="AK3892" s="201" t="str">
        <f t="shared" si="1188"/>
        <v/>
      </c>
      <c r="AL3892" s="24"/>
      <c r="AM3892" s="24"/>
      <c r="AN3892" s="24"/>
      <c r="AO3892" s="24"/>
      <c r="AP3892" s="165" t="str">
        <f t="shared" si="1189"/>
        <v/>
      </c>
      <c r="AQ3892" s="203" t="str">
        <f t="shared" si="1190"/>
        <v/>
      </c>
      <c r="AR3892" s="206">
        <f t="shared" si="1191"/>
        <v>0</v>
      </c>
      <c r="AS3892" s="22" t="str">
        <f t="shared" si="1192"/>
        <v/>
      </c>
      <c r="AT3892" s="24" t="str">
        <f t="shared" si="1193"/>
        <v/>
      </c>
    </row>
    <row r="3893" spans="1:46">
      <c r="A3893" s="33" t="str">
        <f t="shared" si="1184"/>
        <v/>
      </c>
      <c r="B3893" s="23"/>
      <c r="C3893" s="23"/>
      <c r="D3893" s="202" t="str">
        <f t="shared" si="1195"/>
        <v/>
      </c>
      <c r="E3893" s="33" t="str">
        <f t="shared" si="1183"/>
        <v/>
      </c>
      <c r="F3893" s="23"/>
      <c r="G3893" s="23"/>
      <c r="H3893" s="29"/>
      <c r="I3893" s="204" t="str">
        <f t="shared" si="1185"/>
        <v/>
      </c>
      <c r="J3893" s="188"/>
      <c r="K3893" s="29"/>
      <c r="L3893" s="24"/>
      <c r="M3893" s="22"/>
      <c r="N3893" s="22"/>
      <c r="O3893" s="22"/>
      <c r="P3893" s="202" t="str">
        <f t="shared" si="1194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97"/>
        <v/>
      </c>
      <c r="Z3893" s="196" t="str">
        <f t="shared" si="1196"/>
        <v/>
      </c>
      <c r="AA3893" s="22"/>
      <c r="AB3893" s="197" t="str">
        <f t="shared" si="1182"/>
        <v/>
      </c>
      <c r="AC3893" s="198" t="str">
        <f t="shared" si="1186"/>
        <v/>
      </c>
      <c r="AD3893" s="162"/>
      <c r="AE3893" s="199" t="str">
        <f t="shared" si="1187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80"/>
        <v>0</v>
      </c>
      <c r="AJ3893" s="200">
        <f t="shared" si="1181"/>
        <v>0</v>
      </c>
      <c r="AK3893" s="201" t="str">
        <f t="shared" si="1188"/>
        <v/>
      </c>
      <c r="AL3893" s="24"/>
      <c r="AM3893" s="24"/>
      <c r="AN3893" s="24"/>
      <c r="AO3893" s="24"/>
      <c r="AP3893" s="165" t="str">
        <f t="shared" si="1189"/>
        <v/>
      </c>
      <c r="AQ3893" s="203" t="str">
        <f t="shared" si="1190"/>
        <v/>
      </c>
      <c r="AR3893" s="206">
        <f t="shared" si="1191"/>
        <v>0</v>
      </c>
      <c r="AS3893" s="22" t="str">
        <f t="shared" si="1192"/>
        <v/>
      </c>
      <c r="AT3893" s="24" t="str">
        <f t="shared" si="1193"/>
        <v/>
      </c>
    </row>
    <row r="3894" spans="1:46">
      <c r="A3894" s="33" t="str">
        <f t="shared" si="1184"/>
        <v/>
      </c>
      <c r="B3894" s="23"/>
      <c r="C3894" s="23"/>
      <c r="D3894" s="202" t="str">
        <f t="shared" si="1195"/>
        <v/>
      </c>
      <c r="E3894" s="33" t="str">
        <f t="shared" si="1183"/>
        <v/>
      </c>
      <c r="F3894" s="23"/>
      <c r="G3894" s="23"/>
      <c r="H3894" s="29"/>
      <c r="I3894" s="204" t="str">
        <f t="shared" si="1185"/>
        <v/>
      </c>
      <c r="J3894" s="188"/>
      <c r="K3894" s="29"/>
      <c r="L3894" s="24"/>
      <c r="M3894" s="22"/>
      <c r="N3894" s="22"/>
      <c r="O3894" s="22"/>
      <c r="P3894" s="202" t="str">
        <f t="shared" si="1194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97"/>
        <v/>
      </c>
      <c r="Z3894" s="196" t="str">
        <f t="shared" si="1196"/>
        <v/>
      </c>
      <c r="AA3894" s="22"/>
      <c r="AB3894" s="197" t="str">
        <f t="shared" si="1182"/>
        <v/>
      </c>
      <c r="AC3894" s="198" t="str">
        <f t="shared" si="1186"/>
        <v/>
      </c>
      <c r="AD3894" s="162"/>
      <c r="AE3894" s="199" t="str">
        <f t="shared" si="1187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80"/>
        <v>0</v>
      </c>
      <c r="AJ3894" s="200">
        <f t="shared" si="1181"/>
        <v>0</v>
      </c>
      <c r="AK3894" s="201" t="str">
        <f t="shared" si="1188"/>
        <v/>
      </c>
      <c r="AL3894" s="24"/>
      <c r="AM3894" s="24"/>
      <c r="AN3894" s="24"/>
      <c r="AO3894" s="24"/>
      <c r="AP3894" s="165" t="str">
        <f t="shared" si="1189"/>
        <v/>
      </c>
      <c r="AQ3894" s="203" t="str">
        <f t="shared" si="1190"/>
        <v/>
      </c>
      <c r="AR3894" s="206">
        <f t="shared" si="1191"/>
        <v>0</v>
      </c>
      <c r="AS3894" s="22" t="str">
        <f t="shared" si="1192"/>
        <v/>
      </c>
      <c r="AT3894" s="24" t="str">
        <f t="shared" si="1193"/>
        <v/>
      </c>
    </row>
    <row r="3895" spans="1:46">
      <c r="A3895" s="33" t="str">
        <f t="shared" si="1184"/>
        <v/>
      </c>
      <c r="B3895" s="23"/>
      <c r="C3895" s="23"/>
      <c r="D3895" s="202" t="str">
        <f t="shared" si="1195"/>
        <v/>
      </c>
      <c r="E3895" s="33" t="str">
        <f t="shared" si="1183"/>
        <v/>
      </c>
      <c r="F3895" s="23"/>
      <c r="G3895" s="23"/>
      <c r="H3895" s="29"/>
      <c r="I3895" s="204" t="str">
        <f t="shared" si="1185"/>
        <v/>
      </c>
      <c r="J3895" s="188"/>
      <c r="K3895" s="29"/>
      <c r="L3895" s="24"/>
      <c r="M3895" s="22"/>
      <c r="N3895" s="22"/>
      <c r="O3895" s="22"/>
      <c r="P3895" s="202" t="str">
        <f t="shared" si="1194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97"/>
        <v/>
      </c>
      <c r="Z3895" s="196" t="str">
        <f t="shared" si="1196"/>
        <v/>
      </c>
      <c r="AA3895" s="22"/>
      <c r="AB3895" s="197" t="str">
        <f t="shared" si="1182"/>
        <v/>
      </c>
      <c r="AC3895" s="198" t="str">
        <f t="shared" si="1186"/>
        <v/>
      </c>
      <c r="AD3895" s="162"/>
      <c r="AE3895" s="199" t="str">
        <f t="shared" si="1187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80"/>
        <v>0</v>
      </c>
      <c r="AJ3895" s="200">
        <f t="shared" si="1181"/>
        <v>0</v>
      </c>
      <c r="AK3895" s="201" t="str">
        <f t="shared" si="1188"/>
        <v/>
      </c>
      <c r="AL3895" s="24"/>
      <c r="AM3895" s="24"/>
      <c r="AN3895" s="24"/>
      <c r="AO3895" s="24"/>
      <c r="AP3895" s="165" t="str">
        <f t="shared" si="1189"/>
        <v/>
      </c>
      <c r="AQ3895" s="203" t="str">
        <f t="shared" si="1190"/>
        <v/>
      </c>
      <c r="AR3895" s="206">
        <f t="shared" si="1191"/>
        <v>0</v>
      </c>
      <c r="AS3895" s="22" t="str">
        <f t="shared" si="1192"/>
        <v/>
      </c>
      <c r="AT3895" s="24" t="str">
        <f t="shared" si="1193"/>
        <v/>
      </c>
    </row>
    <row r="3896" spans="1:46">
      <c r="A3896" s="33" t="str">
        <f t="shared" si="1184"/>
        <v/>
      </c>
      <c r="B3896" s="23"/>
      <c r="C3896" s="23"/>
      <c r="D3896" s="202" t="str">
        <f t="shared" si="1195"/>
        <v/>
      </c>
      <c r="E3896" s="33" t="str">
        <f t="shared" si="1183"/>
        <v/>
      </c>
      <c r="F3896" s="23"/>
      <c r="G3896" s="23"/>
      <c r="H3896" s="29"/>
      <c r="I3896" s="204" t="str">
        <f t="shared" si="1185"/>
        <v/>
      </c>
      <c r="J3896" s="188"/>
      <c r="K3896" s="29"/>
      <c r="L3896" s="24"/>
      <c r="M3896" s="22"/>
      <c r="N3896" s="22"/>
      <c r="O3896" s="22"/>
      <c r="P3896" s="202" t="str">
        <f t="shared" si="1194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97"/>
        <v/>
      </c>
      <c r="Z3896" s="196" t="str">
        <f t="shared" si="1196"/>
        <v/>
      </c>
      <c r="AA3896" s="22"/>
      <c r="AB3896" s="197" t="str">
        <f t="shared" si="1182"/>
        <v/>
      </c>
      <c r="AC3896" s="198" t="str">
        <f t="shared" si="1186"/>
        <v/>
      </c>
      <c r="AD3896" s="162"/>
      <c r="AE3896" s="199" t="str">
        <f t="shared" si="1187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80"/>
        <v>0</v>
      </c>
      <c r="AJ3896" s="200">
        <f t="shared" si="1181"/>
        <v>0</v>
      </c>
      <c r="AK3896" s="201" t="str">
        <f t="shared" si="1188"/>
        <v/>
      </c>
      <c r="AL3896" s="24"/>
      <c r="AM3896" s="24"/>
      <c r="AN3896" s="24"/>
      <c r="AO3896" s="24"/>
      <c r="AP3896" s="165" t="str">
        <f t="shared" si="1189"/>
        <v/>
      </c>
      <c r="AQ3896" s="203" t="str">
        <f t="shared" si="1190"/>
        <v/>
      </c>
      <c r="AR3896" s="206">
        <f t="shared" si="1191"/>
        <v>0</v>
      </c>
      <c r="AS3896" s="22" t="str">
        <f t="shared" si="1192"/>
        <v/>
      </c>
      <c r="AT3896" s="24" t="str">
        <f t="shared" si="1193"/>
        <v/>
      </c>
    </row>
    <row r="3897" spans="1:46">
      <c r="A3897" s="33" t="str">
        <f t="shared" si="1184"/>
        <v/>
      </c>
      <c r="B3897" s="23"/>
      <c r="C3897" s="23"/>
      <c r="D3897" s="202" t="str">
        <f t="shared" si="1195"/>
        <v/>
      </c>
      <c r="E3897" s="33" t="str">
        <f t="shared" si="1183"/>
        <v/>
      </c>
      <c r="F3897" s="23"/>
      <c r="G3897" s="23"/>
      <c r="H3897" s="29"/>
      <c r="I3897" s="204" t="str">
        <f t="shared" si="1185"/>
        <v/>
      </c>
      <c r="J3897" s="188"/>
      <c r="K3897" s="29"/>
      <c r="L3897" s="24"/>
      <c r="M3897" s="22"/>
      <c r="N3897" s="22"/>
      <c r="O3897" s="22"/>
      <c r="P3897" s="202" t="str">
        <f t="shared" si="1194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97"/>
        <v/>
      </c>
      <c r="Z3897" s="196" t="str">
        <f t="shared" si="1196"/>
        <v/>
      </c>
      <c r="AA3897" s="22"/>
      <c r="AB3897" s="197" t="str">
        <f t="shared" si="1182"/>
        <v/>
      </c>
      <c r="AC3897" s="198" t="str">
        <f t="shared" si="1186"/>
        <v/>
      </c>
      <c r="AD3897" s="162"/>
      <c r="AE3897" s="199" t="str">
        <f t="shared" si="1187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80"/>
        <v>0</v>
      </c>
      <c r="AJ3897" s="200">
        <f t="shared" si="1181"/>
        <v>0</v>
      </c>
      <c r="AK3897" s="201" t="str">
        <f t="shared" si="1188"/>
        <v/>
      </c>
      <c r="AL3897" s="24"/>
      <c r="AM3897" s="24"/>
      <c r="AN3897" s="24"/>
      <c r="AO3897" s="24"/>
      <c r="AP3897" s="165" t="str">
        <f t="shared" si="1189"/>
        <v/>
      </c>
      <c r="AQ3897" s="203" t="str">
        <f t="shared" si="1190"/>
        <v/>
      </c>
      <c r="AR3897" s="206">
        <f t="shared" si="1191"/>
        <v>0</v>
      </c>
      <c r="AS3897" s="22" t="str">
        <f t="shared" si="1192"/>
        <v/>
      </c>
      <c r="AT3897" s="24" t="str">
        <f t="shared" si="1193"/>
        <v/>
      </c>
    </row>
    <row r="3898" spans="1:46">
      <c r="A3898" s="33" t="str">
        <f t="shared" si="1184"/>
        <v/>
      </c>
      <c r="B3898" s="23"/>
      <c r="C3898" s="23"/>
      <c r="D3898" s="202" t="str">
        <f t="shared" si="1195"/>
        <v/>
      </c>
      <c r="E3898" s="33" t="str">
        <f t="shared" si="1183"/>
        <v/>
      </c>
      <c r="F3898" s="23"/>
      <c r="G3898" s="23"/>
      <c r="H3898" s="29"/>
      <c r="I3898" s="204" t="str">
        <f t="shared" si="1185"/>
        <v/>
      </c>
      <c r="J3898" s="188"/>
      <c r="K3898" s="29"/>
      <c r="L3898" s="24"/>
      <c r="M3898" s="22"/>
      <c r="N3898" s="22"/>
      <c r="O3898" s="22"/>
      <c r="P3898" s="202" t="str">
        <f t="shared" si="1194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97"/>
        <v/>
      </c>
      <c r="Z3898" s="196" t="str">
        <f t="shared" si="1196"/>
        <v/>
      </c>
      <c r="AA3898" s="22"/>
      <c r="AB3898" s="197" t="str">
        <f t="shared" si="1182"/>
        <v/>
      </c>
      <c r="AC3898" s="198" t="str">
        <f t="shared" si="1186"/>
        <v/>
      </c>
      <c r="AD3898" s="162"/>
      <c r="AE3898" s="199" t="str">
        <f t="shared" si="1187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80"/>
        <v>0</v>
      </c>
      <c r="AJ3898" s="200">
        <f t="shared" si="1181"/>
        <v>0</v>
      </c>
      <c r="AK3898" s="201" t="str">
        <f t="shared" si="1188"/>
        <v/>
      </c>
      <c r="AL3898" s="24"/>
      <c r="AM3898" s="24"/>
      <c r="AN3898" s="24"/>
      <c r="AO3898" s="24"/>
      <c r="AP3898" s="165" t="str">
        <f t="shared" si="1189"/>
        <v/>
      </c>
      <c r="AQ3898" s="203" t="str">
        <f t="shared" si="1190"/>
        <v/>
      </c>
      <c r="AR3898" s="206">
        <f t="shared" si="1191"/>
        <v>0</v>
      </c>
      <c r="AS3898" s="22" t="str">
        <f t="shared" si="1192"/>
        <v/>
      </c>
      <c r="AT3898" s="24" t="str">
        <f t="shared" si="1193"/>
        <v/>
      </c>
    </row>
    <row r="3899" spans="1:46">
      <c r="A3899" s="33" t="str">
        <f t="shared" si="1184"/>
        <v/>
      </c>
      <c r="B3899" s="23"/>
      <c r="C3899" s="23"/>
      <c r="D3899" s="202" t="str">
        <f t="shared" si="1195"/>
        <v/>
      </c>
      <c r="E3899" s="33" t="str">
        <f t="shared" si="1183"/>
        <v/>
      </c>
      <c r="F3899" s="23"/>
      <c r="G3899" s="23"/>
      <c r="H3899" s="29"/>
      <c r="I3899" s="204" t="str">
        <f t="shared" si="1185"/>
        <v/>
      </c>
      <c r="J3899" s="188"/>
      <c r="K3899" s="29"/>
      <c r="L3899" s="24"/>
      <c r="M3899" s="22"/>
      <c r="N3899" s="22"/>
      <c r="O3899" s="22"/>
      <c r="P3899" s="202" t="str">
        <f t="shared" si="1194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97"/>
        <v/>
      </c>
      <c r="Z3899" s="196" t="str">
        <f t="shared" si="1196"/>
        <v/>
      </c>
      <c r="AA3899" s="22"/>
      <c r="AB3899" s="197" t="str">
        <f t="shared" si="1182"/>
        <v/>
      </c>
      <c r="AC3899" s="198" t="str">
        <f t="shared" si="1186"/>
        <v/>
      </c>
      <c r="AD3899" s="162"/>
      <c r="AE3899" s="199" t="str">
        <f t="shared" si="1187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80"/>
        <v>0</v>
      </c>
      <c r="AJ3899" s="200">
        <f t="shared" si="1181"/>
        <v>0</v>
      </c>
      <c r="AK3899" s="201" t="str">
        <f t="shared" si="1188"/>
        <v/>
      </c>
      <c r="AL3899" s="24"/>
      <c r="AM3899" s="24"/>
      <c r="AN3899" s="24"/>
      <c r="AO3899" s="24"/>
      <c r="AP3899" s="165" t="str">
        <f t="shared" si="1189"/>
        <v/>
      </c>
      <c r="AQ3899" s="203" t="str">
        <f t="shared" si="1190"/>
        <v/>
      </c>
      <c r="AR3899" s="206">
        <f t="shared" si="1191"/>
        <v>0</v>
      </c>
      <c r="AS3899" s="22" t="str">
        <f t="shared" si="1192"/>
        <v/>
      </c>
      <c r="AT3899" s="24" t="str">
        <f t="shared" si="1193"/>
        <v/>
      </c>
    </row>
    <row r="3900" spans="1:46">
      <c r="A3900" s="33" t="str">
        <f t="shared" si="1184"/>
        <v/>
      </c>
      <c r="B3900" s="23"/>
      <c r="C3900" s="23"/>
      <c r="D3900" s="202" t="str">
        <f t="shared" si="1195"/>
        <v/>
      </c>
      <c r="E3900" s="33" t="str">
        <f t="shared" si="1183"/>
        <v/>
      </c>
      <c r="F3900" s="23"/>
      <c r="G3900" s="23"/>
      <c r="H3900" s="29"/>
      <c r="I3900" s="204" t="str">
        <f t="shared" si="1185"/>
        <v/>
      </c>
      <c r="J3900" s="188"/>
      <c r="K3900" s="29"/>
      <c r="L3900" s="24"/>
      <c r="M3900" s="22"/>
      <c r="N3900" s="22"/>
      <c r="O3900" s="22"/>
      <c r="P3900" s="202" t="str">
        <f t="shared" si="1194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97"/>
        <v/>
      </c>
      <c r="Z3900" s="196" t="str">
        <f t="shared" si="1196"/>
        <v/>
      </c>
      <c r="AA3900" s="22"/>
      <c r="AB3900" s="197" t="str">
        <f t="shared" si="1182"/>
        <v/>
      </c>
      <c r="AC3900" s="198" t="str">
        <f t="shared" si="1186"/>
        <v/>
      </c>
      <c r="AD3900" s="162"/>
      <c r="AE3900" s="199" t="str">
        <f t="shared" si="1187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80"/>
        <v>0</v>
      </c>
      <c r="AJ3900" s="200">
        <f t="shared" si="1181"/>
        <v>0</v>
      </c>
      <c r="AK3900" s="201" t="str">
        <f t="shared" si="1188"/>
        <v/>
      </c>
      <c r="AL3900" s="24"/>
      <c r="AM3900" s="24"/>
      <c r="AN3900" s="24"/>
      <c r="AO3900" s="24"/>
      <c r="AP3900" s="165" t="str">
        <f t="shared" si="1189"/>
        <v/>
      </c>
      <c r="AQ3900" s="203" t="str">
        <f t="shared" si="1190"/>
        <v/>
      </c>
      <c r="AR3900" s="206">
        <f t="shared" si="1191"/>
        <v>0</v>
      </c>
      <c r="AS3900" s="22" t="str">
        <f t="shared" si="1192"/>
        <v/>
      </c>
      <c r="AT3900" s="24" t="str">
        <f t="shared" si="1193"/>
        <v/>
      </c>
    </row>
    <row r="3901" spans="1:46">
      <c r="A3901" s="33" t="str">
        <f t="shared" si="1184"/>
        <v/>
      </c>
      <c r="B3901" s="23"/>
      <c r="C3901" s="23"/>
      <c r="D3901" s="202" t="str">
        <f t="shared" si="1195"/>
        <v/>
      </c>
      <c r="E3901" s="33" t="str">
        <f t="shared" si="1183"/>
        <v/>
      </c>
      <c r="F3901" s="23"/>
      <c r="G3901" s="23"/>
      <c r="H3901" s="29"/>
      <c r="I3901" s="204" t="str">
        <f t="shared" si="1185"/>
        <v/>
      </c>
      <c r="J3901" s="188"/>
      <c r="K3901" s="29"/>
      <c r="L3901" s="24"/>
      <c r="M3901" s="22"/>
      <c r="N3901" s="22"/>
      <c r="O3901" s="22"/>
      <c r="P3901" s="202" t="str">
        <f t="shared" si="1194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97"/>
        <v/>
      </c>
      <c r="Z3901" s="196" t="str">
        <f t="shared" si="1196"/>
        <v/>
      </c>
      <c r="AA3901" s="22"/>
      <c r="AB3901" s="197" t="str">
        <f t="shared" si="1182"/>
        <v/>
      </c>
      <c r="AC3901" s="198" t="str">
        <f t="shared" si="1186"/>
        <v/>
      </c>
      <c r="AD3901" s="162"/>
      <c r="AE3901" s="199" t="str">
        <f t="shared" si="1187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80"/>
        <v>0</v>
      </c>
      <c r="AJ3901" s="200">
        <f t="shared" si="1181"/>
        <v>0</v>
      </c>
      <c r="AK3901" s="201" t="str">
        <f t="shared" si="1188"/>
        <v/>
      </c>
      <c r="AL3901" s="24"/>
      <c r="AM3901" s="24"/>
      <c r="AN3901" s="24"/>
      <c r="AO3901" s="24"/>
      <c r="AP3901" s="165" t="str">
        <f t="shared" si="1189"/>
        <v/>
      </c>
      <c r="AQ3901" s="203" t="str">
        <f t="shared" si="1190"/>
        <v/>
      </c>
      <c r="AR3901" s="206">
        <f t="shared" si="1191"/>
        <v>0</v>
      </c>
      <c r="AS3901" s="22" t="str">
        <f t="shared" si="1192"/>
        <v/>
      </c>
      <c r="AT3901" s="24" t="str">
        <f t="shared" si="1193"/>
        <v/>
      </c>
    </row>
    <row r="3902" spans="1:46">
      <c r="A3902" s="33" t="str">
        <f t="shared" si="1184"/>
        <v/>
      </c>
      <c r="B3902" s="23"/>
      <c r="C3902" s="23"/>
      <c r="D3902" s="202" t="str">
        <f t="shared" si="1195"/>
        <v/>
      </c>
      <c r="E3902" s="33" t="str">
        <f t="shared" si="1183"/>
        <v/>
      </c>
      <c r="F3902" s="23"/>
      <c r="G3902" s="23"/>
      <c r="H3902" s="29"/>
      <c r="I3902" s="204" t="str">
        <f t="shared" si="1185"/>
        <v/>
      </c>
      <c r="J3902" s="188"/>
      <c r="K3902" s="29"/>
      <c r="L3902" s="24"/>
      <c r="M3902" s="22"/>
      <c r="N3902" s="22"/>
      <c r="O3902" s="22"/>
      <c r="P3902" s="202" t="str">
        <f t="shared" si="1194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97"/>
        <v/>
      </c>
      <c r="Z3902" s="196" t="str">
        <f t="shared" si="1196"/>
        <v/>
      </c>
      <c r="AA3902" s="22"/>
      <c r="AB3902" s="197" t="str">
        <f t="shared" si="1182"/>
        <v/>
      </c>
      <c r="AC3902" s="198" t="str">
        <f t="shared" si="1186"/>
        <v/>
      </c>
      <c r="AD3902" s="162"/>
      <c r="AE3902" s="199" t="str">
        <f t="shared" si="1187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80"/>
        <v>0</v>
      </c>
      <c r="AJ3902" s="200">
        <f t="shared" si="1181"/>
        <v>0</v>
      </c>
      <c r="AK3902" s="201" t="str">
        <f t="shared" si="1188"/>
        <v/>
      </c>
      <c r="AL3902" s="24"/>
      <c r="AM3902" s="24"/>
      <c r="AN3902" s="24"/>
      <c r="AO3902" s="24"/>
      <c r="AP3902" s="165" t="str">
        <f t="shared" si="1189"/>
        <v/>
      </c>
      <c r="AQ3902" s="203" t="str">
        <f t="shared" si="1190"/>
        <v/>
      </c>
      <c r="AR3902" s="206">
        <f t="shared" si="1191"/>
        <v>0</v>
      </c>
      <c r="AS3902" s="22" t="str">
        <f t="shared" si="1192"/>
        <v/>
      </c>
      <c r="AT3902" s="24" t="str">
        <f t="shared" si="1193"/>
        <v/>
      </c>
    </row>
    <row r="3903" spans="1:46">
      <c r="A3903" s="33" t="str">
        <f t="shared" si="1184"/>
        <v/>
      </c>
      <c r="B3903" s="23"/>
      <c r="C3903" s="23"/>
      <c r="D3903" s="202" t="str">
        <f t="shared" si="1195"/>
        <v/>
      </c>
      <c r="E3903" s="33" t="str">
        <f t="shared" si="1183"/>
        <v/>
      </c>
      <c r="F3903" s="23"/>
      <c r="G3903" s="23"/>
      <c r="H3903" s="29"/>
      <c r="I3903" s="204" t="str">
        <f t="shared" si="1185"/>
        <v/>
      </c>
      <c r="J3903" s="188"/>
      <c r="K3903" s="29"/>
      <c r="L3903" s="24"/>
      <c r="M3903" s="22"/>
      <c r="N3903" s="22"/>
      <c r="O3903" s="22"/>
      <c r="P3903" s="202" t="str">
        <f t="shared" si="1194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97"/>
        <v/>
      </c>
      <c r="Z3903" s="196" t="str">
        <f t="shared" si="1196"/>
        <v/>
      </c>
      <c r="AA3903" s="22"/>
      <c r="AB3903" s="197" t="str">
        <f t="shared" si="1182"/>
        <v/>
      </c>
      <c r="AC3903" s="198" t="str">
        <f t="shared" si="1186"/>
        <v/>
      </c>
      <c r="AD3903" s="162"/>
      <c r="AE3903" s="199" t="str">
        <f t="shared" si="1187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80"/>
        <v>0</v>
      </c>
      <c r="AJ3903" s="200">
        <f t="shared" si="1181"/>
        <v>0</v>
      </c>
      <c r="AK3903" s="201" t="str">
        <f t="shared" si="1188"/>
        <v/>
      </c>
      <c r="AL3903" s="24"/>
      <c r="AM3903" s="24"/>
      <c r="AN3903" s="24"/>
      <c r="AO3903" s="24"/>
      <c r="AP3903" s="165" t="str">
        <f t="shared" si="1189"/>
        <v/>
      </c>
      <c r="AQ3903" s="203" t="str">
        <f t="shared" si="1190"/>
        <v/>
      </c>
      <c r="AR3903" s="206">
        <f t="shared" si="1191"/>
        <v>0</v>
      </c>
      <c r="AS3903" s="22" t="str">
        <f t="shared" si="1192"/>
        <v/>
      </c>
      <c r="AT3903" s="24" t="str">
        <f t="shared" si="1193"/>
        <v/>
      </c>
    </row>
    <row r="3904" spans="1:46">
      <c r="A3904" s="33" t="str">
        <f t="shared" si="1184"/>
        <v/>
      </c>
      <c r="B3904" s="23"/>
      <c r="C3904" s="23"/>
      <c r="D3904" s="202" t="str">
        <f t="shared" si="1195"/>
        <v/>
      </c>
      <c r="E3904" s="33" t="str">
        <f t="shared" si="1183"/>
        <v/>
      </c>
      <c r="F3904" s="23"/>
      <c r="G3904" s="23"/>
      <c r="H3904" s="29"/>
      <c r="I3904" s="204" t="str">
        <f t="shared" si="1185"/>
        <v/>
      </c>
      <c r="J3904" s="188"/>
      <c r="K3904" s="29"/>
      <c r="L3904" s="24"/>
      <c r="M3904" s="22"/>
      <c r="N3904" s="22"/>
      <c r="O3904" s="22"/>
      <c r="P3904" s="202" t="str">
        <f t="shared" si="1194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97"/>
        <v/>
      </c>
      <c r="Z3904" s="196" t="str">
        <f t="shared" si="1196"/>
        <v/>
      </c>
      <c r="AA3904" s="22"/>
      <c r="AB3904" s="197" t="str">
        <f t="shared" si="1182"/>
        <v/>
      </c>
      <c r="AC3904" s="198" t="str">
        <f t="shared" si="1186"/>
        <v/>
      </c>
      <c r="AD3904" s="162"/>
      <c r="AE3904" s="199" t="str">
        <f t="shared" si="1187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80"/>
        <v>0</v>
      </c>
      <c r="AJ3904" s="200">
        <f t="shared" si="1181"/>
        <v>0</v>
      </c>
      <c r="AK3904" s="201" t="str">
        <f t="shared" si="1188"/>
        <v/>
      </c>
      <c r="AL3904" s="24"/>
      <c r="AM3904" s="24"/>
      <c r="AN3904" s="24"/>
      <c r="AO3904" s="24"/>
      <c r="AP3904" s="165" t="str">
        <f t="shared" si="1189"/>
        <v/>
      </c>
      <c r="AQ3904" s="203" t="str">
        <f t="shared" si="1190"/>
        <v/>
      </c>
      <c r="AR3904" s="206">
        <f t="shared" si="1191"/>
        <v>0</v>
      </c>
      <c r="AS3904" s="22" t="str">
        <f t="shared" si="1192"/>
        <v/>
      </c>
      <c r="AT3904" s="24" t="str">
        <f t="shared" si="1193"/>
        <v/>
      </c>
    </row>
    <row r="3905" spans="1:46">
      <c r="A3905" s="33" t="str">
        <f t="shared" si="1184"/>
        <v/>
      </c>
      <c r="B3905" s="23"/>
      <c r="C3905" s="23"/>
      <c r="D3905" s="202" t="str">
        <f t="shared" si="1195"/>
        <v/>
      </c>
      <c r="E3905" s="33" t="str">
        <f t="shared" si="1183"/>
        <v/>
      </c>
      <c r="F3905" s="23"/>
      <c r="G3905" s="23"/>
      <c r="H3905" s="29"/>
      <c r="I3905" s="204" t="str">
        <f t="shared" si="1185"/>
        <v/>
      </c>
      <c r="J3905" s="188"/>
      <c r="K3905" s="29"/>
      <c r="L3905" s="24"/>
      <c r="M3905" s="22"/>
      <c r="N3905" s="22"/>
      <c r="O3905" s="22"/>
      <c r="P3905" s="202" t="str">
        <f t="shared" si="1194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97"/>
        <v/>
      </c>
      <c r="Z3905" s="196" t="str">
        <f t="shared" si="1196"/>
        <v/>
      </c>
      <c r="AA3905" s="22"/>
      <c r="AB3905" s="197" t="str">
        <f t="shared" si="1182"/>
        <v/>
      </c>
      <c r="AC3905" s="198" t="str">
        <f t="shared" si="1186"/>
        <v/>
      </c>
      <c r="AD3905" s="162"/>
      <c r="AE3905" s="199" t="str">
        <f t="shared" si="1187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80"/>
        <v>0</v>
      </c>
      <c r="AJ3905" s="200">
        <f t="shared" si="1181"/>
        <v>0</v>
      </c>
      <c r="AK3905" s="201" t="str">
        <f t="shared" si="1188"/>
        <v/>
      </c>
      <c r="AL3905" s="24"/>
      <c r="AM3905" s="24"/>
      <c r="AN3905" s="24"/>
      <c r="AO3905" s="24"/>
      <c r="AP3905" s="165" t="str">
        <f t="shared" si="1189"/>
        <v/>
      </c>
      <c r="AQ3905" s="203" t="str">
        <f t="shared" si="1190"/>
        <v/>
      </c>
      <c r="AR3905" s="206">
        <f t="shared" si="1191"/>
        <v>0</v>
      </c>
      <c r="AS3905" s="22" t="str">
        <f t="shared" si="1192"/>
        <v/>
      </c>
      <c r="AT3905" s="24" t="str">
        <f t="shared" si="1193"/>
        <v/>
      </c>
    </row>
    <row r="3906" spans="1:46">
      <c r="A3906" s="33" t="str">
        <f t="shared" si="1184"/>
        <v/>
      </c>
      <c r="B3906" s="23"/>
      <c r="C3906" s="23"/>
      <c r="D3906" s="202" t="str">
        <f t="shared" si="1195"/>
        <v/>
      </c>
      <c r="E3906" s="33" t="str">
        <f t="shared" si="1183"/>
        <v/>
      </c>
      <c r="F3906" s="23"/>
      <c r="G3906" s="23"/>
      <c r="H3906" s="29"/>
      <c r="I3906" s="204" t="str">
        <f t="shared" si="1185"/>
        <v/>
      </c>
      <c r="J3906" s="188"/>
      <c r="K3906" s="29"/>
      <c r="L3906" s="24"/>
      <c r="M3906" s="22"/>
      <c r="N3906" s="22"/>
      <c r="O3906" s="22"/>
      <c r="P3906" s="202" t="str">
        <f t="shared" si="1194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97"/>
        <v/>
      </c>
      <c r="Z3906" s="196" t="str">
        <f t="shared" si="1196"/>
        <v/>
      </c>
      <c r="AA3906" s="22"/>
      <c r="AB3906" s="197" t="str">
        <f t="shared" si="1182"/>
        <v/>
      </c>
      <c r="AC3906" s="198" t="str">
        <f t="shared" si="1186"/>
        <v/>
      </c>
      <c r="AD3906" s="162"/>
      <c r="AE3906" s="199" t="str">
        <f t="shared" si="1187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8">IF(P3906="C66 SERVICE","",SUMIFS(AB:AB,F:F,F3906,G:G,G3906,E:E,E3906))</f>
        <v>0</v>
      </c>
      <c r="AJ3906" s="200">
        <f t="shared" ref="AJ3906:AJ3969" si="1199">IF(P3906="C66 SERVICE","",SUMIFS(AC:AC,F:F,F3906,G:G,G3906,E:E,E3906))</f>
        <v>0</v>
      </c>
      <c r="AK3906" s="201" t="str">
        <f t="shared" si="1188"/>
        <v/>
      </c>
      <c r="AL3906" s="24"/>
      <c r="AM3906" s="24"/>
      <c r="AN3906" s="24"/>
      <c r="AO3906" s="24"/>
      <c r="AP3906" s="165" t="str">
        <f t="shared" si="1189"/>
        <v/>
      </c>
      <c r="AQ3906" s="203" t="str">
        <f t="shared" si="1190"/>
        <v/>
      </c>
      <c r="AR3906" s="206">
        <f t="shared" si="1191"/>
        <v>0</v>
      </c>
      <c r="AS3906" s="22" t="str">
        <f t="shared" si="1192"/>
        <v/>
      </c>
      <c r="AT3906" s="24" t="str">
        <f t="shared" si="1193"/>
        <v/>
      </c>
    </row>
    <row r="3907" spans="1:46">
      <c r="A3907" s="33" t="str">
        <f t="shared" si="1184"/>
        <v/>
      </c>
      <c r="B3907" s="23"/>
      <c r="C3907" s="23"/>
      <c r="D3907" s="202" t="str">
        <f t="shared" si="1195"/>
        <v/>
      </c>
      <c r="E3907" s="33" t="str">
        <f t="shared" si="1183"/>
        <v/>
      </c>
      <c r="F3907" s="23"/>
      <c r="G3907" s="23"/>
      <c r="H3907" s="29"/>
      <c r="I3907" s="204" t="str">
        <f t="shared" si="1185"/>
        <v/>
      </c>
      <c r="J3907" s="188"/>
      <c r="K3907" s="29"/>
      <c r="L3907" s="24"/>
      <c r="M3907" s="22"/>
      <c r="N3907" s="22"/>
      <c r="O3907" s="22"/>
      <c r="P3907" s="202" t="str">
        <f t="shared" si="1194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97"/>
        <v/>
      </c>
      <c r="Z3907" s="196" t="str">
        <f t="shared" si="1196"/>
        <v/>
      </c>
      <c r="AA3907" s="22"/>
      <c r="AB3907" s="197" t="str">
        <f t="shared" si="1182"/>
        <v/>
      </c>
      <c r="AC3907" s="198" t="str">
        <f t="shared" si="1186"/>
        <v/>
      </c>
      <c r="AD3907" s="162"/>
      <c r="AE3907" s="199" t="str">
        <f t="shared" si="1187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8"/>
        <v>0</v>
      </c>
      <c r="AJ3907" s="200">
        <f t="shared" si="1199"/>
        <v>0</v>
      </c>
      <c r="AK3907" s="201" t="str">
        <f t="shared" si="1188"/>
        <v/>
      </c>
      <c r="AL3907" s="24"/>
      <c r="AM3907" s="24"/>
      <c r="AN3907" s="24"/>
      <c r="AO3907" s="24"/>
      <c r="AP3907" s="165" t="str">
        <f t="shared" si="1189"/>
        <v/>
      </c>
      <c r="AQ3907" s="203" t="str">
        <f t="shared" si="1190"/>
        <v/>
      </c>
      <c r="AR3907" s="206">
        <f t="shared" si="1191"/>
        <v>0</v>
      </c>
      <c r="AS3907" s="22" t="str">
        <f t="shared" si="1192"/>
        <v/>
      </c>
      <c r="AT3907" s="24" t="str">
        <f t="shared" si="1193"/>
        <v/>
      </c>
    </row>
    <row r="3908" spans="1:46">
      <c r="A3908" s="33" t="str">
        <f t="shared" si="1184"/>
        <v/>
      </c>
      <c r="B3908" s="23"/>
      <c r="C3908" s="23"/>
      <c r="D3908" s="202" t="str">
        <f t="shared" si="1195"/>
        <v/>
      </c>
      <c r="E3908" s="33" t="str">
        <f t="shared" si="1183"/>
        <v/>
      </c>
      <c r="F3908" s="23"/>
      <c r="G3908" s="23"/>
      <c r="H3908" s="29"/>
      <c r="I3908" s="204" t="str">
        <f t="shared" si="1185"/>
        <v/>
      </c>
      <c r="J3908" s="188"/>
      <c r="K3908" s="29"/>
      <c r="L3908" s="24"/>
      <c r="M3908" s="22"/>
      <c r="N3908" s="22"/>
      <c r="O3908" s="22"/>
      <c r="P3908" s="202" t="str">
        <f t="shared" si="1194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97"/>
        <v/>
      </c>
      <c r="Z3908" s="196" t="str">
        <f t="shared" si="1196"/>
        <v/>
      </c>
      <c r="AA3908" s="22"/>
      <c r="AB3908" s="197" t="str">
        <f t="shared" si="1182"/>
        <v/>
      </c>
      <c r="AC3908" s="198" t="str">
        <f t="shared" si="1186"/>
        <v/>
      </c>
      <c r="AD3908" s="162"/>
      <c r="AE3908" s="199" t="str">
        <f t="shared" si="1187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8"/>
        <v>0</v>
      </c>
      <c r="AJ3908" s="200">
        <f t="shared" si="1199"/>
        <v>0</v>
      </c>
      <c r="AK3908" s="201" t="str">
        <f t="shared" si="1188"/>
        <v/>
      </c>
      <c r="AL3908" s="24"/>
      <c r="AM3908" s="24"/>
      <c r="AN3908" s="24"/>
      <c r="AO3908" s="24"/>
      <c r="AP3908" s="165" t="str">
        <f t="shared" si="1189"/>
        <v/>
      </c>
      <c r="AQ3908" s="203" t="str">
        <f t="shared" si="1190"/>
        <v/>
      </c>
      <c r="AR3908" s="206">
        <f t="shared" si="1191"/>
        <v>0</v>
      </c>
      <c r="AS3908" s="22" t="str">
        <f t="shared" si="1192"/>
        <v/>
      </c>
      <c r="AT3908" s="24" t="str">
        <f t="shared" si="1193"/>
        <v/>
      </c>
    </row>
    <row r="3909" spans="1:46">
      <c r="A3909" s="33" t="str">
        <f t="shared" si="1184"/>
        <v/>
      </c>
      <c r="B3909" s="23"/>
      <c r="C3909" s="23"/>
      <c r="D3909" s="202" t="str">
        <f t="shared" si="1195"/>
        <v/>
      </c>
      <c r="E3909" s="33" t="str">
        <f t="shared" si="1183"/>
        <v/>
      </c>
      <c r="F3909" s="23"/>
      <c r="G3909" s="23"/>
      <c r="H3909" s="29"/>
      <c r="I3909" s="204" t="str">
        <f t="shared" si="1185"/>
        <v/>
      </c>
      <c r="J3909" s="188"/>
      <c r="K3909" s="29"/>
      <c r="L3909" s="24"/>
      <c r="M3909" s="22"/>
      <c r="N3909" s="22"/>
      <c r="O3909" s="22"/>
      <c r="P3909" s="202" t="str">
        <f t="shared" si="1194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97"/>
        <v/>
      </c>
      <c r="Z3909" s="196" t="str">
        <f t="shared" si="1196"/>
        <v/>
      </c>
      <c r="AA3909" s="22"/>
      <c r="AB3909" s="197" t="str">
        <f t="shared" si="1182"/>
        <v/>
      </c>
      <c r="AC3909" s="198" t="str">
        <f t="shared" si="1186"/>
        <v/>
      </c>
      <c r="AD3909" s="162"/>
      <c r="AE3909" s="199" t="str">
        <f t="shared" si="1187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8"/>
        <v>0</v>
      </c>
      <c r="AJ3909" s="200">
        <f t="shared" si="1199"/>
        <v>0</v>
      </c>
      <c r="AK3909" s="201" t="str">
        <f t="shared" si="1188"/>
        <v/>
      </c>
      <c r="AL3909" s="24"/>
      <c r="AM3909" s="24"/>
      <c r="AN3909" s="24"/>
      <c r="AO3909" s="24"/>
      <c r="AP3909" s="165" t="str">
        <f t="shared" si="1189"/>
        <v/>
      </c>
      <c r="AQ3909" s="203" t="str">
        <f t="shared" si="1190"/>
        <v/>
      </c>
      <c r="AR3909" s="206">
        <f t="shared" si="1191"/>
        <v>0</v>
      </c>
      <c r="AS3909" s="22" t="str">
        <f t="shared" si="1192"/>
        <v/>
      </c>
      <c r="AT3909" s="24" t="str">
        <f t="shared" si="1193"/>
        <v/>
      </c>
    </row>
    <row r="3910" spans="1:46">
      <c r="A3910" s="33" t="str">
        <f t="shared" si="1184"/>
        <v/>
      </c>
      <c r="B3910" s="23"/>
      <c r="C3910" s="23"/>
      <c r="D3910" s="202" t="str">
        <f t="shared" si="1195"/>
        <v/>
      </c>
      <c r="E3910" s="33" t="str">
        <f t="shared" si="1183"/>
        <v/>
      </c>
      <c r="F3910" s="23"/>
      <c r="G3910" s="23"/>
      <c r="H3910" s="29"/>
      <c r="I3910" s="204" t="str">
        <f t="shared" si="1185"/>
        <v/>
      </c>
      <c r="J3910" s="188"/>
      <c r="K3910" s="29"/>
      <c r="L3910" s="24"/>
      <c r="M3910" s="22"/>
      <c r="N3910" s="22"/>
      <c r="O3910" s="22"/>
      <c r="P3910" s="202" t="str">
        <f t="shared" si="1194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97"/>
        <v/>
      </c>
      <c r="Z3910" s="196" t="str">
        <f t="shared" si="1196"/>
        <v/>
      </c>
      <c r="AA3910" s="22"/>
      <c r="AB3910" s="197" t="str">
        <f t="shared" si="1182"/>
        <v/>
      </c>
      <c r="AC3910" s="198" t="str">
        <f t="shared" si="1186"/>
        <v/>
      </c>
      <c r="AD3910" s="162"/>
      <c r="AE3910" s="199" t="str">
        <f t="shared" si="1187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8"/>
        <v>0</v>
      </c>
      <c r="AJ3910" s="200">
        <f t="shared" si="1199"/>
        <v>0</v>
      </c>
      <c r="AK3910" s="201" t="str">
        <f t="shared" si="1188"/>
        <v/>
      </c>
      <c r="AL3910" s="24"/>
      <c r="AM3910" s="24"/>
      <c r="AN3910" s="24"/>
      <c r="AO3910" s="24"/>
      <c r="AP3910" s="165" t="str">
        <f t="shared" si="1189"/>
        <v/>
      </c>
      <c r="AQ3910" s="203" t="str">
        <f t="shared" si="1190"/>
        <v/>
      </c>
      <c r="AR3910" s="206">
        <f t="shared" si="1191"/>
        <v>0</v>
      </c>
      <c r="AS3910" s="22" t="str">
        <f t="shared" si="1192"/>
        <v/>
      </c>
      <c r="AT3910" s="24" t="str">
        <f t="shared" si="1193"/>
        <v/>
      </c>
    </row>
    <row r="3911" spans="1:46">
      <c r="A3911" s="33" t="str">
        <f t="shared" si="1184"/>
        <v/>
      </c>
      <c r="B3911" s="23"/>
      <c r="C3911" s="23"/>
      <c r="D3911" s="202" t="str">
        <f t="shared" si="1195"/>
        <v/>
      </c>
      <c r="E3911" s="33" t="str">
        <f t="shared" si="1183"/>
        <v/>
      </c>
      <c r="F3911" s="23"/>
      <c r="G3911" s="23"/>
      <c r="H3911" s="29"/>
      <c r="I3911" s="204" t="str">
        <f t="shared" si="1185"/>
        <v/>
      </c>
      <c r="J3911" s="188"/>
      <c r="K3911" s="29"/>
      <c r="L3911" s="24"/>
      <c r="M3911" s="22"/>
      <c r="N3911" s="22"/>
      <c r="O3911" s="22"/>
      <c r="P3911" s="202" t="str">
        <f t="shared" si="1194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97"/>
        <v/>
      </c>
      <c r="Z3911" s="196" t="str">
        <f t="shared" si="1196"/>
        <v/>
      </c>
      <c r="AA3911" s="22"/>
      <c r="AB3911" s="197" t="str">
        <f t="shared" si="1182"/>
        <v/>
      </c>
      <c r="AC3911" s="198" t="str">
        <f t="shared" si="1186"/>
        <v/>
      </c>
      <c r="AD3911" s="162"/>
      <c r="AE3911" s="199" t="str">
        <f t="shared" si="1187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8"/>
        <v>0</v>
      </c>
      <c r="AJ3911" s="200">
        <f t="shared" si="1199"/>
        <v>0</v>
      </c>
      <c r="AK3911" s="201" t="str">
        <f t="shared" si="1188"/>
        <v/>
      </c>
      <c r="AL3911" s="24"/>
      <c r="AM3911" s="24"/>
      <c r="AN3911" s="24"/>
      <c r="AO3911" s="24"/>
      <c r="AP3911" s="165" t="str">
        <f t="shared" si="1189"/>
        <v/>
      </c>
      <c r="AQ3911" s="203" t="str">
        <f t="shared" si="1190"/>
        <v/>
      </c>
      <c r="AR3911" s="206">
        <f t="shared" si="1191"/>
        <v>0</v>
      </c>
      <c r="AS3911" s="22" t="str">
        <f t="shared" si="1192"/>
        <v/>
      </c>
      <c r="AT3911" s="24" t="str">
        <f t="shared" si="1193"/>
        <v/>
      </c>
    </row>
    <row r="3912" spans="1:46">
      <c r="A3912" s="33" t="str">
        <f t="shared" si="1184"/>
        <v/>
      </c>
      <c r="B3912" s="23"/>
      <c r="C3912" s="23"/>
      <c r="D3912" s="202" t="str">
        <f t="shared" si="1195"/>
        <v/>
      </c>
      <c r="E3912" s="33" t="str">
        <f t="shared" si="1183"/>
        <v/>
      </c>
      <c r="F3912" s="23"/>
      <c r="G3912" s="23"/>
      <c r="H3912" s="29"/>
      <c r="I3912" s="204" t="str">
        <f t="shared" si="1185"/>
        <v/>
      </c>
      <c r="J3912" s="188"/>
      <c r="K3912" s="29"/>
      <c r="L3912" s="24"/>
      <c r="M3912" s="22"/>
      <c r="N3912" s="22"/>
      <c r="O3912" s="22"/>
      <c r="P3912" s="202" t="str">
        <f t="shared" si="1194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97"/>
        <v/>
      </c>
      <c r="Z3912" s="196" t="str">
        <f t="shared" si="1196"/>
        <v/>
      </c>
      <c r="AA3912" s="22"/>
      <c r="AB3912" s="197" t="str">
        <f t="shared" si="1182"/>
        <v/>
      </c>
      <c r="AC3912" s="198" t="str">
        <f t="shared" si="1186"/>
        <v/>
      </c>
      <c r="AD3912" s="162"/>
      <c r="AE3912" s="199" t="str">
        <f t="shared" si="1187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8"/>
        <v>0</v>
      </c>
      <c r="AJ3912" s="200">
        <f t="shared" si="1199"/>
        <v>0</v>
      </c>
      <c r="AK3912" s="201" t="str">
        <f t="shared" si="1188"/>
        <v/>
      </c>
      <c r="AL3912" s="24"/>
      <c r="AM3912" s="24"/>
      <c r="AN3912" s="24"/>
      <c r="AO3912" s="24"/>
      <c r="AP3912" s="165" t="str">
        <f t="shared" si="1189"/>
        <v/>
      </c>
      <c r="AQ3912" s="203" t="str">
        <f t="shared" si="1190"/>
        <v/>
      </c>
      <c r="AR3912" s="206">
        <f t="shared" si="1191"/>
        <v>0</v>
      </c>
      <c r="AS3912" s="22" t="str">
        <f t="shared" si="1192"/>
        <v/>
      </c>
      <c r="AT3912" s="24" t="str">
        <f t="shared" si="1193"/>
        <v/>
      </c>
    </row>
    <row r="3913" spans="1:46">
      <c r="A3913" s="33" t="str">
        <f t="shared" si="1184"/>
        <v/>
      </c>
      <c r="B3913" s="23"/>
      <c r="C3913" s="23"/>
      <c r="D3913" s="202" t="str">
        <f t="shared" si="1195"/>
        <v/>
      </c>
      <c r="E3913" s="33" t="str">
        <f t="shared" si="1183"/>
        <v/>
      </c>
      <c r="F3913" s="23"/>
      <c r="G3913" s="23"/>
      <c r="H3913" s="29"/>
      <c r="I3913" s="204" t="str">
        <f t="shared" si="1185"/>
        <v/>
      </c>
      <c r="J3913" s="188"/>
      <c r="K3913" s="29"/>
      <c r="L3913" s="24"/>
      <c r="M3913" s="22"/>
      <c r="N3913" s="22"/>
      <c r="O3913" s="22"/>
      <c r="P3913" s="202" t="str">
        <f t="shared" si="1194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97"/>
        <v/>
      </c>
      <c r="Z3913" s="196" t="str">
        <f t="shared" si="1196"/>
        <v/>
      </c>
      <c r="AA3913" s="22"/>
      <c r="AB3913" s="197" t="str">
        <f t="shared" si="1182"/>
        <v/>
      </c>
      <c r="AC3913" s="198" t="str">
        <f t="shared" si="1186"/>
        <v/>
      </c>
      <c r="AD3913" s="162"/>
      <c r="AE3913" s="199" t="str">
        <f t="shared" si="1187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8"/>
        <v>0</v>
      </c>
      <c r="AJ3913" s="200">
        <f t="shared" si="1199"/>
        <v>0</v>
      </c>
      <c r="AK3913" s="201" t="str">
        <f t="shared" si="1188"/>
        <v/>
      </c>
      <c r="AL3913" s="24"/>
      <c r="AM3913" s="24"/>
      <c r="AN3913" s="24"/>
      <c r="AO3913" s="24"/>
      <c r="AP3913" s="165" t="str">
        <f t="shared" si="1189"/>
        <v/>
      </c>
      <c r="AQ3913" s="203" t="str">
        <f t="shared" si="1190"/>
        <v/>
      </c>
      <c r="AR3913" s="206">
        <f t="shared" si="1191"/>
        <v>0</v>
      </c>
      <c r="AS3913" s="22" t="str">
        <f t="shared" si="1192"/>
        <v/>
      </c>
      <c r="AT3913" s="24" t="str">
        <f t="shared" si="1193"/>
        <v/>
      </c>
    </row>
    <row r="3914" spans="1:46">
      <c r="A3914" s="33" t="str">
        <f t="shared" si="1184"/>
        <v/>
      </c>
      <c r="B3914" s="23"/>
      <c r="C3914" s="23"/>
      <c r="D3914" s="202" t="str">
        <f t="shared" si="1195"/>
        <v/>
      </c>
      <c r="E3914" s="33" t="str">
        <f t="shared" si="1183"/>
        <v/>
      </c>
      <c r="F3914" s="23"/>
      <c r="G3914" s="23"/>
      <c r="H3914" s="29"/>
      <c r="I3914" s="204" t="str">
        <f t="shared" si="1185"/>
        <v/>
      </c>
      <c r="J3914" s="188"/>
      <c r="K3914" s="29"/>
      <c r="L3914" s="24"/>
      <c r="M3914" s="22"/>
      <c r="N3914" s="22"/>
      <c r="O3914" s="22"/>
      <c r="P3914" s="202" t="str">
        <f t="shared" si="1194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97"/>
        <v/>
      </c>
      <c r="Z3914" s="196" t="str">
        <f t="shared" si="1196"/>
        <v/>
      </c>
      <c r="AA3914" s="22"/>
      <c r="AB3914" s="197" t="str">
        <f t="shared" si="1182"/>
        <v/>
      </c>
      <c r="AC3914" s="198" t="str">
        <f t="shared" si="1186"/>
        <v/>
      </c>
      <c r="AD3914" s="162"/>
      <c r="AE3914" s="199" t="str">
        <f t="shared" si="1187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8"/>
        <v>0</v>
      </c>
      <c r="AJ3914" s="200">
        <f t="shared" si="1199"/>
        <v>0</v>
      </c>
      <c r="AK3914" s="201" t="str">
        <f t="shared" si="1188"/>
        <v/>
      </c>
      <c r="AL3914" s="24"/>
      <c r="AM3914" s="24"/>
      <c r="AN3914" s="24"/>
      <c r="AO3914" s="24"/>
      <c r="AP3914" s="165" t="str">
        <f t="shared" si="1189"/>
        <v/>
      </c>
      <c r="AQ3914" s="203" t="str">
        <f t="shared" si="1190"/>
        <v/>
      </c>
      <c r="AR3914" s="206">
        <f t="shared" si="1191"/>
        <v>0</v>
      </c>
      <c r="AS3914" s="22" t="str">
        <f t="shared" si="1192"/>
        <v/>
      </c>
      <c r="AT3914" s="24" t="str">
        <f t="shared" si="1193"/>
        <v/>
      </c>
    </row>
    <row r="3915" spans="1:46">
      <c r="A3915" s="33" t="str">
        <f t="shared" si="1184"/>
        <v/>
      </c>
      <c r="B3915" s="23"/>
      <c r="C3915" s="23"/>
      <c r="D3915" s="202" t="str">
        <f t="shared" si="1195"/>
        <v/>
      </c>
      <c r="E3915" s="33" t="str">
        <f t="shared" si="1183"/>
        <v/>
      </c>
      <c r="F3915" s="23"/>
      <c r="G3915" s="23"/>
      <c r="H3915" s="29"/>
      <c r="I3915" s="204" t="str">
        <f t="shared" si="1185"/>
        <v/>
      </c>
      <c r="J3915" s="188"/>
      <c r="K3915" s="29"/>
      <c r="L3915" s="24"/>
      <c r="M3915" s="22"/>
      <c r="N3915" s="22"/>
      <c r="O3915" s="22"/>
      <c r="P3915" s="202" t="str">
        <f t="shared" si="1194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97"/>
        <v/>
      </c>
      <c r="Z3915" s="196" t="str">
        <f t="shared" si="1196"/>
        <v/>
      </c>
      <c r="AA3915" s="22"/>
      <c r="AB3915" s="197" t="str">
        <f t="shared" si="1182"/>
        <v/>
      </c>
      <c r="AC3915" s="198" t="str">
        <f t="shared" si="1186"/>
        <v/>
      </c>
      <c r="AD3915" s="162"/>
      <c r="AE3915" s="199" t="str">
        <f t="shared" si="1187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8"/>
        <v>0</v>
      </c>
      <c r="AJ3915" s="200">
        <f t="shared" si="1199"/>
        <v>0</v>
      </c>
      <c r="AK3915" s="201" t="str">
        <f t="shared" si="1188"/>
        <v/>
      </c>
      <c r="AL3915" s="24"/>
      <c r="AM3915" s="24"/>
      <c r="AN3915" s="24"/>
      <c r="AO3915" s="24"/>
      <c r="AP3915" s="165" t="str">
        <f t="shared" si="1189"/>
        <v/>
      </c>
      <c r="AQ3915" s="203" t="str">
        <f t="shared" si="1190"/>
        <v/>
      </c>
      <c r="AR3915" s="206">
        <f t="shared" si="1191"/>
        <v>0</v>
      </c>
      <c r="AS3915" s="22" t="str">
        <f t="shared" si="1192"/>
        <v/>
      </c>
      <c r="AT3915" s="24" t="str">
        <f t="shared" si="1193"/>
        <v/>
      </c>
    </row>
    <row r="3916" spans="1:46">
      <c r="A3916" s="33" t="str">
        <f t="shared" si="1184"/>
        <v/>
      </c>
      <c r="B3916" s="23"/>
      <c r="C3916" s="23"/>
      <c r="D3916" s="202" t="str">
        <f t="shared" si="1195"/>
        <v/>
      </c>
      <c r="E3916" s="33" t="str">
        <f t="shared" si="1183"/>
        <v/>
      </c>
      <c r="F3916" s="23"/>
      <c r="G3916" s="23"/>
      <c r="H3916" s="29"/>
      <c r="I3916" s="204" t="str">
        <f t="shared" si="1185"/>
        <v/>
      </c>
      <c r="J3916" s="188"/>
      <c r="K3916" s="29"/>
      <c r="L3916" s="24"/>
      <c r="M3916" s="22"/>
      <c r="N3916" s="22"/>
      <c r="O3916" s="22"/>
      <c r="P3916" s="202" t="str">
        <f t="shared" si="1194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97"/>
        <v/>
      </c>
      <c r="Z3916" s="196" t="str">
        <f t="shared" si="1196"/>
        <v/>
      </c>
      <c r="AA3916" s="22"/>
      <c r="AB3916" s="197" t="str">
        <f t="shared" si="1182"/>
        <v/>
      </c>
      <c r="AC3916" s="198" t="str">
        <f t="shared" si="1186"/>
        <v/>
      </c>
      <c r="AD3916" s="162"/>
      <c r="AE3916" s="199" t="str">
        <f t="shared" si="1187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8"/>
        <v>0</v>
      </c>
      <c r="AJ3916" s="200">
        <f t="shared" si="1199"/>
        <v>0</v>
      </c>
      <c r="AK3916" s="201" t="str">
        <f t="shared" si="1188"/>
        <v/>
      </c>
      <c r="AL3916" s="24"/>
      <c r="AM3916" s="24"/>
      <c r="AN3916" s="24"/>
      <c r="AO3916" s="24"/>
      <c r="AP3916" s="165" t="str">
        <f t="shared" si="1189"/>
        <v/>
      </c>
      <c r="AQ3916" s="203" t="str">
        <f t="shared" si="1190"/>
        <v/>
      </c>
      <c r="AR3916" s="206">
        <f t="shared" si="1191"/>
        <v>0</v>
      </c>
      <c r="AS3916" s="22" t="str">
        <f t="shared" si="1192"/>
        <v/>
      </c>
      <c r="AT3916" s="24" t="str">
        <f t="shared" si="1193"/>
        <v/>
      </c>
    </row>
    <row r="3917" spans="1:46">
      <c r="A3917" s="33" t="str">
        <f t="shared" si="1184"/>
        <v/>
      </c>
      <c r="B3917" s="23"/>
      <c r="C3917" s="23"/>
      <c r="D3917" s="202" t="str">
        <f t="shared" si="1195"/>
        <v/>
      </c>
      <c r="E3917" s="33" t="str">
        <f t="shared" si="1183"/>
        <v/>
      </c>
      <c r="F3917" s="23"/>
      <c r="G3917" s="23"/>
      <c r="H3917" s="29"/>
      <c r="I3917" s="204" t="str">
        <f t="shared" si="1185"/>
        <v/>
      </c>
      <c r="J3917" s="188"/>
      <c r="K3917" s="29"/>
      <c r="L3917" s="24"/>
      <c r="M3917" s="22"/>
      <c r="N3917" s="22"/>
      <c r="O3917" s="22"/>
      <c r="P3917" s="202" t="str">
        <f t="shared" si="1194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97"/>
        <v/>
      </c>
      <c r="Z3917" s="196" t="str">
        <f t="shared" si="1196"/>
        <v/>
      </c>
      <c r="AA3917" s="22"/>
      <c r="AB3917" s="197" t="str">
        <f t="shared" si="1182"/>
        <v/>
      </c>
      <c r="AC3917" s="198" t="str">
        <f t="shared" si="1186"/>
        <v/>
      </c>
      <c r="AD3917" s="162"/>
      <c r="AE3917" s="199" t="str">
        <f t="shared" si="1187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8"/>
        <v>0</v>
      </c>
      <c r="AJ3917" s="200">
        <f t="shared" si="1199"/>
        <v>0</v>
      </c>
      <c r="AK3917" s="201" t="str">
        <f t="shared" si="1188"/>
        <v/>
      </c>
      <c r="AL3917" s="24"/>
      <c r="AM3917" s="24"/>
      <c r="AN3917" s="24"/>
      <c r="AO3917" s="24"/>
      <c r="AP3917" s="165" t="str">
        <f t="shared" si="1189"/>
        <v/>
      </c>
      <c r="AQ3917" s="203" t="str">
        <f t="shared" si="1190"/>
        <v/>
      </c>
      <c r="AR3917" s="206">
        <f t="shared" si="1191"/>
        <v>0</v>
      </c>
      <c r="AS3917" s="22" t="str">
        <f t="shared" si="1192"/>
        <v/>
      </c>
      <c r="AT3917" s="24" t="str">
        <f t="shared" si="1193"/>
        <v/>
      </c>
    </row>
    <row r="3918" spans="1:46">
      <c r="A3918" s="33" t="str">
        <f t="shared" si="1184"/>
        <v/>
      </c>
      <c r="B3918" s="23"/>
      <c r="C3918" s="23"/>
      <c r="D3918" s="202" t="str">
        <f t="shared" si="1195"/>
        <v/>
      </c>
      <c r="E3918" s="33" t="str">
        <f t="shared" si="1183"/>
        <v/>
      </c>
      <c r="F3918" s="23"/>
      <c r="G3918" s="23"/>
      <c r="H3918" s="29"/>
      <c r="I3918" s="204" t="str">
        <f t="shared" si="1185"/>
        <v/>
      </c>
      <c r="J3918" s="188"/>
      <c r="K3918" s="29"/>
      <c r="L3918" s="24"/>
      <c r="M3918" s="22"/>
      <c r="N3918" s="22"/>
      <c r="O3918" s="22"/>
      <c r="P3918" s="202" t="str">
        <f t="shared" si="1194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97"/>
        <v/>
      </c>
      <c r="Z3918" s="196" t="str">
        <f t="shared" si="1196"/>
        <v/>
      </c>
      <c r="AA3918" s="22"/>
      <c r="AB3918" s="197" t="str">
        <f t="shared" si="1182"/>
        <v/>
      </c>
      <c r="AC3918" s="198" t="str">
        <f t="shared" si="1186"/>
        <v/>
      </c>
      <c r="AD3918" s="162"/>
      <c r="AE3918" s="199" t="str">
        <f t="shared" si="1187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8"/>
        <v>0</v>
      </c>
      <c r="AJ3918" s="200">
        <f t="shared" si="1199"/>
        <v>0</v>
      </c>
      <c r="AK3918" s="201" t="str">
        <f t="shared" si="1188"/>
        <v/>
      </c>
      <c r="AL3918" s="24"/>
      <c r="AM3918" s="24"/>
      <c r="AN3918" s="24"/>
      <c r="AO3918" s="24"/>
      <c r="AP3918" s="165" t="str">
        <f t="shared" si="1189"/>
        <v/>
      </c>
      <c r="AQ3918" s="203" t="str">
        <f t="shared" si="1190"/>
        <v/>
      </c>
      <c r="AR3918" s="206">
        <f t="shared" si="1191"/>
        <v>0</v>
      </c>
      <c r="AS3918" s="22" t="str">
        <f t="shared" si="1192"/>
        <v/>
      </c>
      <c r="AT3918" s="24" t="str">
        <f t="shared" si="1193"/>
        <v/>
      </c>
    </row>
    <row r="3919" spans="1:46">
      <c r="A3919" s="33" t="str">
        <f t="shared" si="1184"/>
        <v/>
      </c>
      <c r="B3919" s="23"/>
      <c r="C3919" s="23"/>
      <c r="D3919" s="202" t="str">
        <f t="shared" si="1195"/>
        <v/>
      </c>
      <c r="E3919" s="33" t="str">
        <f t="shared" si="1183"/>
        <v/>
      </c>
      <c r="F3919" s="23"/>
      <c r="G3919" s="23"/>
      <c r="H3919" s="29"/>
      <c r="I3919" s="204" t="str">
        <f t="shared" si="1185"/>
        <v/>
      </c>
      <c r="J3919" s="188"/>
      <c r="K3919" s="29"/>
      <c r="L3919" s="24"/>
      <c r="M3919" s="22"/>
      <c r="N3919" s="22"/>
      <c r="O3919" s="22"/>
      <c r="P3919" s="202" t="str">
        <f t="shared" si="1194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97"/>
        <v/>
      </c>
      <c r="Z3919" s="196" t="str">
        <f t="shared" si="1196"/>
        <v/>
      </c>
      <c r="AA3919" s="22"/>
      <c r="AB3919" s="197" t="str">
        <f t="shared" si="1182"/>
        <v/>
      </c>
      <c r="AC3919" s="198" t="str">
        <f t="shared" si="1186"/>
        <v/>
      </c>
      <c r="AD3919" s="162"/>
      <c r="AE3919" s="199" t="str">
        <f t="shared" si="1187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8"/>
        <v>0</v>
      </c>
      <c r="AJ3919" s="200">
        <f t="shared" si="1199"/>
        <v>0</v>
      </c>
      <c r="AK3919" s="201" t="str">
        <f t="shared" si="1188"/>
        <v/>
      </c>
      <c r="AL3919" s="24"/>
      <c r="AM3919" s="24"/>
      <c r="AN3919" s="24"/>
      <c r="AO3919" s="24"/>
      <c r="AP3919" s="165" t="str">
        <f t="shared" si="1189"/>
        <v/>
      </c>
      <c r="AQ3919" s="203" t="str">
        <f t="shared" si="1190"/>
        <v/>
      </c>
      <c r="AR3919" s="206">
        <f t="shared" si="1191"/>
        <v>0</v>
      </c>
      <c r="AS3919" s="22" t="str">
        <f t="shared" si="1192"/>
        <v/>
      </c>
      <c r="AT3919" s="24" t="str">
        <f t="shared" si="1193"/>
        <v/>
      </c>
    </row>
    <row r="3920" spans="1:46">
      <c r="A3920" s="33" t="str">
        <f t="shared" si="1184"/>
        <v/>
      </c>
      <c r="B3920" s="23"/>
      <c r="C3920" s="23"/>
      <c r="D3920" s="202" t="str">
        <f t="shared" si="1195"/>
        <v/>
      </c>
      <c r="E3920" s="33" t="str">
        <f t="shared" si="1183"/>
        <v/>
      </c>
      <c r="F3920" s="23"/>
      <c r="G3920" s="23"/>
      <c r="H3920" s="29"/>
      <c r="I3920" s="204" t="str">
        <f t="shared" si="1185"/>
        <v/>
      </c>
      <c r="J3920" s="188"/>
      <c r="K3920" s="29"/>
      <c r="L3920" s="24"/>
      <c r="M3920" s="22"/>
      <c r="N3920" s="22"/>
      <c r="O3920" s="22"/>
      <c r="P3920" s="202" t="str">
        <f t="shared" si="1194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97"/>
        <v/>
      </c>
      <c r="Z3920" s="196" t="str">
        <f t="shared" si="1196"/>
        <v/>
      </c>
      <c r="AA3920" s="22"/>
      <c r="AB3920" s="197" t="str">
        <f t="shared" si="1182"/>
        <v/>
      </c>
      <c r="AC3920" s="198" t="str">
        <f t="shared" si="1186"/>
        <v/>
      </c>
      <c r="AD3920" s="162"/>
      <c r="AE3920" s="199" t="str">
        <f t="shared" si="1187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8"/>
        <v>0</v>
      </c>
      <c r="AJ3920" s="200">
        <f t="shared" si="1199"/>
        <v>0</v>
      </c>
      <c r="AK3920" s="201" t="str">
        <f t="shared" si="1188"/>
        <v/>
      </c>
      <c r="AL3920" s="24"/>
      <c r="AM3920" s="24"/>
      <c r="AN3920" s="24"/>
      <c r="AO3920" s="24"/>
      <c r="AP3920" s="165" t="str">
        <f t="shared" si="1189"/>
        <v/>
      </c>
      <c r="AQ3920" s="203" t="str">
        <f t="shared" si="1190"/>
        <v/>
      </c>
      <c r="AR3920" s="206">
        <f t="shared" si="1191"/>
        <v>0</v>
      </c>
      <c r="AS3920" s="22" t="str">
        <f t="shared" si="1192"/>
        <v/>
      </c>
      <c r="AT3920" s="24" t="str">
        <f t="shared" si="1193"/>
        <v/>
      </c>
    </row>
    <row r="3921" spans="1:46">
      <c r="A3921" s="33" t="str">
        <f t="shared" si="1184"/>
        <v/>
      </c>
      <c r="B3921" s="23"/>
      <c r="C3921" s="23"/>
      <c r="D3921" s="202" t="str">
        <f t="shared" si="1195"/>
        <v/>
      </c>
      <c r="E3921" s="33" t="str">
        <f t="shared" si="1183"/>
        <v/>
      </c>
      <c r="F3921" s="23"/>
      <c r="G3921" s="23"/>
      <c r="H3921" s="29"/>
      <c r="I3921" s="204" t="str">
        <f t="shared" si="1185"/>
        <v/>
      </c>
      <c r="J3921" s="188"/>
      <c r="K3921" s="29"/>
      <c r="L3921" s="24"/>
      <c r="M3921" s="22"/>
      <c r="N3921" s="22"/>
      <c r="O3921" s="22"/>
      <c r="P3921" s="202" t="str">
        <f t="shared" si="1194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97"/>
        <v/>
      </c>
      <c r="Z3921" s="196" t="str">
        <f t="shared" si="1196"/>
        <v/>
      </c>
      <c r="AA3921" s="22"/>
      <c r="AB3921" s="197" t="str">
        <f t="shared" si="1182"/>
        <v/>
      </c>
      <c r="AC3921" s="198" t="str">
        <f t="shared" si="1186"/>
        <v/>
      </c>
      <c r="AD3921" s="162"/>
      <c r="AE3921" s="199" t="str">
        <f t="shared" si="1187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8"/>
        <v>0</v>
      </c>
      <c r="AJ3921" s="200">
        <f t="shared" si="1199"/>
        <v>0</v>
      </c>
      <c r="AK3921" s="201" t="str">
        <f t="shared" si="1188"/>
        <v/>
      </c>
      <c r="AL3921" s="24"/>
      <c r="AM3921" s="24"/>
      <c r="AN3921" s="24"/>
      <c r="AO3921" s="24"/>
      <c r="AP3921" s="165" t="str">
        <f t="shared" si="1189"/>
        <v/>
      </c>
      <c r="AQ3921" s="203" t="str">
        <f t="shared" si="1190"/>
        <v/>
      </c>
      <c r="AR3921" s="206">
        <f t="shared" si="1191"/>
        <v>0</v>
      </c>
      <c r="AS3921" s="22" t="str">
        <f t="shared" si="1192"/>
        <v/>
      </c>
      <c r="AT3921" s="24" t="str">
        <f t="shared" si="1193"/>
        <v/>
      </c>
    </row>
    <row r="3922" spans="1:46">
      <c r="A3922" s="33" t="str">
        <f t="shared" si="1184"/>
        <v/>
      </c>
      <c r="B3922" s="23"/>
      <c r="C3922" s="23"/>
      <c r="D3922" s="202" t="str">
        <f t="shared" si="1195"/>
        <v/>
      </c>
      <c r="E3922" s="33" t="str">
        <f t="shared" si="1183"/>
        <v/>
      </c>
      <c r="F3922" s="23"/>
      <c r="G3922" s="23"/>
      <c r="H3922" s="29"/>
      <c r="I3922" s="204" t="str">
        <f t="shared" si="1185"/>
        <v/>
      </c>
      <c r="J3922" s="188"/>
      <c r="K3922" s="29"/>
      <c r="L3922" s="24"/>
      <c r="M3922" s="22"/>
      <c r="N3922" s="22"/>
      <c r="O3922" s="22"/>
      <c r="P3922" s="202" t="str">
        <f t="shared" si="1194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97"/>
        <v/>
      </c>
      <c r="Z3922" s="196" t="str">
        <f t="shared" si="1196"/>
        <v/>
      </c>
      <c r="AA3922" s="22"/>
      <c r="AB3922" s="197" t="str">
        <f t="shared" ref="AB3922:AB3985" si="1200">IF(AND(R3922&lt;&gt;"C66",R3922&lt;&gt;""),Z3922/Y3922*AA3922,"")</f>
        <v/>
      </c>
      <c r="AC3922" s="198" t="str">
        <f t="shared" si="1186"/>
        <v/>
      </c>
      <c r="AD3922" s="162"/>
      <c r="AE3922" s="199" t="str">
        <f t="shared" si="1187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8"/>
        <v>0</v>
      </c>
      <c r="AJ3922" s="200">
        <f t="shared" si="1199"/>
        <v>0</v>
      </c>
      <c r="AK3922" s="201" t="str">
        <f t="shared" si="1188"/>
        <v/>
      </c>
      <c r="AL3922" s="24"/>
      <c r="AM3922" s="24"/>
      <c r="AN3922" s="24"/>
      <c r="AO3922" s="24"/>
      <c r="AP3922" s="165" t="str">
        <f t="shared" si="1189"/>
        <v/>
      </c>
      <c r="AQ3922" s="203" t="str">
        <f t="shared" si="1190"/>
        <v/>
      </c>
      <c r="AR3922" s="206">
        <f t="shared" si="1191"/>
        <v>0</v>
      </c>
      <c r="AS3922" s="22" t="str">
        <f t="shared" si="1192"/>
        <v/>
      </c>
      <c r="AT3922" s="24" t="str">
        <f t="shared" si="1193"/>
        <v/>
      </c>
    </row>
    <row r="3923" spans="1:46">
      <c r="A3923" s="33" t="str">
        <f t="shared" si="1184"/>
        <v/>
      </c>
      <c r="B3923" s="23"/>
      <c r="C3923" s="23"/>
      <c r="D3923" s="202" t="str">
        <f t="shared" si="1195"/>
        <v/>
      </c>
      <c r="E3923" s="33" t="str">
        <f t="shared" si="1183"/>
        <v/>
      </c>
      <c r="F3923" s="23"/>
      <c r="G3923" s="23"/>
      <c r="H3923" s="29"/>
      <c r="I3923" s="204" t="str">
        <f t="shared" si="1185"/>
        <v/>
      </c>
      <c r="J3923" s="188"/>
      <c r="K3923" s="29"/>
      <c r="L3923" s="24"/>
      <c r="M3923" s="22"/>
      <c r="N3923" s="22"/>
      <c r="O3923" s="22"/>
      <c r="P3923" s="202" t="str">
        <f t="shared" si="1194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97"/>
        <v/>
      </c>
      <c r="Z3923" s="196" t="str">
        <f t="shared" si="1196"/>
        <v/>
      </c>
      <c r="AA3923" s="22"/>
      <c r="AB3923" s="197" t="str">
        <f t="shared" si="1200"/>
        <v/>
      </c>
      <c r="AC3923" s="198" t="str">
        <f t="shared" si="1186"/>
        <v/>
      </c>
      <c r="AD3923" s="162"/>
      <c r="AE3923" s="199" t="str">
        <f t="shared" si="1187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8"/>
        <v>0</v>
      </c>
      <c r="AJ3923" s="200">
        <f t="shared" si="1199"/>
        <v>0</v>
      </c>
      <c r="AK3923" s="201" t="str">
        <f t="shared" si="1188"/>
        <v/>
      </c>
      <c r="AL3923" s="24"/>
      <c r="AM3923" s="24"/>
      <c r="AN3923" s="24"/>
      <c r="AO3923" s="24"/>
      <c r="AP3923" s="165" t="str">
        <f t="shared" si="1189"/>
        <v/>
      </c>
      <c r="AQ3923" s="203" t="str">
        <f t="shared" si="1190"/>
        <v/>
      </c>
      <c r="AR3923" s="206">
        <f t="shared" si="1191"/>
        <v>0</v>
      </c>
      <c r="AS3923" s="22" t="str">
        <f t="shared" si="1192"/>
        <v/>
      </c>
      <c r="AT3923" s="24" t="str">
        <f t="shared" si="1193"/>
        <v/>
      </c>
    </row>
    <row r="3924" spans="1:46">
      <c r="A3924" s="33" t="str">
        <f t="shared" si="1184"/>
        <v/>
      </c>
      <c r="B3924" s="23"/>
      <c r="C3924" s="23"/>
      <c r="D3924" s="202" t="str">
        <f t="shared" si="1195"/>
        <v/>
      </c>
      <c r="E3924" s="33" t="str">
        <f t="shared" si="1183"/>
        <v/>
      </c>
      <c r="F3924" s="23"/>
      <c r="G3924" s="23"/>
      <c r="H3924" s="29"/>
      <c r="I3924" s="204" t="str">
        <f t="shared" si="1185"/>
        <v/>
      </c>
      <c r="J3924" s="188"/>
      <c r="K3924" s="29"/>
      <c r="L3924" s="24"/>
      <c r="M3924" s="22"/>
      <c r="N3924" s="22"/>
      <c r="O3924" s="22"/>
      <c r="P3924" s="202" t="str">
        <f t="shared" si="1194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97"/>
        <v/>
      </c>
      <c r="Z3924" s="196" t="str">
        <f t="shared" si="1196"/>
        <v/>
      </c>
      <c r="AA3924" s="22"/>
      <c r="AB3924" s="197" t="str">
        <f t="shared" si="1200"/>
        <v/>
      </c>
      <c r="AC3924" s="198" t="str">
        <f t="shared" si="1186"/>
        <v/>
      </c>
      <c r="AD3924" s="162"/>
      <c r="AE3924" s="199" t="str">
        <f t="shared" si="1187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8"/>
        <v>0</v>
      </c>
      <c r="AJ3924" s="200">
        <f t="shared" si="1199"/>
        <v>0</v>
      </c>
      <c r="AK3924" s="201" t="str">
        <f t="shared" si="1188"/>
        <v/>
      </c>
      <c r="AL3924" s="24"/>
      <c r="AM3924" s="24"/>
      <c r="AN3924" s="24"/>
      <c r="AO3924" s="24"/>
      <c r="AP3924" s="165" t="str">
        <f t="shared" si="1189"/>
        <v/>
      </c>
      <c r="AQ3924" s="203" t="str">
        <f t="shared" si="1190"/>
        <v/>
      </c>
      <c r="AR3924" s="206">
        <f t="shared" si="1191"/>
        <v>0</v>
      </c>
      <c r="AS3924" s="22" t="str">
        <f t="shared" si="1192"/>
        <v/>
      </c>
      <c r="AT3924" s="24" t="str">
        <f t="shared" si="1193"/>
        <v/>
      </c>
    </row>
    <row r="3925" spans="1:46">
      <c r="A3925" s="33" t="str">
        <f t="shared" si="1184"/>
        <v/>
      </c>
      <c r="B3925" s="23"/>
      <c r="C3925" s="23"/>
      <c r="D3925" s="202" t="str">
        <f t="shared" si="1195"/>
        <v/>
      </c>
      <c r="E3925" s="33" t="str">
        <f t="shared" si="1183"/>
        <v/>
      </c>
      <c r="F3925" s="23"/>
      <c r="G3925" s="23"/>
      <c r="H3925" s="29"/>
      <c r="I3925" s="204" t="str">
        <f t="shared" si="1185"/>
        <v/>
      </c>
      <c r="J3925" s="188"/>
      <c r="K3925" s="29"/>
      <c r="L3925" s="24"/>
      <c r="M3925" s="22"/>
      <c r="N3925" s="22"/>
      <c r="O3925" s="22"/>
      <c r="P3925" s="202" t="str">
        <f t="shared" si="1194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97"/>
        <v/>
      </c>
      <c r="Z3925" s="196" t="str">
        <f t="shared" si="1196"/>
        <v/>
      </c>
      <c r="AA3925" s="22"/>
      <c r="AB3925" s="197" t="str">
        <f t="shared" si="1200"/>
        <v/>
      </c>
      <c r="AC3925" s="198" t="str">
        <f t="shared" si="1186"/>
        <v/>
      </c>
      <c r="AD3925" s="162"/>
      <c r="AE3925" s="199" t="str">
        <f t="shared" si="1187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8"/>
        <v>0</v>
      </c>
      <c r="AJ3925" s="200">
        <f t="shared" si="1199"/>
        <v>0</v>
      </c>
      <c r="AK3925" s="201" t="str">
        <f t="shared" si="1188"/>
        <v/>
      </c>
      <c r="AL3925" s="24"/>
      <c r="AM3925" s="24"/>
      <c r="AN3925" s="24"/>
      <c r="AO3925" s="24"/>
      <c r="AP3925" s="165" t="str">
        <f t="shared" si="1189"/>
        <v/>
      </c>
      <c r="AQ3925" s="203" t="str">
        <f t="shared" si="1190"/>
        <v/>
      </c>
      <c r="AR3925" s="206">
        <f t="shared" si="1191"/>
        <v>0</v>
      </c>
      <c r="AS3925" s="22" t="str">
        <f t="shared" si="1192"/>
        <v/>
      </c>
      <c r="AT3925" s="24" t="str">
        <f t="shared" si="1193"/>
        <v/>
      </c>
    </row>
    <row r="3926" spans="1:46">
      <c r="A3926" s="33" t="str">
        <f t="shared" si="1184"/>
        <v/>
      </c>
      <c r="B3926" s="23"/>
      <c r="C3926" s="23"/>
      <c r="D3926" s="202" t="str">
        <f t="shared" si="1195"/>
        <v/>
      </c>
      <c r="E3926" s="33" t="str">
        <f t="shared" si="1183"/>
        <v/>
      </c>
      <c r="F3926" s="23"/>
      <c r="G3926" s="23"/>
      <c r="H3926" s="29"/>
      <c r="I3926" s="204" t="str">
        <f t="shared" si="1185"/>
        <v/>
      </c>
      <c r="J3926" s="188"/>
      <c r="K3926" s="29"/>
      <c r="L3926" s="24"/>
      <c r="M3926" s="22"/>
      <c r="N3926" s="22"/>
      <c r="O3926" s="22"/>
      <c r="P3926" s="202" t="str">
        <f t="shared" si="1194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97"/>
        <v/>
      </c>
      <c r="Z3926" s="196" t="str">
        <f t="shared" si="1196"/>
        <v/>
      </c>
      <c r="AA3926" s="22"/>
      <c r="AB3926" s="197" t="str">
        <f t="shared" si="1200"/>
        <v/>
      </c>
      <c r="AC3926" s="198" t="str">
        <f t="shared" si="1186"/>
        <v/>
      </c>
      <c r="AD3926" s="162"/>
      <c r="AE3926" s="199" t="str">
        <f t="shared" si="1187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8"/>
        <v>0</v>
      </c>
      <c r="AJ3926" s="200">
        <f t="shared" si="1199"/>
        <v>0</v>
      </c>
      <c r="AK3926" s="201" t="str">
        <f t="shared" si="1188"/>
        <v/>
      </c>
      <c r="AL3926" s="24"/>
      <c r="AM3926" s="24"/>
      <c r="AN3926" s="24"/>
      <c r="AO3926" s="24"/>
      <c r="AP3926" s="165" t="str">
        <f t="shared" si="1189"/>
        <v/>
      </c>
      <c r="AQ3926" s="203" t="str">
        <f t="shared" si="1190"/>
        <v/>
      </c>
      <c r="AR3926" s="206">
        <f t="shared" si="1191"/>
        <v>0</v>
      </c>
      <c r="AS3926" s="22" t="str">
        <f t="shared" si="1192"/>
        <v/>
      </c>
      <c r="AT3926" s="24" t="str">
        <f t="shared" si="1193"/>
        <v/>
      </c>
    </row>
    <row r="3927" spans="1:46">
      <c r="A3927" s="33" t="str">
        <f t="shared" si="1184"/>
        <v/>
      </c>
      <c r="B3927" s="23"/>
      <c r="C3927" s="23"/>
      <c r="D3927" s="202" t="str">
        <f t="shared" si="1195"/>
        <v/>
      </c>
      <c r="E3927" s="33" t="str">
        <f t="shared" si="1183"/>
        <v/>
      </c>
      <c r="F3927" s="23"/>
      <c r="G3927" s="23"/>
      <c r="H3927" s="29"/>
      <c r="I3927" s="204" t="str">
        <f t="shared" si="1185"/>
        <v/>
      </c>
      <c r="J3927" s="188"/>
      <c r="K3927" s="29"/>
      <c r="L3927" s="24"/>
      <c r="M3927" s="22"/>
      <c r="N3927" s="22"/>
      <c r="O3927" s="22"/>
      <c r="P3927" s="202" t="str">
        <f t="shared" si="1194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97"/>
        <v/>
      </c>
      <c r="Z3927" s="196" t="str">
        <f t="shared" si="1196"/>
        <v/>
      </c>
      <c r="AA3927" s="22"/>
      <c r="AB3927" s="197" t="str">
        <f t="shared" si="1200"/>
        <v/>
      </c>
      <c r="AC3927" s="198" t="str">
        <f t="shared" si="1186"/>
        <v/>
      </c>
      <c r="AD3927" s="162"/>
      <c r="AE3927" s="199" t="str">
        <f t="shared" si="1187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8"/>
        <v>0</v>
      </c>
      <c r="AJ3927" s="200">
        <f t="shared" si="1199"/>
        <v>0</v>
      </c>
      <c r="AK3927" s="201" t="str">
        <f t="shared" si="1188"/>
        <v/>
      </c>
      <c r="AL3927" s="24"/>
      <c r="AM3927" s="24"/>
      <c r="AN3927" s="24"/>
      <c r="AO3927" s="24"/>
      <c r="AP3927" s="165" t="str">
        <f t="shared" si="1189"/>
        <v/>
      </c>
      <c r="AQ3927" s="203" t="str">
        <f t="shared" si="1190"/>
        <v/>
      </c>
      <c r="AR3927" s="206">
        <f t="shared" si="1191"/>
        <v>0</v>
      </c>
      <c r="AS3927" s="22" t="str">
        <f t="shared" si="1192"/>
        <v/>
      </c>
      <c r="AT3927" s="24" t="str">
        <f t="shared" si="1193"/>
        <v/>
      </c>
    </row>
    <row r="3928" spans="1:46">
      <c r="A3928" s="33" t="str">
        <f t="shared" si="1184"/>
        <v/>
      </c>
      <c r="B3928" s="23"/>
      <c r="C3928" s="23"/>
      <c r="D3928" s="202" t="str">
        <f t="shared" si="1195"/>
        <v/>
      </c>
      <c r="E3928" s="33" t="str">
        <f t="shared" ref="E3928:E3991" si="1201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85"/>
        <v/>
      </c>
      <c r="J3928" s="188"/>
      <c r="K3928" s="29"/>
      <c r="L3928" s="24"/>
      <c r="M3928" s="22"/>
      <c r="N3928" s="22"/>
      <c r="O3928" s="22"/>
      <c r="P3928" s="202" t="str">
        <f t="shared" si="1194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97"/>
        <v/>
      </c>
      <c r="Z3928" s="196" t="str">
        <f t="shared" si="1196"/>
        <v/>
      </c>
      <c r="AA3928" s="22"/>
      <c r="AB3928" s="197" t="str">
        <f t="shared" si="1200"/>
        <v/>
      </c>
      <c r="AC3928" s="198" t="str">
        <f t="shared" si="1186"/>
        <v/>
      </c>
      <c r="AD3928" s="162"/>
      <c r="AE3928" s="199" t="str">
        <f t="shared" si="1187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8"/>
        <v>0</v>
      </c>
      <c r="AJ3928" s="200">
        <f t="shared" si="1199"/>
        <v>0</v>
      </c>
      <c r="AK3928" s="201" t="str">
        <f t="shared" si="1188"/>
        <v/>
      </c>
      <c r="AL3928" s="24"/>
      <c r="AM3928" s="24"/>
      <c r="AN3928" s="24"/>
      <c r="AO3928" s="24"/>
      <c r="AP3928" s="165" t="str">
        <f t="shared" si="1189"/>
        <v/>
      </c>
      <c r="AQ3928" s="203" t="str">
        <f t="shared" si="1190"/>
        <v/>
      </c>
      <c r="AR3928" s="206">
        <f t="shared" si="1191"/>
        <v>0</v>
      </c>
      <c r="AS3928" s="22" t="str">
        <f t="shared" si="1192"/>
        <v/>
      </c>
      <c r="AT3928" s="24" t="str">
        <f t="shared" si="1193"/>
        <v/>
      </c>
    </row>
    <row r="3929" spans="1:46">
      <c r="A3929" s="33" t="str">
        <f t="shared" si="1184"/>
        <v/>
      </c>
      <c r="B3929" s="23"/>
      <c r="C3929" s="23"/>
      <c r="D3929" s="202" t="str">
        <f t="shared" si="1195"/>
        <v/>
      </c>
      <c r="E3929" s="33" t="str">
        <f t="shared" si="1201"/>
        <v/>
      </c>
      <c r="F3929" s="23"/>
      <c r="G3929" s="23"/>
      <c r="H3929" s="29"/>
      <c r="I3929" s="204" t="str">
        <f t="shared" si="1185"/>
        <v/>
      </c>
      <c r="J3929" s="188"/>
      <c r="K3929" s="29"/>
      <c r="L3929" s="24"/>
      <c r="M3929" s="22"/>
      <c r="N3929" s="22"/>
      <c r="O3929" s="22"/>
      <c r="P3929" s="202" t="str">
        <f t="shared" si="1194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97"/>
        <v/>
      </c>
      <c r="Z3929" s="196" t="str">
        <f t="shared" si="1196"/>
        <v/>
      </c>
      <c r="AA3929" s="22"/>
      <c r="AB3929" s="197" t="str">
        <f t="shared" si="1200"/>
        <v/>
      </c>
      <c r="AC3929" s="198" t="str">
        <f t="shared" si="1186"/>
        <v/>
      </c>
      <c r="AD3929" s="162"/>
      <c r="AE3929" s="199" t="str">
        <f t="shared" si="1187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8"/>
        <v>0</v>
      </c>
      <c r="AJ3929" s="200">
        <f t="shared" si="1199"/>
        <v>0</v>
      </c>
      <c r="AK3929" s="201" t="str">
        <f t="shared" si="1188"/>
        <v/>
      </c>
      <c r="AL3929" s="24"/>
      <c r="AM3929" s="24"/>
      <c r="AN3929" s="24"/>
      <c r="AO3929" s="24"/>
      <c r="AP3929" s="165" t="str">
        <f t="shared" si="1189"/>
        <v/>
      </c>
      <c r="AQ3929" s="203" t="str">
        <f t="shared" si="1190"/>
        <v/>
      </c>
      <c r="AR3929" s="206">
        <f t="shared" si="1191"/>
        <v>0</v>
      </c>
      <c r="AS3929" s="22" t="str">
        <f t="shared" si="1192"/>
        <v/>
      </c>
      <c r="AT3929" s="24" t="str">
        <f t="shared" si="1193"/>
        <v/>
      </c>
    </row>
    <row r="3930" spans="1:46">
      <c r="A3930" s="33" t="str">
        <f t="shared" si="1184"/>
        <v/>
      </c>
      <c r="B3930" s="23"/>
      <c r="C3930" s="23"/>
      <c r="D3930" s="202" t="str">
        <f t="shared" si="1195"/>
        <v/>
      </c>
      <c r="E3930" s="33" t="str">
        <f t="shared" si="1201"/>
        <v/>
      </c>
      <c r="F3930" s="23"/>
      <c r="G3930" s="23"/>
      <c r="H3930" s="29"/>
      <c r="I3930" s="204" t="str">
        <f t="shared" si="1185"/>
        <v/>
      </c>
      <c r="J3930" s="188"/>
      <c r="K3930" s="29"/>
      <c r="L3930" s="24"/>
      <c r="M3930" s="22"/>
      <c r="N3930" s="22"/>
      <c r="O3930" s="22"/>
      <c r="P3930" s="202" t="str">
        <f t="shared" si="1194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97"/>
        <v/>
      </c>
      <c r="Z3930" s="196" t="str">
        <f t="shared" si="1196"/>
        <v/>
      </c>
      <c r="AA3930" s="22"/>
      <c r="AB3930" s="197" t="str">
        <f t="shared" si="1200"/>
        <v/>
      </c>
      <c r="AC3930" s="198" t="str">
        <f t="shared" si="1186"/>
        <v/>
      </c>
      <c r="AD3930" s="162"/>
      <c r="AE3930" s="199" t="str">
        <f t="shared" si="1187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8"/>
        <v>0</v>
      </c>
      <c r="AJ3930" s="200">
        <f t="shared" si="1199"/>
        <v>0</v>
      </c>
      <c r="AK3930" s="201" t="str">
        <f t="shared" si="1188"/>
        <v/>
      </c>
      <c r="AL3930" s="24"/>
      <c r="AM3930" s="24"/>
      <c r="AN3930" s="24"/>
      <c r="AO3930" s="24"/>
      <c r="AP3930" s="165" t="str">
        <f t="shared" si="1189"/>
        <v/>
      </c>
      <c r="AQ3930" s="203" t="str">
        <f t="shared" si="1190"/>
        <v/>
      </c>
      <c r="AR3930" s="206">
        <f t="shared" si="1191"/>
        <v>0</v>
      </c>
      <c r="AS3930" s="22" t="str">
        <f t="shared" si="1192"/>
        <v/>
      </c>
      <c r="AT3930" s="24" t="str">
        <f t="shared" si="1193"/>
        <v/>
      </c>
    </row>
    <row r="3931" spans="1:46">
      <c r="A3931" s="33" t="str">
        <f t="shared" si="1184"/>
        <v/>
      </c>
      <c r="B3931" s="23"/>
      <c r="C3931" s="23"/>
      <c r="D3931" s="202" t="str">
        <f t="shared" si="1195"/>
        <v/>
      </c>
      <c r="E3931" s="33" t="str">
        <f t="shared" si="1201"/>
        <v/>
      </c>
      <c r="F3931" s="23"/>
      <c r="G3931" s="23"/>
      <c r="H3931" s="29"/>
      <c r="I3931" s="204" t="str">
        <f t="shared" si="1185"/>
        <v/>
      </c>
      <c r="J3931" s="188"/>
      <c r="K3931" s="29"/>
      <c r="L3931" s="24"/>
      <c r="M3931" s="22"/>
      <c r="N3931" s="22"/>
      <c r="O3931" s="22"/>
      <c r="P3931" s="202" t="str">
        <f t="shared" si="1194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97"/>
        <v/>
      </c>
      <c r="Z3931" s="196" t="str">
        <f t="shared" si="1196"/>
        <v/>
      </c>
      <c r="AA3931" s="22"/>
      <c r="AB3931" s="197" t="str">
        <f t="shared" si="1200"/>
        <v/>
      </c>
      <c r="AC3931" s="198" t="str">
        <f t="shared" si="1186"/>
        <v/>
      </c>
      <c r="AD3931" s="162"/>
      <c r="AE3931" s="199" t="str">
        <f t="shared" si="1187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8"/>
        <v>0</v>
      </c>
      <c r="AJ3931" s="200">
        <f t="shared" si="1199"/>
        <v>0</v>
      </c>
      <c r="AK3931" s="201" t="str">
        <f t="shared" si="1188"/>
        <v/>
      </c>
      <c r="AL3931" s="24"/>
      <c r="AM3931" s="24"/>
      <c r="AN3931" s="24"/>
      <c r="AO3931" s="24"/>
      <c r="AP3931" s="165" t="str">
        <f t="shared" si="1189"/>
        <v/>
      </c>
      <c r="AQ3931" s="203" t="str">
        <f t="shared" si="1190"/>
        <v/>
      </c>
      <c r="AR3931" s="206">
        <f t="shared" si="1191"/>
        <v>0</v>
      </c>
      <c r="AS3931" s="22" t="str">
        <f t="shared" si="1192"/>
        <v/>
      </c>
      <c r="AT3931" s="24" t="str">
        <f t="shared" si="1193"/>
        <v/>
      </c>
    </row>
    <row r="3932" spans="1:46">
      <c r="A3932" s="33" t="str">
        <f t="shared" si="1184"/>
        <v/>
      </c>
      <c r="B3932" s="23"/>
      <c r="C3932" s="23"/>
      <c r="D3932" s="202" t="str">
        <f t="shared" si="1195"/>
        <v/>
      </c>
      <c r="E3932" s="33" t="str">
        <f t="shared" si="1201"/>
        <v/>
      </c>
      <c r="F3932" s="23"/>
      <c r="G3932" s="23"/>
      <c r="H3932" s="29"/>
      <c r="I3932" s="204" t="str">
        <f t="shared" si="1185"/>
        <v/>
      </c>
      <c r="J3932" s="188"/>
      <c r="K3932" s="29"/>
      <c r="L3932" s="24"/>
      <c r="M3932" s="22"/>
      <c r="N3932" s="22"/>
      <c r="O3932" s="22"/>
      <c r="P3932" s="202" t="str">
        <f t="shared" si="1194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97"/>
        <v/>
      </c>
      <c r="Z3932" s="196" t="str">
        <f t="shared" si="1196"/>
        <v/>
      </c>
      <c r="AA3932" s="22"/>
      <c r="AB3932" s="197" t="str">
        <f t="shared" si="1200"/>
        <v/>
      </c>
      <c r="AC3932" s="198" t="str">
        <f t="shared" si="1186"/>
        <v/>
      </c>
      <c r="AD3932" s="162"/>
      <c r="AE3932" s="199" t="str">
        <f t="shared" si="1187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8"/>
        <v>0</v>
      </c>
      <c r="AJ3932" s="200">
        <f t="shared" si="1199"/>
        <v>0</v>
      </c>
      <c r="AK3932" s="201" t="str">
        <f t="shared" si="1188"/>
        <v/>
      </c>
      <c r="AL3932" s="24"/>
      <c r="AM3932" s="24"/>
      <c r="AN3932" s="24"/>
      <c r="AO3932" s="24"/>
      <c r="AP3932" s="165" t="str">
        <f t="shared" si="1189"/>
        <v/>
      </c>
      <c r="AQ3932" s="203" t="str">
        <f t="shared" si="1190"/>
        <v/>
      </c>
      <c r="AR3932" s="206">
        <f t="shared" si="1191"/>
        <v>0</v>
      </c>
      <c r="AS3932" s="22" t="str">
        <f t="shared" si="1192"/>
        <v/>
      </c>
      <c r="AT3932" s="24" t="str">
        <f t="shared" si="1193"/>
        <v/>
      </c>
    </row>
    <row r="3933" spans="1:46">
      <c r="A3933" s="33" t="str">
        <f t="shared" si="1184"/>
        <v/>
      </c>
      <c r="B3933" s="23"/>
      <c r="C3933" s="23"/>
      <c r="D3933" s="202" t="str">
        <f t="shared" si="1195"/>
        <v/>
      </c>
      <c r="E3933" s="33" t="str">
        <f t="shared" si="1201"/>
        <v/>
      </c>
      <c r="F3933" s="23"/>
      <c r="G3933" s="23"/>
      <c r="H3933" s="29"/>
      <c r="I3933" s="204" t="str">
        <f t="shared" si="1185"/>
        <v/>
      </c>
      <c r="J3933" s="188"/>
      <c r="K3933" s="29"/>
      <c r="L3933" s="24"/>
      <c r="M3933" s="22"/>
      <c r="N3933" s="22"/>
      <c r="O3933" s="22"/>
      <c r="P3933" s="202" t="str">
        <f t="shared" si="1194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97"/>
        <v/>
      </c>
      <c r="Z3933" s="196" t="str">
        <f t="shared" si="1196"/>
        <v/>
      </c>
      <c r="AA3933" s="22"/>
      <c r="AB3933" s="197" t="str">
        <f t="shared" si="1200"/>
        <v/>
      </c>
      <c r="AC3933" s="198" t="str">
        <f t="shared" si="1186"/>
        <v/>
      </c>
      <c r="AD3933" s="162"/>
      <c r="AE3933" s="199" t="str">
        <f t="shared" si="1187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8"/>
        <v>0</v>
      </c>
      <c r="AJ3933" s="200">
        <f t="shared" si="1199"/>
        <v>0</v>
      </c>
      <c r="AK3933" s="201" t="str">
        <f t="shared" si="1188"/>
        <v/>
      </c>
      <c r="AL3933" s="24"/>
      <c r="AM3933" s="24"/>
      <c r="AN3933" s="24"/>
      <c r="AO3933" s="24"/>
      <c r="AP3933" s="165" t="str">
        <f t="shared" si="1189"/>
        <v/>
      </c>
      <c r="AQ3933" s="203" t="str">
        <f t="shared" si="1190"/>
        <v/>
      </c>
      <c r="AR3933" s="206">
        <f t="shared" si="1191"/>
        <v>0</v>
      </c>
      <c r="AS3933" s="22" t="str">
        <f t="shared" si="1192"/>
        <v/>
      </c>
      <c r="AT3933" s="24" t="str">
        <f t="shared" si="1193"/>
        <v/>
      </c>
    </row>
    <row r="3934" spans="1:46">
      <c r="A3934" s="33" t="str">
        <f t="shared" si="1184"/>
        <v/>
      </c>
      <c r="B3934" s="23"/>
      <c r="C3934" s="23"/>
      <c r="D3934" s="202" t="str">
        <f t="shared" si="1195"/>
        <v/>
      </c>
      <c r="E3934" s="33" t="str">
        <f t="shared" si="1201"/>
        <v/>
      </c>
      <c r="F3934" s="23"/>
      <c r="G3934" s="23"/>
      <c r="H3934" s="29"/>
      <c r="I3934" s="204" t="str">
        <f t="shared" si="1185"/>
        <v/>
      </c>
      <c r="J3934" s="188"/>
      <c r="K3934" s="29"/>
      <c r="L3934" s="24"/>
      <c r="M3934" s="22"/>
      <c r="N3934" s="22"/>
      <c r="O3934" s="22"/>
      <c r="P3934" s="202" t="str">
        <f t="shared" si="1194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97"/>
        <v/>
      </c>
      <c r="Z3934" s="196" t="str">
        <f t="shared" si="1196"/>
        <v/>
      </c>
      <c r="AA3934" s="22"/>
      <c r="AB3934" s="197" t="str">
        <f t="shared" si="1200"/>
        <v/>
      </c>
      <c r="AC3934" s="198" t="str">
        <f t="shared" si="1186"/>
        <v/>
      </c>
      <c r="AD3934" s="162"/>
      <c r="AE3934" s="199" t="str">
        <f t="shared" si="1187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8"/>
        <v>0</v>
      </c>
      <c r="AJ3934" s="200">
        <f t="shared" si="1199"/>
        <v>0</v>
      </c>
      <c r="AK3934" s="201" t="str">
        <f t="shared" si="1188"/>
        <v/>
      </c>
      <c r="AL3934" s="24"/>
      <c r="AM3934" s="24"/>
      <c r="AN3934" s="24"/>
      <c r="AO3934" s="24"/>
      <c r="AP3934" s="165" t="str">
        <f t="shared" si="1189"/>
        <v/>
      </c>
      <c r="AQ3934" s="203" t="str">
        <f t="shared" si="1190"/>
        <v/>
      </c>
      <c r="AR3934" s="206">
        <f t="shared" si="1191"/>
        <v>0</v>
      </c>
      <c r="AS3934" s="22" t="str">
        <f t="shared" si="1192"/>
        <v/>
      </c>
      <c r="AT3934" s="24" t="str">
        <f t="shared" si="1193"/>
        <v/>
      </c>
    </row>
    <row r="3935" spans="1:46">
      <c r="A3935" s="33" t="str">
        <f t="shared" si="1184"/>
        <v/>
      </c>
      <c r="B3935" s="23"/>
      <c r="C3935" s="23"/>
      <c r="D3935" s="202" t="str">
        <f t="shared" si="1195"/>
        <v/>
      </c>
      <c r="E3935" s="33" t="str">
        <f t="shared" si="1201"/>
        <v/>
      </c>
      <c r="F3935" s="23"/>
      <c r="G3935" s="23"/>
      <c r="H3935" s="29"/>
      <c r="I3935" s="204" t="str">
        <f t="shared" si="1185"/>
        <v/>
      </c>
      <c r="J3935" s="188"/>
      <c r="K3935" s="29"/>
      <c r="L3935" s="24"/>
      <c r="M3935" s="22"/>
      <c r="N3935" s="22"/>
      <c r="O3935" s="22"/>
      <c r="P3935" s="202" t="str">
        <f t="shared" si="1194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97"/>
        <v/>
      </c>
      <c r="Z3935" s="196" t="str">
        <f t="shared" si="1196"/>
        <v/>
      </c>
      <c r="AA3935" s="22"/>
      <c r="AB3935" s="197" t="str">
        <f t="shared" si="1200"/>
        <v/>
      </c>
      <c r="AC3935" s="198" t="str">
        <f t="shared" si="1186"/>
        <v/>
      </c>
      <c r="AD3935" s="162"/>
      <c r="AE3935" s="199" t="str">
        <f t="shared" si="1187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8"/>
        <v>0</v>
      </c>
      <c r="AJ3935" s="200">
        <f t="shared" si="1199"/>
        <v>0</v>
      </c>
      <c r="AK3935" s="201" t="str">
        <f t="shared" si="1188"/>
        <v/>
      </c>
      <c r="AL3935" s="24"/>
      <c r="AM3935" s="24"/>
      <c r="AN3935" s="24"/>
      <c r="AO3935" s="24"/>
      <c r="AP3935" s="165" t="str">
        <f t="shared" si="1189"/>
        <v/>
      </c>
      <c r="AQ3935" s="203" t="str">
        <f t="shared" si="1190"/>
        <v/>
      </c>
      <c r="AR3935" s="206">
        <f t="shared" si="1191"/>
        <v>0</v>
      </c>
      <c r="AS3935" s="22" t="str">
        <f t="shared" si="1192"/>
        <v/>
      </c>
      <c r="AT3935" s="24" t="str">
        <f t="shared" si="1193"/>
        <v/>
      </c>
    </row>
    <row r="3936" spans="1:46">
      <c r="A3936" s="33" t="str">
        <f t="shared" ref="A3936:A3994" si="1202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95"/>
        <v/>
      </c>
      <c r="E3936" s="33" t="str">
        <f t="shared" si="1201"/>
        <v/>
      </c>
      <c r="F3936" s="23"/>
      <c r="G3936" s="23"/>
      <c r="H3936" s="29"/>
      <c r="I3936" s="204" t="str">
        <f t="shared" ref="I3936:I3994" si="1203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94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97"/>
        <v/>
      </c>
      <c r="Z3936" s="196" t="str">
        <f t="shared" si="1196"/>
        <v/>
      </c>
      <c r="AA3936" s="22"/>
      <c r="AB3936" s="197" t="str">
        <f t="shared" si="1200"/>
        <v/>
      </c>
      <c r="AC3936" s="198" t="str">
        <f t="shared" ref="AC3936:AC3994" si="1204">IF(R3936&lt;&gt;"",AB3936*AD3936,"")</f>
        <v/>
      </c>
      <c r="AD3936" s="162"/>
      <c r="AE3936" s="199" t="str">
        <f t="shared" ref="AE3936:AE3994" si="1205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8"/>
        <v>0</v>
      </c>
      <c r="AJ3936" s="200">
        <f t="shared" si="1199"/>
        <v>0</v>
      </c>
      <c r="AK3936" s="201" t="str">
        <f t="shared" ref="AK3936:AK3994" si="1206">IF(AJ3936&gt;0,AJ3936/AI3936,"")</f>
        <v/>
      </c>
      <c r="AL3936" s="24"/>
      <c r="AM3936" s="24"/>
      <c r="AN3936" s="24"/>
      <c r="AO3936" s="24"/>
      <c r="AP3936" s="165" t="str">
        <f t="shared" ref="AP3936:AP3996" si="1207">IF(F3936="","",F3936&amp;G3936)</f>
        <v/>
      </c>
      <c r="AQ3936" s="203" t="str">
        <f t="shared" ref="AQ3936:AQ3996" si="1208">IF(W3936="","",F3936&amp;G3936&amp;W3936)</f>
        <v/>
      </c>
      <c r="AR3936" s="206">
        <f t="shared" ref="AR3936:AR3996" si="1209">IFERROR(IF(AND(M3936="YAMAHA", R3936="C28"), "YAMAHA_Non_Mounter", IF(AND(M3936="YAMAHA", R3936="C49"), "YAMAHA_Mounter", M3936)),"")</f>
        <v>0</v>
      </c>
      <c r="AS3936" s="22" t="str">
        <f t="shared" ref="AS3936:AS3996" si="1210">IFERROR(IF(OR(G3936="TBA", G3936=""), "", DATEDIF(DATE(B3936, C3936, 1), DATE(F3936, G3936, 1), "M")),"")</f>
        <v/>
      </c>
      <c r="AT3936" s="24" t="str">
        <f t="shared" ref="AT3936:AT3996" si="1211">IF(ISNUMBER(AS3936), IF(AS3936&gt;=0, IF(AS3936&lt;=3, "0-3 months", IF(AS3936&lt;=6, "4-6 months", "&gt; 6 months"))), "")</f>
        <v/>
      </c>
    </row>
    <row r="3937" spans="1:46">
      <c r="A3937" s="33" t="str">
        <f t="shared" si="1202"/>
        <v/>
      </c>
      <c r="B3937" s="23"/>
      <c r="C3937" s="23"/>
      <c r="D3937" s="202" t="str">
        <f t="shared" si="1195"/>
        <v/>
      </c>
      <c r="E3937" s="33" t="str">
        <f t="shared" si="1201"/>
        <v/>
      </c>
      <c r="F3937" s="23"/>
      <c r="G3937" s="23"/>
      <c r="H3937" s="29"/>
      <c r="I3937" s="204" t="str">
        <f t="shared" si="1203"/>
        <v/>
      </c>
      <c r="J3937" s="188"/>
      <c r="K3937" s="29"/>
      <c r="L3937" s="24"/>
      <c r="M3937" s="22"/>
      <c r="N3937" s="22"/>
      <c r="O3937" s="22"/>
      <c r="P3937" s="202" t="str">
        <f t="shared" ref="P3937:P3994" si="1212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97"/>
        <v/>
      </c>
      <c r="Z3937" s="196" t="str">
        <f t="shared" si="1196"/>
        <v/>
      </c>
      <c r="AA3937" s="22"/>
      <c r="AB3937" s="197" t="str">
        <f t="shared" si="1200"/>
        <v/>
      </c>
      <c r="AC3937" s="198" t="str">
        <f t="shared" si="1204"/>
        <v/>
      </c>
      <c r="AD3937" s="162"/>
      <c r="AE3937" s="199" t="str">
        <f t="shared" si="1205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8"/>
        <v>0</v>
      </c>
      <c r="AJ3937" s="200">
        <f t="shared" si="1199"/>
        <v>0</v>
      </c>
      <c r="AK3937" s="201" t="str">
        <f t="shared" si="1206"/>
        <v/>
      </c>
      <c r="AL3937" s="24"/>
      <c r="AM3937" s="24"/>
      <c r="AN3937" s="24"/>
      <c r="AO3937" s="24"/>
      <c r="AP3937" s="165" t="str">
        <f t="shared" si="1207"/>
        <v/>
      </c>
      <c r="AQ3937" s="203" t="str">
        <f t="shared" si="1208"/>
        <v/>
      </c>
      <c r="AR3937" s="206">
        <f t="shared" si="1209"/>
        <v>0</v>
      </c>
      <c r="AS3937" s="22" t="str">
        <f t="shared" si="1210"/>
        <v/>
      </c>
      <c r="AT3937" s="24" t="str">
        <f t="shared" si="1211"/>
        <v/>
      </c>
    </row>
    <row r="3938" spans="1:46">
      <c r="A3938" s="33" t="str">
        <f t="shared" si="1202"/>
        <v/>
      </c>
      <c r="B3938" s="23"/>
      <c r="C3938" s="23"/>
      <c r="D3938" s="202" t="str">
        <f t="shared" si="1195"/>
        <v/>
      </c>
      <c r="E3938" s="33" t="str">
        <f t="shared" si="1201"/>
        <v/>
      </c>
      <c r="F3938" s="23"/>
      <c r="G3938" s="23"/>
      <c r="H3938" s="29"/>
      <c r="I3938" s="204" t="str">
        <f t="shared" si="1203"/>
        <v/>
      </c>
      <c r="J3938" s="188"/>
      <c r="K3938" s="29"/>
      <c r="L3938" s="24"/>
      <c r="M3938" s="22"/>
      <c r="N3938" s="22"/>
      <c r="O3938" s="22"/>
      <c r="P3938" s="202" t="str">
        <f t="shared" si="1212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97"/>
        <v/>
      </c>
      <c r="Z3938" s="196" t="str">
        <f t="shared" si="1196"/>
        <v/>
      </c>
      <c r="AA3938" s="22"/>
      <c r="AB3938" s="197" t="str">
        <f t="shared" si="1200"/>
        <v/>
      </c>
      <c r="AC3938" s="198" t="str">
        <f t="shared" si="1204"/>
        <v/>
      </c>
      <c r="AD3938" s="162"/>
      <c r="AE3938" s="199" t="str">
        <f t="shared" si="1205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8"/>
        <v>0</v>
      </c>
      <c r="AJ3938" s="200">
        <f t="shared" si="1199"/>
        <v>0</v>
      </c>
      <c r="AK3938" s="201" t="str">
        <f t="shared" si="1206"/>
        <v/>
      </c>
      <c r="AL3938" s="24"/>
      <c r="AM3938" s="24"/>
      <c r="AN3938" s="24"/>
      <c r="AO3938" s="24"/>
      <c r="AP3938" s="165" t="str">
        <f t="shared" si="1207"/>
        <v/>
      </c>
      <c r="AQ3938" s="203" t="str">
        <f t="shared" si="1208"/>
        <v/>
      </c>
      <c r="AR3938" s="206">
        <f t="shared" si="1209"/>
        <v>0</v>
      </c>
      <c r="AS3938" s="22" t="str">
        <f t="shared" si="1210"/>
        <v/>
      </c>
      <c r="AT3938" s="24" t="str">
        <f t="shared" si="1211"/>
        <v/>
      </c>
    </row>
    <row r="3939" spans="1:46">
      <c r="A3939" s="33" t="str">
        <f t="shared" si="1202"/>
        <v/>
      </c>
      <c r="B3939" s="23"/>
      <c r="C3939" s="23"/>
      <c r="D3939" s="202" t="str">
        <f t="shared" si="1195"/>
        <v/>
      </c>
      <c r="E3939" s="33" t="str">
        <f t="shared" si="1201"/>
        <v/>
      </c>
      <c r="F3939" s="23"/>
      <c r="G3939" s="23"/>
      <c r="H3939" s="29"/>
      <c r="I3939" s="204" t="str">
        <f t="shared" si="1203"/>
        <v/>
      </c>
      <c r="J3939" s="188"/>
      <c r="K3939" s="29"/>
      <c r="L3939" s="24"/>
      <c r="M3939" s="22"/>
      <c r="N3939" s="22"/>
      <c r="O3939" s="22"/>
      <c r="P3939" s="202" t="str">
        <f t="shared" si="1212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97"/>
        <v/>
      </c>
      <c r="Z3939" s="196" t="str">
        <f t="shared" si="1196"/>
        <v/>
      </c>
      <c r="AA3939" s="22"/>
      <c r="AB3939" s="197" t="str">
        <f t="shared" si="1200"/>
        <v/>
      </c>
      <c r="AC3939" s="198" t="str">
        <f t="shared" si="1204"/>
        <v/>
      </c>
      <c r="AD3939" s="162"/>
      <c r="AE3939" s="199" t="str">
        <f t="shared" si="1205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8"/>
        <v>0</v>
      </c>
      <c r="AJ3939" s="200">
        <f t="shared" si="1199"/>
        <v>0</v>
      </c>
      <c r="AK3939" s="201" t="str">
        <f t="shared" si="1206"/>
        <v/>
      </c>
      <c r="AL3939" s="24"/>
      <c r="AM3939" s="24"/>
      <c r="AN3939" s="24"/>
      <c r="AO3939" s="24"/>
      <c r="AP3939" s="165" t="str">
        <f t="shared" si="1207"/>
        <v/>
      </c>
      <c r="AQ3939" s="203" t="str">
        <f t="shared" si="1208"/>
        <v/>
      </c>
      <c r="AR3939" s="206">
        <f t="shared" si="1209"/>
        <v>0</v>
      </c>
      <c r="AS3939" s="22" t="str">
        <f t="shared" si="1210"/>
        <v/>
      </c>
      <c r="AT3939" s="24" t="str">
        <f t="shared" si="1211"/>
        <v/>
      </c>
    </row>
    <row r="3940" spans="1:46">
      <c r="A3940" s="33" t="str">
        <f t="shared" si="1202"/>
        <v/>
      </c>
      <c r="B3940" s="23"/>
      <c r="C3940" s="23"/>
      <c r="D3940" s="202" t="str">
        <f t="shared" si="1195"/>
        <v/>
      </c>
      <c r="E3940" s="33" t="str">
        <f t="shared" si="1201"/>
        <v/>
      </c>
      <c r="F3940" s="23"/>
      <c r="G3940" s="23"/>
      <c r="H3940" s="29"/>
      <c r="I3940" s="204" t="str">
        <f t="shared" si="1203"/>
        <v/>
      </c>
      <c r="J3940" s="188"/>
      <c r="K3940" s="29"/>
      <c r="L3940" s="24"/>
      <c r="M3940" s="22"/>
      <c r="N3940" s="22"/>
      <c r="O3940" s="22"/>
      <c r="P3940" s="202" t="str">
        <f t="shared" si="1212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97"/>
        <v/>
      </c>
      <c r="Z3940" s="196" t="str">
        <f t="shared" si="1196"/>
        <v/>
      </c>
      <c r="AA3940" s="22"/>
      <c r="AB3940" s="197" t="str">
        <f t="shared" si="1200"/>
        <v/>
      </c>
      <c r="AC3940" s="198" t="str">
        <f t="shared" si="1204"/>
        <v/>
      </c>
      <c r="AD3940" s="162"/>
      <c r="AE3940" s="199" t="str">
        <f t="shared" si="1205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8"/>
        <v>0</v>
      </c>
      <c r="AJ3940" s="200">
        <f t="shared" si="1199"/>
        <v>0</v>
      </c>
      <c r="AK3940" s="201" t="str">
        <f t="shared" si="1206"/>
        <v/>
      </c>
      <c r="AL3940" s="24"/>
      <c r="AM3940" s="24"/>
      <c r="AN3940" s="24"/>
      <c r="AO3940" s="24"/>
      <c r="AP3940" s="165" t="str">
        <f t="shared" si="1207"/>
        <v/>
      </c>
      <c r="AQ3940" s="203" t="str">
        <f t="shared" si="1208"/>
        <v/>
      </c>
      <c r="AR3940" s="206">
        <f t="shared" si="1209"/>
        <v>0</v>
      </c>
      <c r="AS3940" s="22" t="str">
        <f t="shared" si="1210"/>
        <v/>
      </c>
      <c r="AT3940" s="24" t="str">
        <f t="shared" si="1211"/>
        <v/>
      </c>
    </row>
    <row r="3941" spans="1:46">
      <c r="A3941" s="33" t="str">
        <f t="shared" si="1202"/>
        <v/>
      </c>
      <c r="B3941" s="23"/>
      <c r="C3941" s="23"/>
      <c r="D3941" s="202" t="str">
        <f t="shared" si="1195"/>
        <v/>
      </c>
      <c r="E3941" s="33" t="str">
        <f t="shared" si="1201"/>
        <v/>
      </c>
      <c r="F3941" s="23"/>
      <c r="G3941" s="23"/>
      <c r="H3941" s="29"/>
      <c r="I3941" s="204" t="str">
        <f t="shared" si="1203"/>
        <v/>
      </c>
      <c r="J3941" s="188"/>
      <c r="K3941" s="29"/>
      <c r="L3941" s="24"/>
      <c r="M3941" s="22"/>
      <c r="N3941" s="22"/>
      <c r="O3941" s="22"/>
      <c r="P3941" s="202" t="str">
        <f t="shared" si="1212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97"/>
        <v/>
      </c>
      <c r="Z3941" s="196" t="str">
        <f t="shared" si="1196"/>
        <v/>
      </c>
      <c r="AA3941" s="22"/>
      <c r="AB3941" s="197" t="str">
        <f t="shared" si="1200"/>
        <v/>
      </c>
      <c r="AC3941" s="198" t="str">
        <f t="shared" si="1204"/>
        <v/>
      </c>
      <c r="AD3941" s="162"/>
      <c r="AE3941" s="199" t="str">
        <f t="shared" si="1205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8"/>
        <v>0</v>
      </c>
      <c r="AJ3941" s="200">
        <f t="shared" si="1199"/>
        <v>0</v>
      </c>
      <c r="AK3941" s="201" t="str">
        <f t="shared" si="1206"/>
        <v/>
      </c>
      <c r="AL3941" s="24"/>
      <c r="AM3941" s="24"/>
      <c r="AN3941" s="24"/>
      <c r="AO3941" s="24"/>
      <c r="AP3941" s="165" t="str">
        <f t="shared" si="1207"/>
        <v/>
      </c>
      <c r="AQ3941" s="203" t="str">
        <f t="shared" si="1208"/>
        <v/>
      </c>
      <c r="AR3941" s="206">
        <f t="shared" si="1209"/>
        <v>0</v>
      </c>
      <c r="AS3941" s="22" t="str">
        <f t="shared" si="1210"/>
        <v/>
      </c>
      <c r="AT3941" s="24" t="str">
        <f t="shared" si="1211"/>
        <v/>
      </c>
    </row>
    <row r="3942" spans="1:46">
      <c r="A3942" s="33" t="str">
        <f t="shared" si="1202"/>
        <v/>
      </c>
      <c r="B3942" s="23"/>
      <c r="C3942" s="23"/>
      <c r="D3942" s="202" t="str">
        <f t="shared" si="1195"/>
        <v/>
      </c>
      <c r="E3942" s="33" t="str">
        <f t="shared" si="1201"/>
        <v/>
      </c>
      <c r="F3942" s="23"/>
      <c r="G3942" s="23"/>
      <c r="H3942" s="29"/>
      <c r="I3942" s="204" t="str">
        <f t="shared" si="1203"/>
        <v/>
      </c>
      <c r="J3942" s="188"/>
      <c r="K3942" s="29"/>
      <c r="L3942" s="24"/>
      <c r="M3942" s="22"/>
      <c r="N3942" s="22"/>
      <c r="O3942" s="22"/>
      <c r="P3942" s="202" t="str">
        <f t="shared" si="1212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97"/>
        <v/>
      </c>
      <c r="Z3942" s="196" t="str">
        <f t="shared" si="1196"/>
        <v/>
      </c>
      <c r="AA3942" s="22"/>
      <c r="AB3942" s="197" t="str">
        <f t="shared" si="1200"/>
        <v/>
      </c>
      <c r="AC3942" s="198" t="str">
        <f t="shared" si="1204"/>
        <v/>
      </c>
      <c r="AD3942" s="162"/>
      <c r="AE3942" s="199" t="str">
        <f t="shared" si="1205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8"/>
        <v>0</v>
      </c>
      <c r="AJ3942" s="200">
        <f t="shared" si="1199"/>
        <v>0</v>
      </c>
      <c r="AK3942" s="201" t="str">
        <f t="shared" si="1206"/>
        <v/>
      </c>
      <c r="AL3942" s="24"/>
      <c r="AM3942" s="24"/>
      <c r="AN3942" s="24"/>
      <c r="AO3942" s="24"/>
      <c r="AP3942" s="165" t="str">
        <f t="shared" si="1207"/>
        <v/>
      </c>
      <c r="AQ3942" s="203" t="str">
        <f t="shared" si="1208"/>
        <v/>
      </c>
      <c r="AR3942" s="206">
        <f t="shared" si="1209"/>
        <v>0</v>
      </c>
      <c r="AS3942" s="22" t="str">
        <f t="shared" si="1210"/>
        <v/>
      </c>
      <c r="AT3942" s="24" t="str">
        <f t="shared" si="1211"/>
        <v/>
      </c>
    </row>
    <row r="3943" spans="1:46">
      <c r="A3943" s="33" t="str">
        <f t="shared" si="1202"/>
        <v/>
      </c>
      <c r="B3943" s="23"/>
      <c r="C3943" s="23"/>
      <c r="D3943" s="202" t="str">
        <f t="shared" si="1195"/>
        <v/>
      </c>
      <c r="E3943" s="33" t="str">
        <f t="shared" si="1201"/>
        <v/>
      </c>
      <c r="F3943" s="23"/>
      <c r="G3943" s="23"/>
      <c r="H3943" s="29"/>
      <c r="I3943" s="204" t="str">
        <f t="shared" si="1203"/>
        <v/>
      </c>
      <c r="J3943" s="188"/>
      <c r="K3943" s="29"/>
      <c r="L3943" s="24"/>
      <c r="M3943" s="22"/>
      <c r="N3943" s="22"/>
      <c r="O3943" s="22"/>
      <c r="P3943" s="202" t="str">
        <f t="shared" si="1212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97"/>
        <v/>
      </c>
      <c r="Z3943" s="196" t="str">
        <f t="shared" si="1196"/>
        <v/>
      </c>
      <c r="AA3943" s="22"/>
      <c r="AB3943" s="197" t="str">
        <f t="shared" si="1200"/>
        <v/>
      </c>
      <c r="AC3943" s="198" t="str">
        <f t="shared" si="1204"/>
        <v/>
      </c>
      <c r="AD3943" s="162"/>
      <c r="AE3943" s="199" t="str">
        <f t="shared" si="1205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8"/>
        <v>0</v>
      </c>
      <c r="AJ3943" s="200">
        <f t="shared" si="1199"/>
        <v>0</v>
      </c>
      <c r="AK3943" s="201" t="str">
        <f t="shared" si="1206"/>
        <v/>
      </c>
      <c r="AL3943" s="24"/>
      <c r="AM3943" s="24"/>
      <c r="AN3943" s="24"/>
      <c r="AO3943" s="24"/>
      <c r="AP3943" s="165" t="str">
        <f t="shared" si="1207"/>
        <v/>
      </c>
      <c r="AQ3943" s="203" t="str">
        <f t="shared" si="1208"/>
        <v/>
      </c>
      <c r="AR3943" s="206">
        <f t="shared" si="1209"/>
        <v>0</v>
      </c>
      <c r="AS3943" s="22" t="str">
        <f t="shared" si="1210"/>
        <v/>
      </c>
      <c r="AT3943" s="24" t="str">
        <f t="shared" si="1211"/>
        <v/>
      </c>
    </row>
    <row r="3944" spans="1:46">
      <c r="A3944" s="33" t="str">
        <f t="shared" si="1202"/>
        <v/>
      </c>
      <c r="B3944" s="23"/>
      <c r="C3944" s="23"/>
      <c r="D3944" s="202" t="str">
        <f t="shared" si="1195"/>
        <v/>
      </c>
      <c r="E3944" s="33" t="str">
        <f t="shared" si="1201"/>
        <v/>
      </c>
      <c r="F3944" s="23"/>
      <c r="G3944" s="23"/>
      <c r="H3944" s="29"/>
      <c r="I3944" s="204" t="str">
        <f t="shared" si="1203"/>
        <v/>
      </c>
      <c r="J3944" s="188"/>
      <c r="K3944" s="29"/>
      <c r="L3944" s="24"/>
      <c r="M3944" s="22"/>
      <c r="N3944" s="22"/>
      <c r="O3944" s="22"/>
      <c r="P3944" s="202" t="str">
        <f t="shared" si="1212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97"/>
        <v/>
      </c>
      <c r="Z3944" s="196" t="str">
        <f t="shared" si="1196"/>
        <v/>
      </c>
      <c r="AA3944" s="22"/>
      <c r="AB3944" s="197" t="str">
        <f t="shared" si="1200"/>
        <v/>
      </c>
      <c r="AC3944" s="198" t="str">
        <f t="shared" si="1204"/>
        <v/>
      </c>
      <c r="AD3944" s="162"/>
      <c r="AE3944" s="199" t="str">
        <f t="shared" si="1205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8"/>
        <v>0</v>
      </c>
      <c r="AJ3944" s="200">
        <f t="shared" si="1199"/>
        <v>0</v>
      </c>
      <c r="AK3944" s="201" t="str">
        <f t="shared" si="1206"/>
        <v/>
      </c>
      <c r="AL3944" s="24"/>
      <c r="AM3944" s="24"/>
      <c r="AN3944" s="24"/>
      <c r="AO3944" s="24"/>
      <c r="AP3944" s="165" t="str">
        <f t="shared" si="1207"/>
        <v/>
      </c>
      <c r="AQ3944" s="203" t="str">
        <f t="shared" si="1208"/>
        <v/>
      </c>
      <c r="AR3944" s="206">
        <f t="shared" si="1209"/>
        <v>0</v>
      </c>
      <c r="AS3944" s="22" t="str">
        <f t="shared" si="1210"/>
        <v/>
      </c>
      <c r="AT3944" s="24" t="str">
        <f t="shared" si="1211"/>
        <v/>
      </c>
    </row>
    <row r="3945" spans="1:46">
      <c r="A3945" s="33" t="str">
        <f t="shared" si="1202"/>
        <v/>
      </c>
      <c r="B3945" s="23"/>
      <c r="C3945" s="23"/>
      <c r="D3945" s="202" t="str">
        <f t="shared" si="1195"/>
        <v/>
      </c>
      <c r="E3945" s="33" t="str">
        <f t="shared" si="1201"/>
        <v/>
      </c>
      <c r="F3945" s="23"/>
      <c r="G3945" s="23"/>
      <c r="H3945" s="29"/>
      <c r="I3945" s="204" t="str">
        <f t="shared" si="1203"/>
        <v/>
      </c>
      <c r="J3945" s="188"/>
      <c r="K3945" s="29"/>
      <c r="L3945" s="24"/>
      <c r="M3945" s="22"/>
      <c r="N3945" s="22"/>
      <c r="O3945" s="22"/>
      <c r="P3945" s="202" t="str">
        <f t="shared" si="1212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97"/>
        <v/>
      </c>
      <c r="Z3945" s="196" t="str">
        <f t="shared" si="1196"/>
        <v/>
      </c>
      <c r="AA3945" s="22"/>
      <c r="AB3945" s="197" t="str">
        <f t="shared" si="1200"/>
        <v/>
      </c>
      <c r="AC3945" s="198" t="str">
        <f t="shared" si="1204"/>
        <v/>
      </c>
      <c r="AD3945" s="162"/>
      <c r="AE3945" s="199" t="str">
        <f t="shared" si="1205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8"/>
        <v>0</v>
      </c>
      <c r="AJ3945" s="200">
        <f t="shared" si="1199"/>
        <v>0</v>
      </c>
      <c r="AK3945" s="201" t="str">
        <f t="shared" si="1206"/>
        <v/>
      </c>
      <c r="AL3945" s="24"/>
      <c r="AM3945" s="24"/>
      <c r="AN3945" s="24"/>
      <c r="AO3945" s="24"/>
      <c r="AP3945" s="165" t="str">
        <f t="shared" si="1207"/>
        <v/>
      </c>
      <c r="AQ3945" s="203" t="str">
        <f t="shared" si="1208"/>
        <v/>
      </c>
      <c r="AR3945" s="206">
        <f t="shared" si="1209"/>
        <v>0</v>
      </c>
      <c r="AS3945" s="22" t="str">
        <f t="shared" si="1210"/>
        <v/>
      </c>
      <c r="AT3945" s="24" t="str">
        <f t="shared" si="1211"/>
        <v/>
      </c>
    </row>
    <row r="3946" spans="1:46">
      <c r="A3946" s="33" t="str">
        <f t="shared" si="1202"/>
        <v/>
      </c>
      <c r="B3946" s="23"/>
      <c r="C3946" s="23"/>
      <c r="D3946" s="202" t="str">
        <f t="shared" si="1195"/>
        <v/>
      </c>
      <c r="E3946" s="33" t="str">
        <f t="shared" si="1201"/>
        <v/>
      </c>
      <c r="F3946" s="23"/>
      <c r="G3946" s="23"/>
      <c r="H3946" s="29"/>
      <c r="I3946" s="204" t="str">
        <f t="shared" si="1203"/>
        <v/>
      </c>
      <c r="J3946" s="188"/>
      <c r="K3946" s="29"/>
      <c r="L3946" s="24"/>
      <c r="M3946" s="22"/>
      <c r="N3946" s="22"/>
      <c r="O3946" s="22"/>
      <c r="P3946" s="202" t="str">
        <f t="shared" si="1212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97"/>
        <v/>
      </c>
      <c r="Z3946" s="196" t="str">
        <f t="shared" si="1196"/>
        <v/>
      </c>
      <c r="AA3946" s="22"/>
      <c r="AB3946" s="197" t="str">
        <f t="shared" si="1200"/>
        <v/>
      </c>
      <c r="AC3946" s="198" t="str">
        <f t="shared" si="1204"/>
        <v/>
      </c>
      <c r="AD3946" s="162"/>
      <c r="AE3946" s="199" t="str">
        <f t="shared" si="1205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8"/>
        <v>0</v>
      </c>
      <c r="AJ3946" s="200">
        <f t="shared" si="1199"/>
        <v>0</v>
      </c>
      <c r="AK3946" s="201" t="str">
        <f t="shared" si="1206"/>
        <v/>
      </c>
      <c r="AL3946" s="24"/>
      <c r="AM3946" s="24"/>
      <c r="AN3946" s="24"/>
      <c r="AO3946" s="24"/>
      <c r="AP3946" s="165" t="str">
        <f t="shared" si="1207"/>
        <v/>
      </c>
      <c r="AQ3946" s="203" t="str">
        <f t="shared" si="1208"/>
        <v/>
      </c>
      <c r="AR3946" s="206">
        <f t="shared" si="1209"/>
        <v>0</v>
      </c>
      <c r="AS3946" s="22" t="str">
        <f t="shared" si="1210"/>
        <v/>
      </c>
      <c r="AT3946" s="24" t="str">
        <f t="shared" si="1211"/>
        <v/>
      </c>
    </row>
    <row r="3947" spans="1:46">
      <c r="A3947" s="33" t="str">
        <f t="shared" si="1202"/>
        <v/>
      </c>
      <c r="B3947" s="23"/>
      <c r="C3947" s="23"/>
      <c r="D3947" s="202" t="str">
        <f t="shared" si="1195"/>
        <v/>
      </c>
      <c r="E3947" s="33" t="str">
        <f t="shared" si="1201"/>
        <v/>
      </c>
      <c r="F3947" s="23"/>
      <c r="G3947" s="23"/>
      <c r="H3947" s="29"/>
      <c r="I3947" s="204" t="str">
        <f t="shared" si="1203"/>
        <v/>
      </c>
      <c r="J3947" s="188"/>
      <c r="K3947" s="29"/>
      <c r="L3947" s="24"/>
      <c r="M3947" s="22"/>
      <c r="N3947" s="22"/>
      <c r="O3947" s="22"/>
      <c r="P3947" s="202" t="str">
        <f t="shared" si="1212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97"/>
        <v/>
      </c>
      <c r="Z3947" s="196" t="str">
        <f t="shared" si="1196"/>
        <v/>
      </c>
      <c r="AA3947" s="22"/>
      <c r="AB3947" s="197" t="str">
        <f t="shared" si="1200"/>
        <v/>
      </c>
      <c r="AC3947" s="198" t="str">
        <f t="shared" si="1204"/>
        <v/>
      </c>
      <c r="AD3947" s="162"/>
      <c r="AE3947" s="199" t="str">
        <f t="shared" si="1205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8"/>
        <v>0</v>
      </c>
      <c r="AJ3947" s="200">
        <f t="shared" si="1199"/>
        <v>0</v>
      </c>
      <c r="AK3947" s="201" t="str">
        <f t="shared" si="1206"/>
        <v/>
      </c>
      <c r="AL3947" s="24"/>
      <c r="AM3947" s="24"/>
      <c r="AN3947" s="24"/>
      <c r="AO3947" s="24"/>
      <c r="AP3947" s="165" t="str">
        <f t="shared" si="1207"/>
        <v/>
      </c>
      <c r="AQ3947" s="203" t="str">
        <f t="shared" si="1208"/>
        <v/>
      </c>
      <c r="AR3947" s="206">
        <f t="shared" si="1209"/>
        <v>0</v>
      </c>
      <c r="AS3947" s="22" t="str">
        <f t="shared" si="1210"/>
        <v/>
      </c>
      <c r="AT3947" s="24" t="str">
        <f t="shared" si="1211"/>
        <v/>
      </c>
    </row>
    <row r="3948" spans="1:46">
      <c r="A3948" s="33" t="str">
        <f t="shared" si="1202"/>
        <v/>
      </c>
      <c r="B3948" s="23"/>
      <c r="C3948" s="23"/>
      <c r="D3948" s="202" t="str">
        <f t="shared" si="1195"/>
        <v/>
      </c>
      <c r="E3948" s="33" t="str">
        <f t="shared" si="1201"/>
        <v/>
      </c>
      <c r="F3948" s="23"/>
      <c r="G3948" s="23"/>
      <c r="H3948" s="29"/>
      <c r="I3948" s="204" t="str">
        <f t="shared" si="1203"/>
        <v/>
      </c>
      <c r="J3948" s="188"/>
      <c r="K3948" s="29"/>
      <c r="L3948" s="24"/>
      <c r="M3948" s="22"/>
      <c r="N3948" s="22"/>
      <c r="O3948" s="22"/>
      <c r="P3948" s="202" t="str">
        <f t="shared" si="1212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97"/>
        <v/>
      </c>
      <c r="Z3948" s="196" t="str">
        <f t="shared" si="1196"/>
        <v/>
      </c>
      <c r="AA3948" s="22"/>
      <c r="AB3948" s="197" t="str">
        <f t="shared" si="1200"/>
        <v/>
      </c>
      <c r="AC3948" s="198" t="str">
        <f t="shared" si="1204"/>
        <v/>
      </c>
      <c r="AD3948" s="162"/>
      <c r="AE3948" s="199" t="str">
        <f t="shared" si="1205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8"/>
        <v>0</v>
      </c>
      <c r="AJ3948" s="200">
        <f t="shared" si="1199"/>
        <v>0</v>
      </c>
      <c r="AK3948" s="201" t="str">
        <f t="shared" si="1206"/>
        <v/>
      </c>
      <c r="AL3948" s="24"/>
      <c r="AM3948" s="24"/>
      <c r="AN3948" s="24"/>
      <c r="AO3948" s="24"/>
      <c r="AP3948" s="165" t="str">
        <f t="shared" si="1207"/>
        <v/>
      </c>
      <c r="AQ3948" s="203" t="str">
        <f t="shared" si="1208"/>
        <v/>
      </c>
      <c r="AR3948" s="206">
        <f t="shared" si="1209"/>
        <v>0</v>
      </c>
      <c r="AS3948" s="22" t="str">
        <f t="shared" si="1210"/>
        <v/>
      </c>
      <c r="AT3948" s="24" t="str">
        <f t="shared" si="1211"/>
        <v/>
      </c>
    </row>
    <row r="3949" spans="1:46">
      <c r="A3949" s="33" t="str">
        <f t="shared" si="1202"/>
        <v/>
      </c>
      <c r="B3949" s="23"/>
      <c r="C3949" s="23"/>
      <c r="D3949" s="202" t="str">
        <f t="shared" si="1195"/>
        <v/>
      </c>
      <c r="E3949" s="33" t="str">
        <f t="shared" si="1201"/>
        <v/>
      </c>
      <c r="F3949" s="23"/>
      <c r="G3949" s="23"/>
      <c r="H3949" s="29"/>
      <c r="I3949" s="204" t="str">
        <f t="shared" si="1203"/>
        <v/>
      </c>
      <c r="J3949" s="188"/>
      <c r="K3949" s="29"/>
      <c r="L3949" s="24"/>
      <c r="M3949" s="22"/>
      <c r="N3949" s="22"/>
      <c r="O3949" s="22"/>
      <c r="P3949" s="202" t="str">
        <f t="shared" si="1212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97"/>
        <v/>
      </c>
      <c r="Z3949" s="196" t="str">
        <f t="shared" si="1196"/>
        <v/>
      </c>
      <c r="AA3949" s="22"/>
      <c r="AB3949" s="197" t="str">
        <f t="shared" si="1200"/>
        <v/>
      </c>
      <c r="AC3949" s="198" t="str">
        <f t="shared" si="1204"/>
        <v/>
      </c>
      <c r="AD3949" s="162"/>
      <c r="AE3949" s="199" t="str">
        <f t="shared" si="1205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8"/>
        <v>0</v>
      </c>
      <c r="AJ3949" s="200">
        <f t="shared" si="1199"/>
        <v>0</v>
      </c>
      <c r="AK3949" s="201" t="str">
        <f t="shared" si="1206"/>
        <v/>
      </c>
      <c r="AL3949" s="24"/>
      <c r="AM3949" s="24"/>
      <c r="AN3949" s="24"/>
      <c r="AO3949" s="24"/>
      <c r="AP3949" s="165" t="str">
        <f t="shared" si="1207"/>
        <v/>
      </c>
      <c r="AQ3949" s="203" t="str">
        <f t="shared" si="1208"/>
        <v/>
      </c>
      <c r="AR3949" s="206">
        <f t="shared" si="1209"/>
        <v>0</v>
      </c>
      <c r="AS3949" s="22" t="str">
        <f t="shared" si="1210"/>
        <v/>
      </c>
      <c r="AT3949" s="24" t="str">
        <f t="shared" si="1211"/>
        <v/>
      </c>
    </row>
    <row r="3950" spans="1:46">
      <c r="A3950" s="33" t="str">
        <f t="shared" si="1202"/>
        <v/>
      </c>
      <c r="B3950" s="23"/>
      <c r="C3950" s="23"/>
      <c r="D3950" s="202" t="str">
        <f t="shared" si="1195"/>
        <v/>
      </c>
      <c r="E3950" s="33" t="str">
        <f t="shared" si="1201"/>
        <v/>
      </c>
      <c r="F3950" s="23"/>
      <c r="G3950" s="23"/>
      <c r="H3950" s="29"/>
      <c r="I3950" s="204" t="str">
        <f t="shared" si="1203"/>
        <v/>
      </c>
      <c r="J3950" s="188"/>
      <c r="K3950" s="29"/>
      <c r="L3950" s="24"/>
      <c r="M3950" s="22"/>
      <c r="N3950" s="22"/>
      <c r="O3950" s="22"/>
      <c r="P3950" s="202" t="str">
        <f t="shared" si="1212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97"/>
        <v/>
      </c>
      <c r="Z3950" s="196" t="str">
        <f t="shared" si="1196"/>
        <v/>
      </c>
      <c r="AA3950" s="22"/>
      <c r="AB3950" s="197" t="str">
        <f t="shared" si="1200"/>
        <v/>
      </c>
      <c r="AC3950" s="198" t="str">
        <f t="shared" si="1204"/>
        <v/>
      </c>
      <c r="AD3950" s="162"/>
      <c r="AE3950" s="199" t="str">
        <f t="shared" si="1205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8"/>
        <v>0</v>
      </c>
      <c r="AJ3950" s="200">
        <f t="shared" si="1199"/>
        <v>0</v>
      </c>
      <c r="AK3950" s="201" t="str">
        <f t="shared" si="1206"/>
        <v/>
      </c>
      <c r="AL3950" s="24"/>
      <c r="AM3950" s="24"/>
      <c r="AN3950" s="24"/>
      <c r="AO3950" s="24"/>
      <c r="AP3950" s="165" t="str">
        <f t="shared" si="1207"/>
        <v/>
      </c>
      <c r="AQ3950" s="203" t="str">
        <f t="shared" si="1208"/>
        <v/>
      </c>
      <c r="AR3950" s="206">
        <f t="shared" si="1209"/>
        <v>0</v>
      </c>
      <c r="AS3950" s="22" t="str">
        <f t="shared" si="1210"/>
        <v/>
      </c>
      <c r="AT3950" s="24" t="str">
        <f t="shared" si="1211"/>
        <v/>
      </c>
    </row>
    <row r="3951" spans="1:46">
      <c r="A3951" s="33" t="str">
        <f t="shared" si="1202"/>
        <v/>
      </c>
      <c r="B3951" s="23"/>
      <c r="C3951" s="23"/>
      <c r="D3951" s="202" t="str">
        <f t="shared" si="1195"/>
        <v/>
      </c>
      <c r="E3951" s="33" t="str">
        <f t="shared" si="1201"/>
        <v/>
      </c>
      <c r="F3951" s="23"/>
      <c r="G3951" s="23"/>
      <c r="H3951" s="29"/>
      <c r="I3951" s="204" t="str">
        <f t="shared" si="1203"/>
        <v/>
      </c>
      <c r="J3951" s="188"/>
      <c r="K3951" s="29"/>
      <c r="L3951" s="24"/>
      <c r="M3951" s="22"/>
      <c r="N3951" s="22"/>
      <c r="O3951" s="22"/>
      <c r="P3951" s="202" t="str">
        <f t="shared" si="1212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97"/>
        <v/>
      </c>
      <c r="Z3951" s="196" t="str">
        <f t="shared" si="1196"/>
        <v/>
      </c>
      <c r="AA3951" s="22"/>
      <c r="AB3951" s="197" t="str">
        <f t="shared" si="1200"/>
        <v/>
      </c>
      <c r="AC3951" s="198" t="str">
        <f t="shared" si="1204"/>
        <v/>
      </c>
      <c r="AD3951" s="162"/>
      <c r="AE3951" s="199" t="str">
        <f t="shared" si="1205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8"/>
        <v>0</v>
      </c>
      <c r="AJ3951" s="200">
        <f t="shared" si="1199"/>
        <v>0</v>
      </c>
      <c r="AK3951" s="201" t="str">
        <f t="shared" si="1206"/>
        <v/>
      </c>
      <c r="AL3951" s="24"/>
      <c r="AM3951" s="24"/>
      <c r="AN3951" s="24"/>
      <c r="AO3951" s="24"/>
      <c r="AP3951" s="165" t="str">
        <f t="shared" si="1207"/>
        <v/>
      </c>
      <c r="AQ3951" s="203" t="str">
        <f t="shared" si="1208"/>
        <v/>
      </c>
      <c r="AR3951" s="206">
        <f t="shared" si="1209"/>
        <v>0</v>
      </c>
      <c r="AS3951" s="22" t="str">
        <f t="shared" si="1210"/>
        <v/>
      </c>
      <c r="AT3951" s="24" t="str">
        <f t="shared" si="1211"/>
        <v/>
      </c>
    </row>
    <row r="3952" spans="1:46">
      <c r="A3952" s="33" t="str">
        <f t="shared" si="1202"/>
        <v/>
      </c>
      <c r="B3952" s="23"/>
      <c r="C3952" s="23"/>
      <c r="D3952" s="202" t="str">
        <f t="shared" si="1195"/>
        <v/>
      </c>
      <c r="E3952" s="33" t="str">
        <f t="shared" si="1201"/>
        <v/>
      </c>
      <c r="F3952" s="23"/>
      <c r="G3952" s="23"/>
      <c r="H3952" s="29"/>
      <c r="I3952" s="204" t="str">
        <f t="shared" si="1203"/>
        <v/>
      </c>
      <c r="J3952" s="188"/>
      <c r="K3952" s="29"/>
      <c r="L3952" s="24"/>
      <c r="M3952" s="22"/>
      <c r="N3952" s="22"/>
      <c r="O3952" s="22"/>
      <c r="P3952" s="202" t="str">
        <f t="shared" si="1212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97"/>
        <v/>
      </c>
      <c r="Z3952" s="196" t="str">
        <f t="shared" si="1196"/>
        <v/>
      </c>
      <c r="AA3952" s="22"/>
      <c r="AB3952" s="197" t="str">
        <f t="shared" si="1200"/>
        <v/>
      </c>
      <c r="AC3952" s="198" t="str">
        <f t="shared" si="1204"/>
        <v/>
      </c>
      <c r="AD3952" s="162"/>
      <c r="AE3952" s="199" t="str">
        <f t="shared" si="1205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8"/>
        <v>0</v>
      </c>
      <c r="AJ3952" s="200">
        <f t="shared" si="1199"/>
        <v>0</v>
      </c>
      <c r="AK3952" s="201" t="str">
        <f t="shared" si="1206"/>
        <v/>
      </c>
      <c r="AL3952" s="24"/>
      <c r="AM3952" s="24"/>
      <c r="AN3952" s="24"/>
      <c r="AO3952" s="24"/>
      <c r="AP3952" s="165" t="str">
        <f t="shared" si="1207"/>
        <v/>
      </c>
      <c r="AQ3952" s="203" t="str">
        <f t="shared" si="1208"/>
        <v/>
      </c>
      <c r="AR3952" s="206">
        <f t="shared" si="1209"/>
        <v>0</v>
      </c>
      <c r="AS3952" s="22" t="str">
        <f t="shared" si="1210"/>
        <v/>
      </c>
      <c r="AT3952" s="24" t="str">
        <f t="shared" si="1211"/>
        <v/>
      </c>
    </row>
    <row r="3953" spans="1:46">
      <c r="A3953" s="33" t="str">
        <f t="shared" si="1202"/>
        <v/>
      </c>
      <c r="B3953" s="23"/>
      <c r="C3953" s="23"/>
      <c r="D3953" s="202" t="str">
        <f t="shared" si="1195"/>
        <v/>
      </c>
      <c r="E3953" s="33" t="str">
        <f t="shared" si="1201"/>
        <v/>
      </c>
      <c r="F3953" s="23"/>
      <c r="G3953" s="23"/>
      <c r="H3953" s="29"/>
      <c r="I3953" s="204" t="str">
        <f t="shared" si="1203"/>
        <v/>
      </c>
      <c r="J3953" s="188"/>
      <c r="K3953" s="29"/>
      <c r="L3953" s="24"/>
      <c r="M3953" s="22"/>
      <c r="N3953" s="22"/>
      <c r="O3953" s="22"/>
      <c r="P3953" s="202" t="str">
        <f t="shared" si="1212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97"/>
        <v/>
      </c>
      <c r="Z3953" s="196" t="str">
        <f t="shared" si="1196"/>
        <v/>
      </c>
      <c r="AA3953" s="22"/>
      <c r="AB3953" s="197" t="str">
        <f t="shared" si="1200"/>
        <v/>
      </c>
      <c r="AC3953" s="198" t="str">
        <f t="shared" si="1204"/>
        <v/>
      </c>
      <c r="AD3953" s="162"/>
      <c r="AE3953" s="199" t="str">
        <f t="shared" si="1205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8"/>
        <v>0</v>
      </c>
      <c r="AJ3953" s="200">
        <f t="shared" si="1199"/>
        <v>0</v>
      </c>
      <c r="AK3953" s="201" t="str">
        <f t="shared" si="1206"/>
        <v/>
      </c>
      <c r="AL3953" s="24"/>
      <c r="AM3953" s="24"/>
      <c r="AN3953" s="24"/>
      <c r="AO3953" s="24"/>
      <c r="AP3953" s="165" t="str">
        <f t="shared" si="1207"/>
        <v/>
      </c>
      <c r="AQ3953" s="203" t="str">
        <f t="shared" si="1208"/>
        <v/>
      </c>
      <c r="AR3953" s="206">
        <f t="shared" si="1209"/>
        <v>0</v>
      </c>
      <c r="AS3953" s="22" t="str">
        <f t="shared" si="1210"/>
        <v/>
      </c>
      <c r="AT3953" s="24" t="str">
        <f t="shared" si="1211"/>
        <v/>
      </c>
    </row>
    <row r="3954" spans="1:46">
      <c r="A3954" s="33" t="str">
        <f t="shared" si="1202"/>
        <v/>
      </c>
      <c r="B3954" s="23"/>
      <c r="C3954" s="23"/>
      <c r="D3954" s="202" t="str">
        <f t="shared" ref="D3954:D3994" si="1213">IF(B3954="","",IF(AND(C3954&gt;=10,C3954&lt;=12),"Q3",IF(AND(C3954&gt;=1,C3954&lt;=3),"Q4",IF(AND(C3954&gt;=7,C3954&lt;=9),"Q2",IF(AND(C3954&gt;=4,C3954&lt;=6),"Q1")))))</f>
        <v/>
      </c>
      <c r="E3954" s="33" t="str">
        <f t="shared" si="1201"/>
        <v/>
      </c>
      <c r="F3954" s="23"/>
      <c r="G3954" s="23"/>
      <c r="H3954" s="29"/>
      <c r="I3954" s="204" t="str">
        <f t="shared" si="1203"/>
        <v/>
      </c>
      <c r="J3954" s="188"/>
      <c r="K3954" s="29"/>
      <c r="L3954" s="24"/>
      <c r="M3954" s="22"/>
      <c r="N3954" s="22"/>
      <c r="O3954" s="22"/>
      <c r="P3954" s="202" t="str">
        <f t="shared" si="1212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97"/>
        <v/>
      </c>
      <c r="Z3954" s="196" t="str">
        <f t="shared" ref="Z3954:Z3994" si="1214">IF(X3954="","",X3954*MAX(O3954,N3954))</f>
        <v/>
      </c>
      <c r="AA3954" s="22"/>
      <c r="AB3954" s="197" t="str">
        <f t="shared" si="1200"/>
        <v/>
      </c>
      <c r="AC3954" s="198" t="str">
        <f t="shared" si="1204"/>
        <v/>
      </c>
      <c r="AD3954" s="162"/>
      <c r="AE3954" s="199" t="str">
        <f t="shared" si="1205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8"/>
        <v>0</v>
      </c>
      <c r="AJ3954" s="200">
        <f t="shared" si="1199"/>
        <v>0</v>
      </c>
      <c r="AK3954" s="201" t="str">
        <f t="shared" si="1206"/>
        <v/>
      </c>
      <c r="AL3954" s="24"/>
      <c r="AM3954" s="24"/>
      <c r="AN3954" s="24"/>
      <c r="AO3954" s="24"/>
      <c r="AP3954" s="165" t="str">
        <f t="shared" si="1207"/>
        <v/>
      </c>
      <c r="AQ3954" s="203" t="str">
        <f t="shared" si="1208"/>
        <v/>
      </c>
      <c r="AR3954" s="206">
        <f t="shared" si="1209"/>
        <v>0</v>
      </c>
      <c r="AS3954" s="22" t="str">
        <f t="shared" si="1210"/>
        <v/>
      </c>
      <c r="AT3954" s="24" t="str">
        <f t="shared" si="1211"/>
        <v/>
      </c>
    </row>
    <row r="3955" spans="1:46">
      <c r="A3955" s="33" t="str">
        <f t="shared" si="1202"/>
        <v/>
      </c>
      <c r="B3955" s="23"/>
      <c r="C3955" s="23"/>
      <c r="D3955" s="202" t="str">
        <f t="shared" si="1213"/>
        <v/>
      </c>
      <c r="E3955" s="33" t="str">
        <f t="shared" si="1201"/>
        <v/>
      </c>
      <c r="F3955" s="23"/>
      <c r="G3955" s="23"/>
      <c r="H3955" s="29"/>
      <c r="I3955" s="204" t="str">
        <f t="shared" si="1203"/>
        <v/>
      </c>
      <c r="J3955" s="188"/>
      <c r="K3955" s="29"/>
      <c r="L3955" s="24"/>
      <c r="M3955" s="22"/>
      <c r="N3955" s="22"/>
      <c r="O3955" s="22"/>
      <c r="P3955" s="202" t="str">
        <f t="shared" si="1212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97"/>
        <v/>
      </c>
      <c r="Z3955" s="196" t="str">
        <f t="shared" si="1214"/>
        <v/>
      </c>
      <c r="AA3955" s="22"/>
      <c r="AB3955" s="197" t="str">
        <f t="shared" si="1200"/>
        <v/>
      </c>
      <c r="AC3955" s="198" t="str">
        <f t="shared" si="1204"/>
        <v/>
      </c>
      <c r="AD3955" s="162"/>
      <c r="AE3955" s="199" t="str">
        <f t="shared" si="1205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8"/>
        <v>0</v>
      </c>
      <c r="AJ3955" s="200">
        <f t="shared" si="1199"/>
        <v>0</v>
      </c>
      <c r="AK3955" s="201" t="str">
        <f t="shared" si="1206"/>
        <v/>
      </c>
      <c r="AL3955" s="24"/>
      <c r="AM3955" s="24"/>
      <c r="AN3955" s="24"/>
      <c r="AO3955" s="24"/>
      <c r="AP3955" s="165" t="str">
        <f t="shared" si="1207"/>
        <v/>
      </c>
      <c r="AQ3955" s="203" t="str">
        <f t="shared" si="1208"/>
        <v/>
      </c>
      <c r="AR3955" s="206">
        <f t="shared" si="1209"/>
        <v>0</v>
      </c>
      <c r="AS3955" s="22" t="str">
        <f t="shared" si="1210"/>
        <v/>
      </c>
      <c r="AT3955" s="24" t="str">
        <f t="shared" si="1211"/>
        <v/>
      </c>
    </row>
    <row r="3956" spans="1:46">
      <c r="A3956" s="33" t="str">
        <f t="shared" si="1202"/>
        <v/>
      </c>
      <c r="B3956" s="23"/>
      <c r="C3956" s="23"/>
      <c r="D3956" s="202" t="str">
        <f t="shared" si="1213"/>
        <v/>
      </c>
      <c r="E3956" s="33" t="str">
        <f t="shared" si="1201"/>
        <v/>
      </c>
      <c r="F3956" s="23"/>
      <c r="G3956" s="23"/>
      <c r="H3956" s="29"/>
      <c r="I3956" s="204" t="str">
        <f t="shared" si="1203"/>
        <v/>
      </c>
      <c r="J3956" s="188"/>
      <c r="K3956" s="29"/>
      <c r="L3956" s="24"/>
      <c r="M3956" s="22"/>
      <c r="N3956" s="22"/>
      <c r="O3956" s="22"/>
      <c r="P3956" s="202" t="str">
        <f t="shared" si="1212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15">IF(W3956="","",IF(W3956="RMB","1.13", "1"))</f>
        <v/>
      </c>
      <c r="Z3956" s="196" t="str">
        <f t="shared" si="1214"/>
        <v/>
      </c>
      <c r="AA3956" s="22"/>
      <c r="AB3956" s="197" t="str">
        <f t="shared" si="1200"/>
        <v/>
      </c>
      <c r="AC3956" s="198" t="str">
        <f t="shared" si="1204"/>
        <v/>
      </c>
      <c r="AD3956" s="162"/>
      <c r="AE3956" s="199" t="str">
        <f t="shared" si="1205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8"/>
        <v>0</v>
      </c>
      <c r="AJ3956" s="200">
        <f t="shared" si="1199"/>
        <v>0</v>
      </c>
      <c r="AK3956" s="201" t="str">
        <f t="shared" si="1206"/>
        <v/>
      </c>
      <c r="AL3956" s="24"/>
      <c r="AM3956" s="24"/>
      <c r="AN3956" s="24"/>
      <c r="AO3956" s="24"/>
      <c r="AP3956" s="165" t="str">
        <f t="shared" si="1207"/>
        <v/>
      </c>
      <c r="AQ3956" s="203" t="str">
        <f t="shared" si="1208"/>
        <v/>
      </c>
      <c r="AR3956" s="206">
        <f t="shared" si="1209"/>
        <v>0</v>
      </c>
      <c r="AS3956" s="22" t="str">
        <f t="shared" si="1210"/>
        <v/>
      </c>
      <c r="AT3956" s="24" t="str">
        <f t="shared" si="1211"/>
        <v/>
      </c>
    </row>
    <row r="3957" spans="1:46">
      <c r="A3957" s="33" t="str">
        <f t="shared" si="1202"/>
        <v/>
      </c>
      <c r="B3957" s="23"/>
      <c r="C3957" s="23"/>
      <c r="D3957" s="202" t="str">
        <f t="shared" si="1213"/>
        <v/>
      </c>
      <c r="E3957" s="33" t="str">
        <f t="shared" si="1201"/>
        <v/>
      </c>
      <c r="F3957" s="23"/>
      <c r="G3957" s="23"/>
      <c r="H3957" s="29"/>
      <c r="I3957" s="204" t="str">
        <f t="shared" si="1203"/>
        <v/>
      </c>
      <c r="J3957" s="188"/>
      <c r="K3957" s="29"/>
      <c r="L3957" s="24"/>
      <c r="M3957" s="22"/>
      <c r="N3957" s="22"/>
      <c r="O3957" s="22"/>
      <c r="P3957" s="202" t="str">
        <f t="shared" si="1212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15"/>
        <v/>
      </c>
      <c r="Z3957" s="196" t="str">
        <f t="shared" si="1214"/>
        <v/>
      </c>
      <c r="AA3957" s="22"/>
      <c r="AB3957" s="197" t="str">
        <f t="shared" si="1200"/>
        <v/>
      </c>
      <c r="AC3957" s="198" t="str">
        <f t="shared" si="1204"/>
        <v/>
      </c>
      <c r="AD3957" s="162"/>
      <c r="AE3957" s="199" t="str">
        <f t="shared" si="1205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8"/>
        <v>0</v>
      </c>
      <c r="AJ3957" s="200">
        <f t="shared" si="1199"/>
        <v>0</v>
      </c>
      <c r="AK3957" s="201" t="str">
        <f t="shared" si="1206"/>
        <v/>
      </c>
      <c r="AL3957" s="24"/>
      <c r="AM3957" s="24"/>
      <c r="AN3957" s="24"/>
      <c r="AO3957" s="24"/>
      <c r="AP3957" s="165" t="str">
        <f t="shared" si="1207"/>
        <v/>
      </c>
      <c r="AQ3957" s="203" t="str">
        <f t="shared" si="1208"/>
        <v/>
      </c>
      <c r="AR3957" s="206">
        <f t="shared" si="1209"/>
        <v>0</v>
      </c>
      <c r="AS3957" s="22" t="str">
        <f t="shared" si="1210"/>
        <v/>
      </c>
      <c r="AT3957" s="24" t="str">
        <f t="shared" si="1211"/>
        <v/>
      </c>
    </row>
    <row r="3958" spans="1:46">
      <c r="A3958" s="33" t="str">
        <f t="shared" si="1202"/>
        <v/>
      </c>
      <c r="B3958" s="23"/>
      <c r="C3958" s="23"/>
      <c r="D3958" s="202" t="str">
        <f t="shared" si="1213"/>
        <v/>
      </c>
      <c r="E3958" s="33" t="str">
        <f t="shared" si="1201"/>
        <v/>
      </c>
      <c r="F3958" s="23"/>
      <c r="G3958" s="23"/>
      <c r="H3958" s="29"/>
      <c r="I3958" s="204" t="str">
        <f t="shared" si="1203"/>
        <v/>
      </c>
      <c r="J3958" s="188"/>
      <c r="K3958" s="29"/>
      <c r="L3958" s="24"/>
      <c r="M3958" s="22"/>
      <c r="N3958" s="22"/>
      <c r="O3958" s="22"/>
      <c r="P3958" s="202" t="str">
        <f t="shared" si="1212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15"/>
        <v/>
      </c>
      <c r="Z3958" s="196" t="str">
        <f t="shared" si="1214"/>
        <v/>
      </c>
      <c r="AA3958" s="22"/>
      <c r="AB3958" s="197" t="str">
        <f t="shared" si="1200"/>
        <v/>
      </c>
      <c r="AC3958" s="198" t="str">
        <f t="shared" si="1204"/>
        <v/>
      </c>
      <c r="AD3958" s="162"/>
      <c r="AE3958" s="199" t="str">
        <f t="shared" si="1205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8"/>
        <v>0</v>
      </c>
      <c r="AJ3958" s="200">
        <f t="shared" si="1199"/>
        <v>0</v>
      </c>
      <c r="AK3958" s="201" t="str">
        <f t="shared" si="1206"/>
        <v/>
      </c>
      <c r="AL3958" s="24"/>
      <c r="AM3958" s="24"/>
      <c r="AN3958" s="24"/>
      <c r="AO3958" s="24"/>
      <c r="AP3958" s="165" t="str">
        <f t="shared" si="1207"/>
        <v/>
      </c>
      <c r="AQ3958" s="203" t="str">
        <f t="shared" si="1208"/>
        <v/>
      </c>
      <c r="AR3958" s="206">
        <f t="shared" si="1209"/>
        <v>0</v>
      </c>
      <c r="AS3958" s="22" t="str">
        <f t="shared" si="1210"/>
        <v/>
      </c>
      <c r="AT3958" s="24" t="str">
        <f t="shared" si="1211"/>
        <v/>
      </c>
    </row>
    <row r="3959" spans="1:46">
      <c r="A3959" s="33" t="str">
        <f t="shared" si="1202"/>
        <v/>
      </c>
      <c r="B3959" s="23"/>
      <c r="C3959" s="23"/>
      <c r="D3959" s="202" t="str">
        <f t="shared" si="1213"/>
        <v/>
      </c>
      <c r="E3959" s="33" t="str">
        <f t="shared" si="1201"/>
        <v/>
      </c>
      <c r="F3959" s="23"/>
      <c r="G3959" s="23"/>
      <c r="H3959" s="29"/>
      <c r="I3959" s="204" t="str">
        <f t="shared" si="1203"/>
        <v/>
      </c>
      <c r="J3959" s="188"/>
      <c r="K3959" s="29"/>
      <c r="L3959" s="24"/>
      <c r="M3959" s="22"/>
      <c r="N3959" s="22"/>
      <c r="O3959" s="22"/>
      <c r="P3959" s="202" t="str">
        <f t="shared" si="1212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15"/>
        <v/>
      </c>
      <c r="Z3959" s="196" t="str">
        <f t="shared" si="1214"/>
        <v/>
      </c>
      <c r="AA3959" s="22"/>
      <c r="AB3959" s="197" t="str">
        <f t="shared" si="1200"/>
        <v/>
      </c>
      <c r="AC3959" s="198" t="str">
        <f t="shared" si="1204"/>
        <v/>
      </c>
      <c r="AD3959" s="162"/>
      <c r="AE3959" s="199" t="str">
        <f t="shared" si="1205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8"/>
        <v>0</v>
      </c>
      <c r="AJ3959" s="200">
        <f t="shared" si="1199"/>
        <v>0</v>
      </c>
      <c r="AK3959" s="201" t="str">
        <f t="shared" si="1206"/>
        <v/>
      </c>
      <c r="AL3959" s="24"/>
      <c r="AM3959" s="24"/>
      <c r="AN3959" s="24"/>
      <c r="AO3959" s="24"/>
      <c r="AP3959" s="165" t="str">
        <f t="shared" si="1207"/>
        <v/>
      </c>
      <c r="AQ3959" s="203" t="str">
        <f t="shared" si="1208"/>
        <v/>
      </c>
      <c r="AR3959" s="206">
        <f t="shared" si="1209"/>
        <v>0</v>
      </c>
      <c r="AS3959" s="22" t="str">
        <f t="shared" si="1210"/>
        <v/>
      </c>
      <c r="AT3959" s="24" t="str">
        <f t="shared" si="1211"/>
        <v/>
      </c>
    </row>
    <row r="3960" spans="1:46">
      <c r="A3960" s="33" t="str">
        <f t="shared" si="1202"/>
        <v/>
      </c>
      <c r="B3960" s="23"/>
      <c r="C3960" s="23"/>
      <c r="D3960" s="202" t="str">
        <f t="shared" si="1213"/>
        <v/>
      </c>
      <c r="E3960" s="33" t="str">
        <f t="shared" si="1201"/>
        <v/>
      </c>
      <c r="F3960" s="23"/>
      <c r="G3960" s="23"/>
      <c r="H3960" s="29"/>
      <c r="I3960" s="204" t="str">
        <f t="shared" si="1203"/>
        <v/>
      </c>
      <c r="J3960" s="188"/>
      <c r="K3960" s="29"/>
      <c r="L3960" s="24"/>
      <c r="M3960" s="22"/>
      <c r="N3960" s="22"/>
      <c r="O3960" s="22"/>
      <c r="P3960" s="202" t="str">
        <f t="shared" si="1212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15"/>
        <v/>
      </c>
      <c r="Z3960" s="196" t="str">
        <f t="shared" si="1214"/>
        <v/>
      </c>
      <c r="AA3960" s="22"/>
      <c r="AB3960" s="197" t="str">
        <f t="shared" si="1200"/>
        <v/>
      </c>
      <c r="AC3960" s="198" t="str">
        <f t="shared" si="1204"/>
        <v/>
      </c>
      <c r="AD3960" s="162"/>
      <c r="AE3960" s="199" t="str">
        <f t="shared" si="1205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8"/>
        <v>0</v>
      </c>
      <c r="AJ3960" s="200">
        <f t="shared" si="1199"/>
        <v>0</v>
      </c>
      <c r="AK3960" s="201" t="str">
        <f t="shared" si="1206"/>
        <v/>
      </c>
      <c r="AL3960" s="24"/>
      <c r="AM3960" s="24"/>
      <c r="AN3960" s="24"/>
      <c r="AO3960" s="24"/>
      <c r="AP3960" s="165" t="str">
        <f t="shared" si="1207"/>
        <v/>
      </c>
      <c r="AQ3960" s="203" t="str">
        <f t="shared" si="1208"/>
        <v/>
      </c>
      <c r="AR3960" s="206">
        <f t="shared" si="1209"/>
        <v>0</v>
      </c>
      <c r="AS3960" s="22" t="str">
        <f t="shared" si="1210"/>
        <v/>
      </c>
      <c r="AT3960" s="24" t="str">
        <f t="shared" si="1211"/>
        <v/>
      </c>
    </row>
    <row r="3961" spans="1:46">
      <c r="A3961" s="33" t="str">
        <f t="shared" si="1202"/>
        <v/>
      </c>
      <c r="B3961" s="23"/>
      <c r="C3961" s="23"/>
      <c r="D3961" s="202" t="str">
        <f t="shared" si="1213"/>
        <v/>
      </c>
      <c r="E3961" s="33" t="str">
        <f t="shared" si="1201"/>
        <v/>
      </c>
      <c r="F3961" s="23"/>
      <c r="G3961" s="23"/>
      <c r="H3961" s="29"/>
      <c r="I3961" s="204" t="str">
        <f t="shared" si="1203"/>
        <v/>
      </c>
      <c r="J3961" s="188"/>
      <c r="K3961" s="29"/>
      <c r="L3961" s="24"/>
      <c r="M3961" s="22"/>
      <c r="N3961" s="22"/>
      <c r="O3961" s="22"/>
      <c r="P3961" s="202" t="str">
        <f t="shared" si="1212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15"/>
        <v/>
      </c>
      <c r="Z3961" s="196" t="str">
        <f t="shared" si="1214"/>
        <v/>
      </c>
      <c r="AA3961" s="22"/>
      <c r="AB3961" s="197" t="str">
        <f t="shared" si="1200"/>
        <v/>
      </c>
      <c r="AC3961" s="198" t="str">
        <f t="shared" si="1204"/>
        <v/>
      </c>
      <c r="AD3961" s="162"/>
      <c r="AE3961" s="199" t="str">
        <f t="shared" si="1205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8"/>
        <v>0</v>
      </c>
      <c r="AJ3961" s="200">
        <f t="shared" si="1199"/>
        <v>0</v>
      </c>
      <c r="AK3961" s="201" t="str">
        <f t="shared" si="1206"/>
        <v/>
      </c>
      <c r="AL3961" s="24"/>
      <c r="AM3961" s="24"/>
      <c r="AN3961" s="24"/>
      <c r="AO3961" s="24"/>
      <c r="AP3961" s="165" t="str">
        <f t="shared" si="1207"/>
        <v/>
      </c>
      <c r="AQ3961" s="203" t="str">
        <f t="shared" si="1208"/>
        <v/>
      </c>
      <c r="AR3961" s="206">
        <f t="shared" si="1209"/>
        <v>0</v>
      </c>
      <c r="AS3961" s="22" t="str">
        <f t="shared" si="1210"/>
        <v/>
      </c>
      <c r="AT3961" s="24" t="str">
        <f t="shared" si="1211"/>
        <v/>
      </c>
    </row>
    <row r="3962" spans="1:46">
      <c r="A3962" s="33" t="str">
        <f t="shared" si="1202"/>
        <v/>
      </c>
      <c r="B3962" s="23"/>
      <c r="C3962" s="23"/>
      <c r="D3962" s="202" t="str">
        <f t="shared" si="1213"/>
        <v/>
      </c>
      <c r="E3962" s="33" t="str">
        <f t="shared" si="1201"/>
        <v/>
      </c>
      <c r="F3962" s="23"/>
      <c r="G3962" s="23"/>
      <c r="H3962" s="29"/>
      <c r="I3962" s="204" t="str">
        <f t="shared" si="1203"/>
        <v/>
      </c>
      <c r="J3962" s="188"/>
      <c r="K3962" s="29"/>
      <c r="L3962" s="24"/>
      <c r="M3962" s="22"/>
      <c r="N3962" s="22"/>
      <c r="O3962" s="22"/>
      <c r="P3962" s="202" t="str">
        <f t="shared" si="1212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15"/>
        <v/>
      </c>
      <c r="Z3962" s="196" t="str">
        <f t="shared" si="1214"/>
        <v/>
      </c>
      <c r="AA3962" s="22"/>
      <c r="AB3962" s="197" t="str">
        <f t="shared" si="1200"/>
        <v/>
      </c>
      <c r="AC3962" s="198" t="str">
        <f t="shared" si="1204"/>
        <v/>
      </c>
      <c r="AD3962" s="162"/>
      <c r="AE3962" s="199" t="str">
        <f t="shared" si="1205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8"/>
        <v>0</v>
      </c>
      <c r="AJ3962" s="200">
        <f t="shared" si="1199"/>
        <v>0</v>
      </c>
      <c r="AK3962" s="201" t="str">
        <f t="shared" si="1206"/>
        <v/>
      </c>
      <c r="AL3962" s="24"/>
      <c r="AM3962" s="24"/>
      <c r="AN3962" s="24"/>
      <c r="AO3962" s="24"/>
      <c r="AP3962" s="165" t="str">
        <f t="shared" si="1207"/>
        <v/>
      </c>
      <c r="AQ3962" s="203" t="str">
        <f t="shared" si="1208"/>
        <v/>
      </c>
      <c r="AR3962" s="206">
        <f t="shared" si="1209"/>
        <v>0</v>
      </c>
      <c r="AS3962" s="22" t="str">
        <f t="shared" si="1210"/>
        <v/>
      </c>
      <c r="AT3962" s="24" t="str">
        <f t="shared" si="1211"/>
        <v/>
      </c>
    </row>
    <row r="3963" spans="1:46">
      <c r="A3963" s="33" t="str">
        <f t="shared" si="1202"/>
        <v/>
      </c>
      <c r="B3963" s="23"/>
      <c r="C3963" s="23"/>
      <c r="D3963" s="202" t="str">
        <f t="shared" si="1213"/>
        <v/>
      </c>
      <c r="E3963" s="33" t="str">
        <f t="shared" si="1201"/>
        <v/>
      </c>
      <c r="F3963" s="23"/>
      <c r="G3963" s="23"/>
      <c r="H3963" s="29"/>
      <c r="I3963" s="204" t="str">
        <f t="shared" si="1203"/>
        <v/>
      </c>
      <c r="J3963" s="188"/>
      <c r="K3963" s="29"/>
      <c r="L3963" s="24"/>
      <c r="M3963" s="22"/>
      <c r="N3963" s="22"/>
      <c r="O3963" s="22"/>
      <c r="P3963" s="202" t="str">
        <f t="shared" si="1212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15"/>
        <v/>
      </c>
      <c r="Z3963" s="196" t="str">
        <f t="shared" si="1214"/>
        <v/>
      </c>
      <c r="AA3963" s="22"/>
      <c r="AB3963" s="197" t="str">
        <f t="shared" si="1200"/>
        <v/>
      </c>
      <c r="AC3963" s="198" t="str">
        <f t="shared" si="1204"/>
        <v/>
      </c>
      <c r="AD3963" s="162"/>
      <c r="AE3963" s="199" t="str">
        <f t="shared" si="1205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8"/>
        <v>0</v>
      </c>
      <c r="AJ3963" s="200">
        <f t="shared" si="1199"/>
        <v>0</v>
      </c>
      <c r="AK3963" s="201" t="str">
        <f t="shared" si="1206"/>
        <v/>
      </c>
      <c r="AL3963" s="24"/>
      <c r="AM3963" s="24"/>
      <c r="AN3963" s="24"/>
      <c r="AO3963" s="24"/>
      <c r="AP3963" s="165" t="str">
        <f t="shared" si="1207"/>
        <v/>
      </c>
      <c r="AQ3963" s="203" t="str">
        <f t="shared" si="1208"/>
        <v/>
      </c>
      <c r="AR3963" s="206">
        <f t="shared" si="1209"/>
        <v>0</v>
      </c>
      <c r="AS3963" s="22" t="str">
        <f t="shared" si="1210"/>
        <v/>
      </c>
      <c r="AT3963" s="24" t="str">
        <f t="shared" si="1211"/>
        <v/>
      </c>
    </row>
    <row r="3964" spans="1:46">
      <c r="A3964" s="33" t="str">
        <f t="shared" si="1202"/>
        <v/>
      </c>
      <c r="B3964" s="23"/>
      <c r="C3964" s="23"/>
      <c r="D3964" s="202" t="str">
        <f t="shared" si="1213"/>
        <v/>
      </c>
      <c r="E3964" s="33" t="str">
        <f t="shared" si="1201"/>
        <v/>
      </c>
      <c r="F3964" s="23"/>
      <c r="G3964" s="23"/>
      <c r="H3964" s="29"/>
      <c r="I3964" s="204" t="str">
        <f t="shared" si="1203"/>
        <v/>
      </c>
      <c r="J3964" s="188"/>
      <c r="K3964" s="29"/>
      <c r="L3964" s="24"/>
      <c r="M3964" s="22"/>
      <c r="N3964" s="22"/>
      <c r="O3964" s="22"/>
      <c r="P3964" s="202" t="str">
        <f t="shared" si="1212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15"/>
        <v/>
      </c>
      <c r="Z3964" s="196" t="str">
        <f t="shared" si="1214"/>
        <v/>
      </c>
      <c r="AA3964" s="22"/>
      <c r="AB3964" s="197" t="str">
        <f t="shared" si="1200"/>
        <v/>
      </c>
      <c r="AC3964" s="198" t="str">
        <f t="shared" si="1204"/>
        <v/>
      </c>
      <c r="AD3964" s="162"/>
      <c r="AE3964" s="199" t="str">
        <f t="shared" si="1205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8"/>
        <v>0</v>
      </c>
      <c r="AJ3964" s="200">
        <f t="shared" si="1199"/>
        <v>0</v>
      </c>
      <c r="AK3964" s="201" t="str">
        <f t="shared" si="1206"/>
        <v/>
      </c>
      <c r="AL3964" s="24"/>
      <c r="AM3964" s="24"/>
      <c r="AN3964" s="24"/>
      <c r="AO3964" s="24"/>
      <c r="AP3964" s="165" t="str">
        <f t="shared" si="1207"/>
        <v/>
      </c>
      <c r="AQ3964" s="203" t="str">
        <f t="shared" si="1208"/>
        <v/>
      </c>
      <c r="AR3964" s="206">
        <f t="shared" si="1209"/>
        <v>0</v>
      </c>
      <c r="AS3964" s="22" t="str">
        <f t="shared" si="1210"/>
        <v/>
      </c>
      <c r="AT3964" s="24" t="str">
        <f t="shared" si="1211"/>
        <v/>
      </c>
    </row>
    <row r="3965" spans="1:46">
      <c r="A3965" s="33" t="str">
        <f t="shared" si="1202"/>
        <v/>
      </c>
      <c r="B3965" s="23"/>
      <c r="C3965" s="23"/>
      <c r="D3965" s="202" t="str">
        <f t="shared" si="1213"/>
        <v/>
      </c>
      <c r="E3965" s="33" t="str">
        <f t="shared" si="1201"/>
        <v/>
      </c>
      <c r="F3965" s="23"/>
      <c r="G3965" s="23"/>
      <c r="H3965" s="29"/>
      <c r="I3965" s="204" t="str">
        <f t="shared" si="1203"/>
        <v/>
      </c>
      <c r="J3965" s="188"/>
      <c r="K3965" s="29"/>
      <c r="L3965" s="24"/>
      <c r="M3965" s="22"/>
      <c r="N3965" s="22"/>
      <c r="O3965" s="22"/>
      <c r="P3965" s="202" t="str">
        <f t="shared" si="1212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15"/>
        <v/>
      </c>
      <c r="Z3965" s="196" t="str">
        <f t="shared" si="1214"/>
        <v/>
      </c>
      <c r="AA3965" s="22"/>
      <c r="AB3965" s="197" t="str">
        <f t="shared" si="1200"/>
        <v/>
      </c>
      <c r="AC3965" s="198" t="str">
        <f t="shared" si="1204"/>
        <v/>
      </c>
      <c r="AD3965" s="162"/>
      <c r="AE3965" s="199" t="str">
        <f t="shared" si="1205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8"/>
        <v>0</v>
      </c>
      <c r="AJ3965" s="200">
        <f t="shared" si="1199"/>
        <v>0</v>
      </c>
      <c r="AK3965" s="201" t="str">
        <f t="shared" si="1206"/>
        <v/>
      </c>
      <c r="AL3965" s="24"/>
      <c r="AM3965" s="24"/>
      <c r="AN3965" s="24"/>
      <c r="AO3965" s="24"/>
      <c r="AP3965" s="165" t="str">
        <f t="shared" si="1207"/>
        <v/>
      </c>
      <c r="AQ3965" s="203" t="str">
        <f t="shared" si="1208"/>
        <v/>
      </c>
      <c r="AR3965" s="206">
        <f t="shared" si="1209"/>
        <v>0</v>
      </c>
      <c r="AS3965" s="22" t="str">
        <f t="shared" si="1210"/>
        <v/>
      </c>
      <c r="AT3965" s="24" t="str">
        <f t="shared" si="1211"/>
        <v/>
      </c>
    </row>
    <row r="3966" spans="1:46">
      <c r="A3966" s="33" t="str">
        <f t="shared" si="1202"/>
        <v/>
      </c>
      <c r="B3966" s="23"/>
      <c r="C3966" s="23"/>
      <c r="D3966" s="202" t="str">
        <f t="shared" si="1213"/>
        <v/>
      </c>
      <c r="E3966" s="33" t="str">
        <f t="shared" si="1201"/>
        <v/>
      </c>
      <c r="F3966" s="23"/>
      <c r="G3966" s="23"/>
      <c r="H3966" s="29"/>
      <c r="I3966" s="204" t="str">
        <f t="shared" si="1203"/>
        <v/>
      </c>
      <c r="J3966" s="188"/>
      <c r="K3966" s="29"/>
      <c r="L3966" s="24"/>
      <c r="M3966" s="22"/>
      <c r="N3966" s="22"/>
      <c r="O3966" s="22"/>
      <c r="P3966" s="202" t="str">
        <f t="shared" si="1212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15"/>
        <v/>
      </c>
      <c r="Z3966" s="196" t="str">
        <f t="shared" si="1214"/>
        <v/>
      </c>
      <c r="AA3966" s="22"/>
      <c r="AB3966" s="197" t="str">
        <f t="shared" si="1200"/>
        <v/>
      </c>
      <c r="AC3966" s="198" t="str">
        <f t="shared" si="1204"/>
        <v/>
      </c>
      <c r="AD3966" s="162"/>
      <c r="AE3966" s="199" t="str">
        <f t="shared" si="1205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8"/>
        <v>0</v>
      </c>
      <c r="AJ3966" s="200">
        <f t="shared" si="1199"/>
        <v>0</v>
      </c>
      <c r="AK3966" s="201" t="str">
        <f t="shared" si="1206"/>
        <v/>
      </c>
      <c r="AL3966" s="24"/>
      <c r="AM3966" s="24"/>
      <c r="AN3966" s="24"/>
      <c r="AO3966" s="24"/>
      <c r="AP3966" s="165" t="str">
        <f t="shared" si="1207"/>
        <v/>
      </c>
      <c r="AQ3966" s="203" t="str">
        <f t="shared" si="1208"/>
        <v/>
      </c>
      <c r="AR3966" s="206">
        <f t="shared" si="1209"/>
        <v>0</v>
      </c>
      <c r="AS3966" s="22" t="str">
        <f t="shared" si="1210"/>
        <v/>
      </c>
      <c r="AT3966" s="24" t="str">
        <f t="shared" si="1211"/>
        <v/>
      </c>
    </row>
    <row r="3967" spans="1:46">
      <c r="A3967" s="33" t="str">
        <f t="shared" si="1202"/>
        <v/>
      </c>
      <c r="B3967" s="23"/>
      <c r="C3967" s="23"/>
      <c r="D3967" s="202" t="str">
        <f t="shared" si="1213"/>
        <v/>
      </c>
      <c r="E3967" s="33" t="str">
        <f t="shared" si="1201"/>
        <v/>
      </c>
      <c r="F3967" s="23"/>
      <c r="G3967" s="23"/>
      <c r="H3967" s="29"/>
      <c r="I3967" s="204" t="str">
        <f t="shared" si="1203"/>
        <v/>
      </c>
      <c r="J3967" s="188"/>
      <c r="K3967" s="29"/>
      <c r="L3967" s="24"/>
      <c r="M3967" s="22"/>
      <c r="N3967" s="22"/>
      <c r="O3967" s="22"/>
      <c r="P3967" s="202" t="str">
        <f t="shared" si="1212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15"/>
        <v/>
      </c>
      <c r="Z3967" s="196" t="str">
        <f t="shared" si="1214"/>
        <v/>
      </c>
      <c r="AA3967" s="22"/>
      <c r="AB3967" s="197" t="str">
        <f t="shared" si="1200"/>
        <v/>
      </c>
      <c r="AC3967" s="198" t="str">
        <f t="shared" si="1204"/>
        <v/>
      </c>
      <c r="AD3967" s="162"/>
      <c r="AE3967" s="199" t="str">
        <f t="shared" si="1205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8"/>
        <v>0</v>
      </c>
      <c r="AJ3967" s="200">
        <f t="shared" si="1199"/>
        <v>0</v>
      </c>
      <c r="AK3967" s="201" t="str">
        <f t="shared" si="1206"/>
        <v/>
      </c>
      <c r="AL3967" s="24"/>
      <c r="AM3967" s="24"/>
      <c r="AN3967" s="24"/>
      <c r="AO3967" s="24"/>
      <c r="AP3967" s="165" t="str">
        <f t="shared" si="1207"/>
        <v/>
      </c>
      <c r="AQ3967" s="203" t="str">
        <f t="shared" si="1208"/>
        <v/>
      </c>
      <c r="AR3967" s="206">
        <f t="shared" si="1209"/>
        <v>0</v>
      </c>
      <c r="AS3967" s="22" t="str">
        <f t="shared" si="1210"/>
        <v/>
      </c>
      <c r="AT3967" s="24" t="str">
        <f t="shared" si="1211"/>
        <v/>
      </c>
    </row>
    <row r="3968" spans="1:46">
      <c r="A3968" s="33" t="str">
        <f t="shared" si="1202"/>
        <v/>
      </c>
      <c r="B3968" s="23"/>
      <c r="C3968" s="23"/>
      <c r="D3968" s="202" t="str">
        <f t="shared" si="1213"/>
        <v/>
      </c>
      <c r="E3968" s="33" t="str">
        <f t="shared" si="1201"/>
        <v/>
      </c>
      <c r="F3968" s="23"/>
      <c r="G3968" s="23"/>
      <c r="H3968" s="29"/>
      <c r="I3968" s="204" t="str">
        <f t="shared" si="1203"/>
        <v/>
      </c>
      <c r="J3968" s="188"/>
      <c r="K3968" s="29"/>
      <c r="L3968" s="24"/>
      <c r="M3968" s="22"/>
      <c r="N3968" s="22"/>
      <c r="O3968" s="22"/>
      <c r="P3968" s="202" t="str">
        <f t="shared" si="1212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15"/>
        <v/>
      </c>
      <c r="Z3968" s="196" t="str">
        <f t="shared" si="1214"/>
        <v/>
      </c>
      <c r="AA3968" s="22"/>
      <c r="AB3968" s="197" t="str">
        <f t="shared" si="1200"/>
        <v/>
      </c>
      <c r="AC3968" s="198" t="str">
        <f t="shared" si="1204"/>
        <v/>
      </c>
      <c r="AD3968" s="162"/>
      <c r="AE3968" s="199" t="str">
        <f t="shared" si="1205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8"/>
        <v>0</v>
      </c>
      <c r="AJ3968" s="200">
        <f t="shared" si="1199"/>
        <v>0</v>
      </c>
      <c r="AK3968" s="201" t="str">
        <f t="shared" si="1206"/>
        <v/>
      </c>
      <c r="AL3968" s="24"/>
      <c r="AM3968" s="24"/>
      <c r="AN3968" s="24"/>
      <c r="AO3968" s="24"/>
      <c r="AP3968" s="165" t="str">
        <f t="shared" si="1207"/>
        <v/>
      </c>
      <c r="AQ3968" s="203" t="str">
        <f t="shared" si="1208"/>
        <v/>
      </c>
      <c r="AR3968" s="206">
        <f t="shared" si="1209"/>
        <v>0</v>
      </c>
      <c r="AS3968" s="22" t="str">
        <f t="shared" si="1210"/>
        <v/>
      </c>
      <c r="AT3968" s="24" t="str">
        <f t="shared" si="1211"/>
        <v/>
      </c>
    </row>
    <row r="3969" spans="1:46">
      <c r="A3969" s="33" t="str">
        <f t="shared" si="1202"/>
        <v/>
      </c>
      <c r="B3969" s="23"/>
      <c r="C3969" s="23"/>
      <c r="D3969" s="202" t="str">
        <f t="shared" si="1213"/>
        <v/>
      </c>
      <c r="E3969" s="33" t="str">
        <f t="shared" si="1201"/>
        <v/>
      </c>
      <c r="F3969" s="23"/>
      <c r="G3969" s="23"/>
      <c r="H3969" s="29"/>
      <c r="I3969" s="204" t="str">
        <f t="shared" si="1203"/>
        <v/>
      </c>
      <c r="J3969" s="188"/>
      <c r="K3969" s="29"/>
      <c r="L3969" s="24"/>
      <c r="M3969" s="22"/>
      <c r="N3969" s="22"/>
      <c r="O3969" s="22"/>
      <c r="P3969" s="202" t="str">
        <f t="shared" si="1212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15"/>
        <v/>
      </c>
      <c r="Z3969" s="196" t="str">
        <f t="shared" si="1214"/>
        <v/>
      </c>
      <c r="AA3969" s="22"/>
      <c r="AB3969" s="197" t="str">
        <f t="shared" si="1200"/>
        <v/>
      </c>
      <c r="AC3969" s="198" t="str">
        <f t="shared" si="1204"/>
        <v/>
      </c>
      <c r="AD3969" s="162"/>
      <c r="AE3969" s="199" t="str">
        <f t="shared" si="1205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8"/>
        <v>0</v>
      </c>
      <c r="AJ3969" s="200">
        <f t="shared" si="1199"/>
        <v>0</v>
      </c>
      <c r="AK3969" s="201" t="str">
        <f t="shared" si="1206"/>
        <v/>
      </c>
      <c r="AL3969" s="24"/>
      <c r="AM3969" s="24"/>
      <c r="AN3969" s="24"/>
      <c r="AO3969" s="24"/>
      <c r="AP3969" s="165" t="str">
        <f t="shared" si="1207"/>
        <v/>
      </c>
      <c r="AQ3969" s="203" t="str">
        <f t="shared" si="1208"/>
        <v/>
      </c>
      <c r="AR3969" s="206">
        <f t="shared" si="1209"/>
        <v>0</v>
      </c>
      <c r="AS3969" s="22" t="str">
        <f t="shared" si="1210"/>
        <v/>
      </c>
      <c r="AT3969" s="24" t="str">
        <f t="shared" si="1211"/>
        <v/>
      </c>
    </row>
    <row r="3970" spans="1:46">
      <c r="A3970" s="33" t="str">
        <f t="shared" si="1202"/>
        <v/>
      </c>
      <c r="B3970" s="23"/>
      <c r="C3970" s="23"/>
      <c r="D3970" s="202" t="str">
        <f t="shared" si="1213"/>
        <v/>
      </c>
      <c r="E3970" s="33" t="str">
        <f t="shared" si="1201"/>
        <v/>
      </c>
      <c r="F3970" s="23"/>
      <c r="G3970" s="23"/>
      <c r="H3970" s="29"/>
      <c r="I3970" s="204" t="str">
        <f t="shared" si="1203"/>
        <v/>
      </c>
      <c r="J3970" s="188"/>
      <c r="K3970" s="29"/>
      <c r="L3970" s="24"/>
      <c r="M3970" s="22"/>
      <c r="N3970" s="22"/>
      <c r="O3970" s="22"/>
      <c r="P3970" s="202" t="str">
        <f t="shared" si="1212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15"/>
        <v/>
      </c>
      <c r="Z3970" s="196" t="str">
        <f t="shared" si="1214"/>
        <v/>
      </c>
      <c r="AA3970" s="22"/>
      <c r="AB3970" s="197" t="str">
        <f t="shared" si="1200"/>
        <v/>
      </c>
      <c r="AC3970" s="198" t="str">
        <f t="shared" si="1204"/>
        <v/>
      </c>
      <c r="AD3970" s="162"/>
      <c r="AE3970" s="199" t="str">
        <f t="shared" si="1205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16">IF(P3970="C66 SERVICE","",SUMIFS(AB:AB,F:F,F3970,G:G,G3970,E:E,E3970))</f>
        <v>0</v>
      </c>
      <c r="AJ3970" s="200">
        <f t="shared" ref="AJ3970:AJ3994" si="1217">IF(P3970="C66 SERVICE","",SUMIFS(AC:AC,F:F,F3970,G:G,G3970,E:E,E3970))</f>
        <v>0</v>
      </c>
      <c r="AK3970" s="201" t="str">
        <f t="shared" si="1206"/>
        <v/>
      </c>
      <c r="AL3970" s="24"/>
      <c r="AM3970" s="24"/>
      <c r="AN3970" s="24"/>
      <c r="AO3970" s="24"/>
      <c r="AP3970" s="165" t="str">
        <f t="shared" si="1207"/>
        <v/>
      </c>
      <c r="AQ3970" s="203" t="str">
        <f t="shared" si="1208"/>
        <v/>
      </c>
      <c r="AR3970" s="206">
        <f t="shared" si="1209"/>
        <v>0</v>
      </c>
      <c r="AS3970" s="22" t="str">
        <f t="shared" si="1210"/>
        <v/>
      </c>
      <c r="AT3970" s="24" t="str">
        <f t="shared" si="1211"/>
        <v/>
      </c>
    </row>
    <row r="3971" spans="1:46">
      <c r="A3971" s="33" t="str">
        <f t="shared" si="1202"/>
        <v/>
      </c>
      <c r="B3971" s="23"/>
      <c r="C3971" s="23"/>
      <c r="D3971" s="202" t="str">
        <f t="shared" si="1213"/>
        <v/>
      </c>
      <c r="E3971" s="33" t="str">
        <f t="shared" si="1201"/>
        <v/>
      </c>
      <c r="F3971" s="23"/>
      <c r="G3971" s="23"/>
      <c r="H3971" s="29"/>
      <c r="I3971" s="204" t="str">
        <f t="shared" si="1203"/>
        <v/>
      </c>
      <c r="J3971" s="188"/>
      <c r="K3971" s="29"/>
      <c r="L3971" s="24"/>
      <c r="M3971" s="22"/>
      <c r="N3971" s="22"/>
      <c r="O3971" s="22"/>
      <c r="P3971" s="202" t="str">
        <f t="shared" si="1212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15"/>
        <v/>
      </c>
      <c r="Z3971" s="196" t="str">
        <f t="shared" si="1214"/>
        <v/>
      </c>
      <c r="AA3971" s="22"/>
      <c r="AB3971" s="197" t="str">
        <f t="shared" si="1200"/>
        <v/>
      </c>
      <c r="AC3971" s="198" t="str">
        <f t="shared" si="1204"/>
        <v/>
      </c>
      <c r="AD3971" s="162"/>
      <c r="AE3971" s="199" t="str">
        <f t="shared" si="1205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16"/>
        <v>0</v>
      </c>
      <c r="AJ3971" s="200">
        <f t="shared" si="1217"/>
        <v>0</v>
      </c>
      <c r="AK3971" s="201" t="str">
        <f t="shared" si="1206"/>
        <v/>
      </c>
      <c r="AL3971" s="24"/>
      <c r="AM3971" s="24"/>
      <c r="AN3971" s="24"/>
      <c r="AO3971" s="24"/>
      <c r="AP3971" s="165" t="str">
        <f t="shared" si="1207"/>
        <v/>
      </c>
      <c r="AQ3971" s="203" t="str">
        <f t="shared" si="1208"/>
        <v/>
      </c>
      <c r="AR3971" s="206">
        <f t="shared" si="1209"/>
        <v>0</v>
      </c>
      <c r="AS3971" s="22" t="str">
        <f t="shared" si="1210"/>
        <v/>
      </c>
      <c r="AT3971" s="24" t="str">
        <f t="shared" si="1211"/>
        <v/>
      </c>
    </row>
    <row r="3972" spans="1:46">
      <c r="A3972" s="33" t="str">
        <f t="shared" si="1202"/>
        <v/>
      </c>
      <c r="B3972" s="23"/>
      <c r="C3972" s="23"/>
      <c r="D3972" s="202" t="str">
        <f t="shared" si="1213"/>
        <v/>
      </c>
      <c r="E3972" s="33" t="str">
        <f t="shared" si="1201"/>
        <v/>
      </c>
      <c r="F3972" s="23"/>
      <c r="G3972" s="23"/>
      <c r="H3972" s="29"/>
      <c r="I3972" s="204" t="str">
        <f t="shared" si="1203"/>
        <v/>
      </c>
      <c r="J3972" s="188"/>
      <c r="K3972" s="29"/>
      <c r="L3972" s="24"/>
      <c r="M3972" s="22"/>
      <c r="N3972" s="22"/>
      <c r="O3972" s="22"/>
      <c r="P3972" s="202" t="str">
        <f t="shared" si="1212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15"/>
        <v/>
      </c>
      <c r="Z3972" s="196" t="str">
        <f t="shared" si="1214"/>
        <v/>
      </c>
      <c r="AA3972" s="22"/>
      <c r="AB3972" s="197" t="str">
        <f t="shared" si="1200"/>
        <v/>
      </c>
      <c r="AC3972" s="198" t="str">
        <f t="shared" si="1204"/>
        <v/>
      </c>
      <c r="AD3972" s="162"/>
      <c r="AE3972" s="199" t="str">
        <f t="shared" si="1205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16"/>
        <v>0</v>
      </c>
      <c r="AJ3972" s="200">
        <f t="shared" si="1217"/>
        <v>0</v>
      </c>
      <c r="AK3972" s="201" t="str">
        <f t="shared" si="1206"/>
        <v/>
      </c>
      <c r="AL3972" s="24"/>
      <c r="AM3972" s="24"/>
      <c r="AN3972" s="24"/>
      <c r="AO3972" s="24"/>
      <c r="AP3972" s="165" t="str">
        <f t="shared" si="1207"/>
        <v/>
      </c>
      <c r="AQ3972" s="203" t="str">
        <f t="shared" si="1208"/>
        <v/>
      </c>
      <c r="AR3972" s="206">
        <f t="shared" si="1209"/>
        <v>0</v>
      </c>
      <c r="AS3972" s="22" t="str">
        <f t="shared" si="1210"/>
        <v/>
      </c>
      <c r="AT3972" s="24" t="str">
        <f t="shared" si="1211"/>
        <v/>
      </c>
    </row>
    <row r="3973" spans="1:46">
      <c r="A3973" s="33" t="str">
        <f t="shared" si="1202"/>
        <v/>
      </c>
      <c r="B3973" s="23"/>
      <c r="C3973" s="23"/>
      <c r="D3973" s="202" t="str">
        <f t="shared" si="1213"/>
        <v/>
      </c>
      <c r="E3973" s="33" t="str">
        <f t="shared" si="1201"/>
        <v/>
      </c>
      <c r="F3973" s="23"/>
      <c r="G3973" s="23"/>
      <c r="H3973" s="29"/>
      <c r="I3973" s="204" t="str">
        <f t="shared" si="1203"/>
        <v/>
      </c>
      <c r="J3973" s="188"/>
      <c r="K3973" s="29"/>
      <c r="L3973" s="24"/>
      <c r="M3973" s="22"/>
      <c r="N3973" s="22"/>
      <c r="O3973" s="22"/>
      <c r="P3973" s="202" t="str">
        <f t="shared" si="1212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15"/>
        <v/>
      </c>
      <c r="Z3973" s="196" t="str">
        <f t="shared" si="1214"/>
        <v/>
      </c>
      <c r="AA3973" s="22"/>
      <c r="AB3973" s="197" t="str">
        <f t="shared" si="1200"/>
        <v/>
      </c>
      <c r="AC3973" s="198" t="str">
        <f t="shared" si="1204"/>
        <v/>
      </c>
      <c r="AD3973" s="162"/>
      <c r="AE3973" s="199" t="str">
        <f t="shared" si="1205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16"/>
        <v>0</v>
      </c>
      <c r="AJ3973" s="200">
        <f t="shared" si="1217"/>
        <v>0</v>
      </c>
      <c r="AK3973" s="201" t="str">
        <f t="shared" si="1206"/>
        <v/>
      </c>
      <c r="AL3973" s="24"/>
      <c r="AM3973" s="24"/>
      <c r="AN3973" s="24"/>
      <c r="AO3973" s="24"/>
      <c r="AP3973" s="165" t="str">
        <f t="shared" si="1207"/>
        <v/>
      </c>
      <c r="AQ3973" s="203" t="str">
        <f t="shared" si="1208"/>
        <v/>
      </c>
      <c r="AR3973" s="206">
        <f t="shared" si="1209"/>
        <v>0</v>
      </c>
      <c r="AS3973" s="22" t="str">
        <f t="shared" si="1210"/>
        <v/>
      </c>
      <c r="AT3973" s="24" t="str">
        <f t="shared" si="1211"/>
        <v/>
      </c>
    </row>
    <row r="3974" spans="1:46">
      <c r="A3974" s="33" t="str">
        <f t="shared" si="1202"/>
        <v/>
      </c>
      <c r="B3974" s="23"/>
      <c r="C3974" s="23"/>
      <c r="D3974" s="202" t="str">
        <f t="shared" si="1213"/>
        <v/>
      </c>
      <c r="E3974" s="33" t="str">
        <f t="shared" si="1201"/>
        <v/>
      </c>
      <c r="F3974" s="23"/>
      <c r="G3974" s="23"/>
      <c r="H3974" s="29"/>
      <c r="I3974" s="204" t="str">
        <f t="shared" si="1203"/>
        <v/>
      </c>
      <c r="J3974" s="188"/>
      <c r="K3974" s="29"/>
      <c r="L3974" s="24"/>
      <c r="M3974" s="22"/>
      <c r="N3974" s="22"/>
      <c r="O3974" s="22"/>
      <c r="P3974" s="202" t="str">
        <f t="shared" si="1212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15"/>
        <v/>
      </c>
      <c r="Z3974" s="196" t="str">
        <f t="shared" si="1214"/>
        <v/>
      </c>
      <c r="AA3974" s="22"/>
      <c r="AB3974" s="197" t="str">
        <f t="shared" si="1200"/>
        <v/>
      </c>
      <c r="AC3974" s="198" t="str">
        <f t="shared" si="1204"/>
        <v/>
      </c>
      <c r="AD3974" s="162"/>
      <c r="AE3974" s="199" t="str">
        <f t="shared" si="1205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16"/>
        <v>0</v>
      </c>
      <c r="AJ3974" s="200">
        <f t="shared" si="1217"/>
        <v>0</v>
      </c>
      <c r="AK3974" s="201" t="str">
        <f t="shared" si="1206"/>
        <v/>
      </c>
      <c r="AL3974" s="24"/>
      <c r="AM3974" s="24"/>
      <c r="AN3974" s="24"/>
      <c r="AO3974" s="24"/>
      <c r="AP3974" s="165" t="str">
        <f t="shared" si="1207"/>
        <v/>
      </c>
      <c r="AQ3974" s="203" t="str">
        <f t="shared" si="1208"/>
        <v/>
      </c>
      <c r="AR3974" s="206">
        <f t="shared" si="1209"/>
        <v>0</v>
      </c>
      <c r="AS3974" s="22" t="str">
        <f t="shared" si="1210"/>
        <v/>
      </c>
      <c r="AT3974" s="24" t="str">
        <f t="shared" si="1211"/>
        <v/>
      </c>
    </row>
    <row r="3975" spans="1:46">
      <c r="A3975" s="33" t="str">
        <f t="shared" si="1202"/>
        <v/>
      </c>
      <c r="B3975" s="23"/>
      <c r="C3975" s="23"/>
      <c r="D3975" s="202" t="str">
        <f t="shared" si="1213"/>
        <v/>
      </c>
      <c r="E3975" s="33" t="str">
        <f t="shared" si="1201"/>
        <v/>
      </c>
      <c r="F3975" s="23"/>
      <c r="G3975" s="23"/>
      <c r="H3975" s="29"/>
      <c r="I3975" s="204" t="str">
        <f t="shared" si="1203"/>
        <v/>
      </c>
      <c r="J3975" s="188"/>
      <c r="K3975" s="29"/>
      <c r="L3975" s="24"/>
      <c r="M3975" s="22"/>
      <c r="N3975" s="22"/>
      <c r="O3975" s="22"/>
      <c r="P3975" s="202" t="str">
        <f t="shared" si="1212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15"/>
        <v/>
      </c>
      <c r="Z3975" s="196" t="str">
        <f t="shared" si="1214"/>
        <v/>
      </c>
      <c r="AA3975" s="22"/>
      <c r="AB3975" s="197" t="str">
        <f t="shared" si="1200"/>
        <v/>
      </c>
      <c r="AC3975" s="198" t="str">
        <f t="shared" si="1204"/>
        <v/>
      </c>
      <c r="AD3975" s="162"/>
      <c r="AE3975" s="199" t="str">
        <f t="shared" si="1205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16"/>
        <v>0</v>
      </c>
      <c r="AJ3975" s="200">
        <f t="shared" si="1217"/>
        <v>0</v>
      </c>
      <c r="AK3975" s="201" t="str">
        <f t="shared" si="1206"/>
        <v/>
      </c>
      <c r="AL3975" s="24"/>
      <c r="AM3975" s="24"/>
      <c r="AN3975" s="24"/>
      <c r="AO3975" s="24"/>
      <c r="AP3975" s="165" t="str">
        <f t="shared" si="1207"/>
        <v/>
      </c>
      <c r="AQ3975" s="203" t="str">
        <f t="shared" si="1208"/>
        <v/>
      </c>
      <c r="AR3975" s="206">
        <f t="shared" si="1209"/>
        <v>0</v>
      </c>
      <c r="AS3975" s="22" t="str">
        <f t="shared" si="1210"/>
        <v/>
      </c>
      <c r="AT3975" s="24" t="str">
        <f t="shared" si="1211"/>
        <v/>
      </c>
    </row>
    <row r="3976" spans="1:46">
      <c r="A3976" s="33" t="str">
        <f t="shared" si="1202"/>
        <v/>
      </c>
      <c r="B3976" s="23"/>
      <c r="C3976" s="23"/>
      <c r="D3976" s="202" t="str">
        <f t="shared" si="1213"/>
        <v/>
      </c>
      <c r="E3976" s="33" t="str">
        <f t="shared" si="1201"/>
        <v/>
      </c>
      <c r="F3976" s="23"/>
      <c r="G3976" s="23"/>
      <c r="H3976" s="29"/>
      <c r="I3976" s="204" t="str">
        <f t="shared" si="1203"/>
        <v/>
      </c>
      <c r="J3976" s="188"/>
      <c r="K3976" s="29"/>
      <c r="L3976" s="24"/>
      <c r="M3976" s="22"/>
      <c r="N3976" s="22"/>
      <c r="O3976" s="22"/>
      <c r="P3976" s="202" t="str">
        <f t="shared" si="1212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15"/>
        <v/>
      </c>
      <c r="Z3976" s="196" t="str">
        <f t="shared" si="1214"/>
        <v/>
      </c>
      <c r="AA3976" s="22"/>
      <c r="AB3976" s="197" t="str">
        <f t="shared" si="1200"/>
        <v/>
      </c>
      <c r="AC3976" s="198" t="str">
        <f t="shared" si="1204"/>
        <v/>
      </c>
      <c r="AD3976" s="162"/>
      <c r="AE3976" s="199" t="str">
        <f t="shared" si="1205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16"/>
        <v>0</v>
      </c>
      <c r="AJ3976" s="200">
        <f t="shared" si="1217"/>
        <v>0</v>
      </c>
      <c r="AK3976" s="201" t="str">
        <f t="shared" si="1206"/>
        <v/>
      </c>
      <c r="AL3976" s="24"/>
      <c r="AM3976" s="24"/>
      <c r="AN3976" s="24"/>
      <c r="AO3976" s="24"/>
      <c r="AP3976" s="165" t="str">
        <f t="shared" si="1207"/>
        <v/>
      </c>
      <c r="AQ3976" s="203" t="str">
        <f t="shared" si="1208"/>
        <v/>
      </c>
      <c r="AR3976" s="206">
        <f t="shared" si="1209"/>
        <v>0</v>
      </c>
      <c r="AS3976" s="22" t="str">
        <f t="shared" si="1210"/>
        <v/>
      </c>
      <c r="AT3976" s="24" t="str">
        <f t="shared" si="1211"/>
        <v/>
      </c>
    </row>
    <row r="3977" spans="1:46">
      <c r="A3977" s="33" t="str">
        <f t="shared" si="1202"/>
        <v/>
      </c>
      <c r="B3977" s="23"/>
      <c r="C3977" s="23"/>
      <c r="D3977" s="202" t="str">
        <f t="shared" si="1213"/>
        <v/>
      </c>
      <c r="E3977" s="33" t="str">
        <f t="shared" si="1201"/>
        <v/>
      </c>
      <c r="F3977" s="23"/>
      <c r="G3977" s="23"/>
      <c r="H3977" s="29"/>
      <c r="I3977" s="204" t="str">
        <f t="shared" si="1203"/>
        <v/>
      </c>
      <c r="J3977" s="188"/>
      <c r="K3977" s="29"/>
      <c r="L3977" s="24"/>
      <c r="M3977" s="22"/>
      <c r="N3977" s="22"/>
      <c r="O3977" s="22"/>
      <c r="P3977" s="202" t="str">
        <f t="shared" si="1212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15"/>
        <v/>
      </c>
      <c r="Z3977" s="196" t="str">
        <f t="shared" si="1214"/>
        <v/>
      </c>
      <c r="AA3977" s="22"/>
      <c r="AB3977" s="197" t="str">
        <f t="shared" si="1200"/>
        <v/>
      </c>
      <c r="AC3977" s="198" t="str">
        <f t="shared" si="1204"/>
        <v/>
      </c>
      <c r="AD3977" s="162"/>
      <c r="AE3977" s="199" t="str">
        <f t="shared" si="1205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16"/>
        <v>0</v>
      </c>
      <c r="AJ3977" s="200">
        <f t="shared" si="1217"/>
        <v>0</v>
      </c>
      <c r="AK3977" s="201" t="str">
        <f t="shared" si="1206"/>
        <v/>
      </c>
      <c r="AL3977" s="24"/>
      <c r="AM3977" s="24"/>
      <c r="AN3977" s="24"/>
      <c r="AO3977" s="24"/>
      <c r="AP3977" s="165" t="str">
        <f t="shared" si="1207"/>
        <v/>
      </c>
      <c r="AQ3977" s="203" t="str">
        <f t="shared" si="1208"/>
        <v/>
      </c>
      <c r="AR3977" s="206">
        <f t="shared" si="1209"/>
        <v>0</v>
      </c>
      <c r="AS3977" s="22" t="str">
        <f t="shared" si="1210"/>
        <v/>
      </c>
      <c r="AT3977" s="24" t="str">
        <f t="shared" si="1211"/>
        <v/>
      </c>
    </row>
    <row r="3978" spans="1:46">
      <c r="A3978" s="33" t="str">
        <f t="shared" si="1202"/>
        <v/>
      </c>
      <c r="B3978" s="23"/>
      <c r="C3978" s="23"/>
      <c r="D3978" s="202" t="str">
        <f t="shared" si="1213"/>
        <v/>
      </c>
      <c r="E3978" s="33" t="str">
        <f t="shared" si="1201"/>
        <v/>
      </c>
      <c r="F3978" s="23"/>
      <c r="G3978" s="23"/>
      <c r="H3978" s="29"/>
      <c r="I3978" s="204" t="str">
        <f t="shared" si="1203"/>
        <v/>
      </c>
      <c r="J3978" s="188"/>
      <c r="K3978" s="29"/>
      <c r="L3978" s="24"/>
      <c r="M3978" s="22"/>
      <c r="N3978" s="22"/>
      <c r="O3978" s="22"/>
      <c r="P3978" s="202" t="str">
        <f t="shared" si="1212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15"/>
        <v/>
      </c>
      <c r="Z3978" s="196" t="str">
        <f t="shared" si="1214"/>
        <v/>
      </c>
      <c r="AA3978" s="22"/>
      <c r="AB3978" s="197" t="str">
        <f t="shared" si="1200"/>
        <v/>
      </c>
      <c r="AC3978" s="198" t="str">
        <f t="shared" si="1204"/>
        <v/>
      </c>
      <c r="AD3978" s="162"/>
      <c r="AE3978" s="199" t="str">
        <f t="shared" si="1205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16"/>
        <v>0</v>
      </c>
      <c r="AJ3978" s="200">
        <f t="shared" si="1217"/>
        <v>0</v>
      </c>
      <c r="AK3978" s="201" t="str">
        <f t="shared" si="1206"/>
        <v/>
      </c>
      <c r="AL3978" s="24"/>
      <c r="AM3978" s="24"/>
      <c r="AN3978" s="24"/>
      <c r="AO3978" s="24"/>
      <c r="AP3978" s="165" t="str">
        <f t="shared" si="1207"/>
        <v/>
      </c>
      <c r="AQ3978" s="203" t="str">
        <f t="shared" si="1208"/>
        <v/>
      </c>
      <c r="AR3978" s="206">
        <f t="shared" si="1209"/>
        <v>0</v>
      </c>
      <c r="AS3978" s="22" t="str">
        <f t="shared" si="1210"/>
        <v/>
      </c>
      <c r="AT3978" s="24" t="str">
        <f t="shared" si="1211"/>
        <v/>
      </c>
    </row>
    <row r="3979" spans="1:46">
      <c r="A3979" s="33" t="str">
        <f t="shared" si="1202"/>
        <v/>
      </c>
      <c r="B3979" s="23"/>
      <c r="C3979" s="23"/>
      <c r="D3979" s="202" t="str">
        <f t="shared" si="1213"/>
        <v/>
      </c>
      <c r="E3979" s="33" t="str">
        <f t="shared" si="1201"/>
        <v/>
      </c>
      <c r="F3979" s="23"/>
      <c r="G3979" s="23"/>
      <c r="H3979" s="29"/>
      <c r="I3979" s="204" t="str">
        <f t="shared" si="1203"/>
        <v/>
      </c>
      <c r="J3979" s="188"/>
      <c r="K3979" s="29"/>
      <c r="L3979" s="24"/>
      <c r="M3979" s="22"/>
      <c r="N3979" s="22"/>
      <c r="O3979" s="22"/>
      <c r="P3979" s="202" t="str">
        <f t="shared" si="1212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15"/>
        <v/>
      </c>
      <c r="Z3979" s="196" t="str">
        <f t="shared" si="1214"/>
        <v/>
      </c>
      <c r="AA3979" s="22"/>
      <c r="AB3979" s="197" t="str">
        <f t="shared" si="1200"/>
        <v/>
      </c>
      <c r="AC3979" s="198" t="str">
        <f t="shared" si="1204"/>
        <v/>
      </c>
      <c r="AD3979" s="162"/>
      <c r="AE3979" s="199" t="str">
        <f t="shared" si="1205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16"/>
        <v>0</v>
      </c>
      <c r="AJ3979" s="200">
        <f t="shared" si="1217"/>
        <v>0</v>
      </c>
      <c r="AK3979" s="201" t="str">
        <f t="shared" si="1206"/>
        <v/>
      </c>
      <c r="AL3979" s="24"/>
      <c r="AM3979" s="24"/>
      <c r="AN3979" s="24"/>
      <c r="AO3979" s="24"/>
      <c r="AP3979" s="165" t="str">
        <f t="shared" si="1207"/>
        <v/>
      </c>
      <c r="AQ3979" s="203" t="str">
        <f t="shared" si="1208"/>
        <v/>
      </c>
      <c r="AR3979" s="206">
        <f t="shared" si="1209"/>
        <v>0</v>
      </c>
      <c r="AS3979" s="22" t="str">
        <f t="shared" si="1210"/>
        <v/>
      </c>
      <c r="AT3979" s="24" t="str">
        <f t="shared" si="1211"/>
        <v/>
      </c>
    </row>
    <row r="3980" spans="1:46">
      <c r="A3980" s="33" t="str">
        <f t="shared" si="1202"/>
        <v/>
      </c>
      <c r="B3980" s="23"/>
      <c r="C3980" s="23"/>
      <c r="D3980" s="202" t="str">
        <f t="shared" si="1213"/>
        <v/>
      </c>
      <c r="E3980" s="33" t="str">
        <f t="shared" si="1201"/>
        <v/>
      </c>
      <c r="F3980" s="23"/>
      <c r="G3980" s="23"/>
      <c r="H3980" s="29"/>
      <c r="I3980" s="204" t="str">
        <f t="shared" si="1203"/>
        <v/>
      </c>
      <c r="J3980" s="188"/>
      <c r="K3980" s="29"/>
      <c r="L3980" s="24"/>
      <c r="M3980" s="22"/>
      <c r="N3980" s="22"/>
      <c r="O3980" s="22"/>
      <c r="P3980" s="202" t="str">
        <f t="shared" si="1212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15"/>
        <v/>
      </c>
      <c r="Z3980" s="196" t="str">
        <f t="shared" si="1214"/>
        <v/>
      </c>
      <c r="AA3980" s="22"/>
      <c r="AB3980" s="197" t="str">
        <f t="shared" si="1200"/>
        <v/>
      </c>
      <c r="AC3980" s="198" t="str">
        <f t="shared" si="1204"/>
        <v/>
      </c>
      <c r="AD3980" s="162"/>
      <c r="AE3980" s="199" t="str">
        <f t="shared" si="1205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16"/>
        <v>0</v>
      </c>
      <c r="AJ3980" s="200">
        <f t="shared" si="1217"/>
        <v>0</v>
      </c>
      <c r="AK3980" s="201" t="str">
        <f t="shared" si="1206"/>
        <v/>
      </c>
      <c r="AL3980" s="24"/>
      <c r="AM3980" s="24"/>
      <c r="AN3980" s="24"/>
      <c r="AO3980" s="24"/>
      <c r="AP3980" s="165" t="str">
        <f t="shared" si="1207"/>
        <v/>
      </c>
      <c r="AQ3980" s="203" t="str">
        <f t="shared" si="1208"/>
        <v/>
      </c>
      <c r="AR3980" s="206">
        <f t="shared" si="1209"/>
        <v>0</v>
      </c>
      <c r="AS3980" s="22" t="str">
        <f t="shared" si="1210"/>
        <v/>
      </c>
      <c r="AT3980" s="24" t="str">
        <f t="shared" si="1211"/>
        <v/>
      </c>
    </row>
    <row r="3981" spans="1:46">
      <c r="A3981" s="33" t="str">
        <f t="shared" si="1202"/>
        <v/>
      </c>
      <c r="B3981" s="23"/>
      <c r="C3981" s="23"/>
      <c r="D3981" s="202" t="str">
        <f t="shared" si="1213"/>
        <v/>
      </c>
      <c r="E3981" s="33" t="str">
        <f t="shared" si="1201"/>
        <v/>
      </c>
      <c r="F3981" s="23"/>
      <c r="G3981" s="23"/>
      <c r="H3981" s="29"/>
      <c r="I3981" s="204" t="str">
        <f t="shared" si="1203"/>
        <v/>
      </c>
      <c r="J3981" s="188"/>
      <c r="K3981" s="29"/>
      <c r="L3981" s="24"/>
      <c r="M3981" s="22"/>
      <c r="N3981" s="22"/>
      <c r="O3981" s="22"/>
      <c r="P3981" s="202" t="str">
        <f t="shared" si="1212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15"/>
        <v/>
      </c>
      <c r="Z3981" s="196" t="str">
        <f t="shared" si="1214"/>
        <v/>
      </c>
      <c r="AA3981" s="22"/>
      <c r="AB3981" s="197" t="str">
        <f t="shared" si="1200"/>
        <v/>
      </c>
      <c r="AC3981" s="198" t="str">
        <f t="shared" si="1204"/>
        <v/>
      </c>
      <c r="AD3981" s="162"/>
      <c r="AE3981" s="199" t="str">
        <f t="shared" si="1205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16"/>
        <v>0</v>
      </c>
      <c r="AJ3981" s="200">
        <f t="shared" si="1217"/>
        <v>0</v>
      </c>
      <c r="AK3981" s="201" t="str">
        <f t="shared" si="1206"/>
        <v/>
      </c>
      <c r="AL3981" s="24"/>
      <c r="AM3981" s="24"/>
      <c r="AN3981" s="24"/>
      <c r="AO3981" s="24"/>
      <c r="AP3981" s="165" t="str">
        <f t="shared" si="1207"/>
        <v/>
      </c>
      <c r="AQ3981" s="203" t="str">
        <f t="shared" si="1208"/>
        <v/>
      </c>
      <c r="AR3981" s="206">
        <f t="shared" si="1209"/>
        <v>0</v>
      </c>
      <c r="AS3981" s="22" t="str">
        <f t="shared" si="1210"/>
        <v/>
      </c>
      <c r="AT3981" s="24" t="str">
        <f t="shared" si="1211"/>
        <v/>
      </c>
    </row>
    <row r="3982" spans="1:46">
      <c r="A3982" s="33" t="str">
        <f t="shared" si="1202"/>
        <v/>
      </c>
      <c r="B3982" s="23"/>
      <c r="C3982" s="23"/>
      <c r="D3982" s="202" t="str">
        <f t="shared" si="1213"/>
        <v/>
      </c>
      <c r="E3982" s="33" t="str">
        <f t="shared" si="1201"/>
        <v/>
      </c>
      <c r="F3982" s="23"/>
      <c r="G3982" s="23"/>
      <c r="H3982" s="29"/>
      <c r="I3982" s="204" t="str">
        <f t="shared" si="1203"/>
        <v/>
      </c>
      <c r="J3982" s="188"/>
      <c r="K3982" s="29"/>
      <c r="L3982" s="24"/>
      <c r="M3982" s="22"/>
      <c r="N3982" s="22"/>
      <c r="O3982" s="22"/>
      <c r="P3982" s="202" t="str">
        <f t="shared" si="1212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15"/>
        <v/>
      </c>
      <c r="Z3982" s="196" t="str">
        <f t="shared" si="1214"/>
        <v/>
      </c>
      <c r="AA3982" s="22"/>
      <c r="AB3982" s="197" t="str">
        <f t="shared" si="1200"/>
        <v/>
      </c>
      <c r="AC3982" s="198" t="str">
        <f t="shared" si="1204"/>
        <v/>
      </c>
      <c r="AD3982" s="162"/>
      <c r="AE3982" s="199" t="str">
        <f t="shared" si="1205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16"/>
        <v>0</v>
      </c>
      <c r="AJ3982" s="200">
        <f t="shared" si="1217"/>
        <v>0</v>
      </c>
      <c r="AK3982" s="201" t="str">
        <f t="shared" si="1206"/>
        <v/>
      </c>
      <c r="AL3982" s="24"/>
      <c r="AM3982" s="24"/>
      <c r="AN3982" s="24"/>
      <c r="AO3982" s="24"/>
      <c r="AP3982" s="165" t="str">
        <f t="shared" si="1207"/>
        <v/>
      </c>
      <c r="AQ3982" s="203" t="str">
        <f t="shared" si="1208"/>
        <v/>
      </c>
      <c r="AR3982" s="206">
        <f t="shared" si="1209"/>
        <v>0</v>
      </c>
      <c r="AS3982" s="22" t="str">
        <f t="shared" si="1210"/>
        <v/>
      </c>
      <c r="AT3982" s="24" t="str">
        <f t="shared" si="1211"/>
        <v/>
      </c>
    </row>
    <row r="3983" spans="1:46">
      <c r="A3983" s="33" t="str">
        <f t="shared" si="1202"/>
        <v/>
      </c>
      <c r="B3983" s="23"/>
      <c r="C3983" s="23"/>
      <c r="D3983" s="202" t="str">
        <f t="shared" si="1213"/>
        <v/>
      </c>
      <c r="E3983" s="33" t="str">
        <f t="shared" si="1201"/>
        <v/>
      </c>
      <c r="F3983" s="23"/>
      <c r="G3983" s="23"/>
      <c r="H3983" s="29"/>
      <c r="I3983" s="204" t="str">
        <f t="shared" si="1203"/>
        <v/>
      </c>
      <c r="J3983" s="188"/>
      <c r="K3983" s="29"/>
      <c r="L3983" s="24"/>
      <c r="M3983" s="22"/>
      <c r="N3983" s="22"/>
      <c r="O3983" s="22"/>
      <c r="P3983" s="202" t="str">
        <f t="shared" si="1212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15"/>
        <v/>
      </c>
      <c r="Z3983" s="196" t="str">
        <f t="shared" si="1214"/>
        <v/>
      </c>
      <c r="AA3983" s="22"/>
      <c r="AB3983" s="197" t="str">
        <f t="shared" si="1200"/>
        <v/>
      </c>
      <c r="AC3983" s="198" t="str">
        <f t="shared" si="1204"/>
        <v/>
      </c>
      <c r="AD3983" s="162"/>
      <c r="AE3983" s="199" t="str">
        <f t="shared" si="1205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16"/>
        <v>0</v>
      </c>
      <c r="AJ3983" s="200">
        <f t="shared" si="1217"/>
        <v>0</v>
      </c>
      <c r="AK3983" s="201" t="str">
        <f t="shared" si="1206"/>
        <v/>
      </c>
      <c r="AL3983" s="24"/>
      <c r="AM3983" s="24"/>
      <c r="AN3983" s="24"/>
      <c r="AO3983" s="24"/>
      <c r="AP3983" s="165" t="str">
        <f t="shared" si="1207"/>
        <v/>
      </c>
      <c r="AQ3983" s="203" t="str">
        <f t="shared" si="1208"/>
        <v/>
      </c>
      <c r="AR3983" s="206">
        <f t="shared" si="1209"/>
        <v>0</v>
      </c>
      <c r="AS3983" s="22" t="str">
        <f t="shared" si="1210"/>
        <v/>
      </c>
      <c r="AT3983" s="24" t="str">
        <f t="shared" si="1211"/>
        <v/>
      </c>
    </row>
    <row r="3984" spans="1:46">
      <c r="A3984" s="33" t="str">
        <f t="shared" si="1202"/>
        <v/>
      </c>
      <c r="B3984" s="23"/>
      <c r="C3984" s="23"/>
      <c r="D3984" s="202" t="str">
        <f t="shared" si="1213"/>
        <v/>
      </c>
      <c r="E3984" s="33" t="str">
        <f t="shared" si="1201"/>
        <v/>
      </c>
      <c r="F3984" s="23"/>
      <c r="G3984" s="23"/>
      <c r="H3984" s="29"/>
      <c r="I3984" s="204" t="str">
        <f t="shared" si="1203"/>
        <v/>
      </c>
      <c r="J3984" s="188"/>
      <c r="K3984" s="29"/>
      <c r="L3984" s="24"/>
      <c r="M3984" s="22"/>
      <c r="N3984" s="22"/>
      <c r="O3984" s="22"/>
      <c r="P3984" s="202" t="str">
        <f t="shared" si="1212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15"/>
        <v/>
      </c>
      <c r="Z3984" s="196" t="str">
        <f t="shared" si="1214"/>
        <v/>
      </c>
      <c r="AA3984" s="22"/>
      <c r="AB3984" s="197" t="str">
        <f t="shared" si="1200"/>
        <v/>
      </c>
      <c r="AC3984" s="198" t="str">
        <f t="shared" si="1204"/>
        <v/>
      </c>
      <c r="AD3984" s="162"/>
      <c r="AE3984" s="199" t="str">
        <f t="shared" si="1205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16"/>
        <v>0</v>
      </c>
      <c r="AJ3984" s="200">
        <f t="shared" si="1217"/>
        <v>0</v>
      </c>
      <c r="AK3984" s="201" t="str">
        <f t="shared" si="1206"/>
        <v/>
      </c>
      <c r="AL3984" s="24"/>
      <c r="AM3984" s="24"/>
      <c r="AN3984" s="24"/>
      <c r="AO3984" s="24"/>
      <c r="AP3984" s="165" t="str">
        <f t="shared" si="1207"/>
        <v/>
      </c>
      <c r="AQ3984" s="203" t="str">
        <f t="shared" si="1208"/>
        <v/>
      </c>
      <c r="AR3984" s="206">
        <f t="shared" si="1209"/>
        <v>0</v>
      </c>
      <c r="AS3984" s="22" t="str">
        <f t="shared" si="1210"/>
        <v/>
      </c>
      <c r="AT3984" s="24" t="str">
        <f t="shared" si="1211"/>
        <v/>
      </c>
    </row>
    <row r="3985" spans="1:46">
      <c r="A3985" s="33" t="str">
        <f t="shared" si="1202"/>
        <v/>
      </c>
      <c r="B3985" s="23"/>
      <c r="C3985" s="23"/>
      <c r="D3985" s="202" t="str">
        <f t="shared" si="1213"/>
        <v/>
      </c>
      <c r="E3985" s="33" t="str">
        <f t="shared" si="1201"/>
        <v/>
      </c>
      <c r="F3985" s="23"/>
      <c r="G3985" s="23"/>
      <c r="H3985" s="29"/>
      <c r="I3985" s="204" t="str">
        <f t="shared" si="1203"/>
        <v/>
      </c>
      <c r="J3985" s="188"/>
      <c r="K3985" s="29"/>
      <c r="L3985" s="24"/>
      <c r="M3985" s="22"/>
      <c r="N3985" s="22"/>
      <c r="O3985" s="22"/>
      <c r="P3985" s="202" t="str">
        <f t="shared" si="1212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15"/>
        <v/>
      </c>
      <c r="Z3985" s="196" t="str">
        <f t="shared" si="1214"/>
        <v/>
      </c>
      <c r="AA3985" s="22"/>
      <c r="AB3985" s="197" t="str">
        <f t="shared" si="1200"/>
        <v/>
      </c>
      <c r="AC3985" s="198" t="str">
        <f t="shared" si="1204"/>
        <v/>
      </c>
      <c r="AD3985" s="162"/>
      <c r="AE3985" s="199" t="str">
        <f t="shared" si="1205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16"/>
        <v>0</v>
      </c>
      <c r="AJ3985" s="200">
        <f t="shared" si="1217"/>
        <v>0</v>
      </c>
      <c r="AK3985" s="201" t="str">
        <f t="shared" si="1206"/>
        <v/>
      </c>
      <c r="AL3985" s="24"/>
      <c r="AM3985" s="24"/>
      <c r="AN3985" s="24"/>
      <c r="AO3985" s="24"/>
      <c r="AP3985" s="165" t="str">
        <f t="shared" si="1207"/>
        <v/>
      </c>
      <c r="AQ3985" s="203" t="str">
        <f t="shared" si="1208"/>
        <v/>
      </c>
      <c r="AR3985" s="206">
        <f t="shared" si="1209"/>
        <v>0</v>
      </c>
      <c r="AS3985" s="22" t="str">
        <f t="shared" si="1210"/>
        <v/>
      </c>
      <c r="AT3985" s="24" t="str">
        <f t="shared" si="1211"/>
        <v/>
      </c>
    </row>
    <row r="3986" spans="1:46">
      <c r="A3986" s="33" t="str">
        <f t="shared" si="1202"/>
        <v/>
      </c>
      <c r="B3986" s="23"/>
      <c r="C3986" s="23"/>
      <c r="D3986" s="202" t="str">
        <f t="shared" si="1213"/>
        <v/>
      </c>
      <c r="E3986" s="33" t="str">
        <f t="shared" si="1201"/>
        <v/>
      </c>
      <c r="F3986" s="23"/>
      <c r="G3986" s="23"/>
      <c r="H3986" s="29"/>
      <c r="I3986" s="204" t="str">
        <f t="shared" si="1203"/>
        <v/>
      </c>
      <c r="J3986" s="188"/>
      <c r="K3986" s="29"/>
      <c r="L3986" s="24"/>
      <c r="M3986" s="22"/>
      <c r="N3986" s="22"/>
      <c r="O3986" s="22"/>
      <c r="P3986" s="202" t="str">
        <f t="shared" si="1212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15"/>
        <v/>
      </c>
      <c r="Z3986" s="196" t="str">
        <f t="shared" si="1214"/>
        <v/>
      </c>
      <c r="AA3986" s="22"/>
      <c r="AB3986" s="197" t="str">
        <f t="shared" ref="AB3986:AB3994" si="1218">IF(AND(R3986&lt;&gt;"C66",R3986&lt;&gt;""),Z3986/Y3986*AA3986,"")</f>
        <v/>
      </c>
      <c r="AC3986" s="198" t="str">
        <f t="shared" si="1204"/>
        <v/>
      </c>
      <c r="AD3986" s="162"/>
      <c r="AE3986" s="199" t="str">
        <f t="shared" si="1205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16"/>
        <v>0</v>
      </c>
      <c r="AJ3986" s="200">
        <f t="shared" si="1217"/>
        <v>0</v>
      </c>
      <c r="AK3986" s="201" t="str">
        <f t="shared" si="1206"/>
        <v/>
      </c>
      <c r="AL3986" s="24"/>
      <c r="AM3986" s="24"/>
      <c r="AN3986" s="24"/>
      <c r="AO3986" s="24"/>
      <c r="AP3986" s="165" t="str">
        <f t="shared" si="1207"/>
        <v/>
      </c>
      <c r="AQ3986" s="203" t="str">
        <f t="shared" si="1208"/>
        <v/>
      </c>
      <c r="AR3986" s="206">
        <f t="shared" si="1209"/>
        <v>0</v>
      </c>
      <c r="AS3986" s="22" t="str">
        <f t="shared" si="1210"/>
        <v/>
      </c>
      <c r="AT3986" s="24" t="str">
        <f t="shared" si="1211"/>
        <v/>
      </c>
    </row>
    <row r="3987" spans="1:46">
      <c r="A3987" s="33" t="str">
        <f t="shared" si="1202"/>
        <v/>
      </c>
      <c r="B3987" s="23"/>
      <c r="C3987" s="23"/>
      <c r="D3987" s="202" t="str">
        <f t="shared" si="1213"/>
        <v/>
      </c>
      <c r="E3987" s="33" t="str">
        <f t="shared" si="1201"/>
        <v/>
      </c>
      <c r="F3987" s="23"/>
      <c r="G3987" s="23"/>
      <c r="H3987" s="29"/>
      <c r="I3987" s="204" t="str">
        <f t="shared" si="1203"/>
        <v/>
      </c>
      <c r="J3987" s="188"/>
      <c r="K3987" s="29"/>
      <c r="L3987" s="24"/>
      <c r="M3987" s="22"/>
      <c r="N3987" s="22"/>
      <c r="O3987" s="22"/>
      <c r="P3987" s="202" t="str">
        <f t="shared" si="1212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15"/>
        <v/>
      </c>
      <c r="Z3987" s="196" t="str">
        <f t="shared" si="1214"/>
        <v/>
      </c>
      <c r="AA3987" s="22"/>
      <c r="AB3987" s="197" t="str">
        <f t="shared" si="1218"/>
        <v/>
      </c>
      <c r="AC3987" s="198" t="str">
        <f t="shared" si="1204"/>
        <v/>
      </c>
      <c r="AD3987" s="162"/>
      <c r="AE3987" s="199" t="str">
        <f t="shared" si="1205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16"/>
        <v>0</v>
      </c>
      <c r="AJ3987" s="200">
        <f t="shared" si="1217"/>
        <v>0</v>
      </c>
      <c r="AK3987" s="201" t="str">
        <f t="shared" si="1206"/>
        <v/>
      </c>
      <c r="AL3987" s="24"/>
      <c r="AM3987" s="24"/>
      <c r="AN3987" s="24"/>
      <c r="AO3987" s="24"/>
      <c r="AP3987" s="165" t="str">
        <f t="shared" si="1207"/>
        <v/>
      </c>
      <c r="AQ3987" s="203" t="str">
        <f t="shared" si="1208"/>
        <v/>
      </c>
      <c r="AR3987" s="206">
        <f t="shared" si="1209"/>
        <v>0</v>
      </c>
      <c r="AS3987" s="22" t="str">
        <f t="shared" si="1210"/>
        <v/>
      </c>
      <c r="AT3987" s="24" t="str">
        <f t="shared" si="1211"/>
        <v/>
      </c>
    </row>
    <row r="3988" spans="1:46">
      <c r="A3988" s="33" t="str">
        <f t="shared" si="1202"/>
        <v/>
      </c>
      <c r="B3988" s="23"/>
      <c r="C3988" s="23"/>
      <c r="D3988" s="202" t="str">
        <f t="shared" si="1213"/>
        <v/>
      </c>
      <c r="E3988" s="33" t="str">
        <f t="shared" si="1201"/>
        <v/>
      </c>
      <c r="F3988" s="23"/>
      <c r="G3988" s="23"/>
      <c r="H3988" s="29"/>
      <c r="I3988" s="204" t="str">
        <f t="shared" si="1203"/>
        <v/>
      </c>
      <c r="J3988" s="188"/>
      <c r="K3988" s="29"/>
      <c r="L3988" s="24"/>
      <c r="M3988" s="22"/>
      <c r="N3988" s="22"/>
      <c r="O3988" s="22"/>
      <c r="P3988" s="202" t="str">
        <f t="shared" si="1212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15"/>
        <v/>
      </c>
      <c r="Z3988" s="196" t="str">
        <f t="shared" si="1214"/>
        <v/>
      </c>
      <c r="AA3988" s="22"/>
      <c r="AB3988" s="197" t="str">
        <f t="shared" si="1218"/>
        <v/>
      </c>
      <c r="AC3988" s="198" t="str">
        <f t="shared" si="1204"/>
        <v/>
      </c>
      <c r="AD3988" s="162"/>
      <c r="AE3988" s="199" t="str">
        <f t="shared" si="1205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16"/>
        <v>0</v>
      </c>
      <c r="AJ3988" s="200">
        <f t="shared" si="1217"/>
        <v>0</v>
      </c>
      <c r="AK3988" s="201" t="str">
        <f t="shared" si="1206"/>
        <v/>
      </c>
      <c r="AL3988" s="24"/>
      <c r="AM3988" s="24"/>
      <c r="AN3988" s="24"/>
      <c r="AO3988" s="24"/>
      <c r="AP3988" s="165" t="str">
        <f t="shared" si="1207"/>
        <v/>
      </c>
      <c r="AQ3988" s="203" t="str">
        <f t="shared" si="1208"/>
        <v/>
      </c>
      <c r="AR3988" s="206">
        <f t="shared" si="1209"/>
        <v>0</v>
      </c>
      <c r="AS3988" s="22" t="str">
        <f t="shared" si="1210"/>
        <v/>
      </c>
      <c r="AT3988" s="24" t="str">
        <f t="shared" si="1211"/>
        <v/>
      </c>
    </row>
    <row r="3989" spans="1:46">
      <c r="A3989" s="33" t="str">
        <f t="shared" si="1202"/>
        <v/>
      </c>
      <c r="B3989" s="23"/>
      <c r="C3989" s="23"/>
      <c r="D3989" s="202" t="str">
        <f t="shared" si="1213"/>
        <v/>
      </c>
      <c r="E3989" s="33" t="str">
        <f t="shared" si="1201"/>
        <v/>
      </c>
      <c r="F3989" s="23"/>
      <c r="G3989" s="23"/>
      <c r="H3989" s="29"/>
      <c r="I3989" s="204" t="str">
        <f t="shared" si="1203"/>
        <v/>
      </c>
      <c r="J3989" s="188"/>
      <c r="K3989" s="29"/>
      <c r="L3989" s="24"/>
      <c r="M3989" s="22"/>
      <c r="N3989" s="22"/>
      <c r="O3989" s="22"/>
      <c r="P3989" s="202" t="str">
        <f t="shared" si="1212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15"/>
        <v/>
      </c>
      <c r="Z3989" s="196" t="str">
        <f t="shared" si="1214"/>
        <v/>
      </c>
      <c r="AA3989" s="22"/>
      <c r="AB3989" s="197" t="str">
        <f t="shared" si="1218"/>
        <v/>
      </c>
      <c r="AC3989" s="198" t="str">
        <f t="shared" si="1204"/>
        <v/>
      </c>
      <c r="AD3989" s="162"/>
      <c r="AE3989" s="199" t="str">
        <f t="shared" si="1205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16"/>
        <v>0</v>
      </c>
      <c r="AJ3989" s="200">
        <f t="shared" si="1217"/>
        <v>0</v>
      </c>
      <c r="AK3989" s="201" t="str">
        <f t="shared" si="1206"/>
        <v/>
      </c>
      <c r="AL3989" s="24"/>
      <c r="AM3989" s="24"/>
      <c r="AN3989" s="24"/>
      <c r="AO3989" s="24"/>
      <c r="AP3989" s="165" t="str">
        <f t="shared" si="1207"/>
        <v/>
      </c>
      <c r="AQ3989" s="203" t="str">
        <f t="shared" si="1208"/>
        <v/>
      </c>
      <c r="AR3989" s="206">
        <f t="shared" si="1209"/>
        <v>0</v>
      </c>
      <c r="AS3989" s="22" t="str">
        <f t="shared" si="1210"/>
        <v/>
      </c>
      <c r="AT3989" s="24" t="str">
        <f t="shared" si="1211"/>
        <v/>
      </c>
    </row>
    <row r="3990" spans="1:46">
      <c r="A3990" s="33" t="str">
        <f t="shared" si="1202"/>
        <v/>
      </c>
      <c r="B3990" s="23"/>
      <c r="C3990" s="23"/>
      <c r="D3990" s="202" t="str">
        <f t="shared" si="1213"/>
        <v/>
      </c>
      <c r="E3990" s="33" t="str">
        <f t="shared" si="1201"/>
        <v/>
      </c>
      <c r="F3990" s="23"/>
      <c r="G3990" s="23"/>
      <c r="H3990" s="29"/>
      <c r="I3990" s="204" t="str">
        <f t="shared" si="1203"/>
        <v/>
      </c>
      <c r="J3990" s="188"/>
      <c r="K3990" s="29"/>
      <c r="L3990" s="24"/>
      <c r="M3990" s="22"/>
      <c r="N3990" s="22"/>
      <c r="O3990" s="22"/>
      <c r="P3990" s="202" t="str">
        <f t="shared" si="1212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15"/>
        <v/>
      </c>
      <c r="Z3990" s="196" t="str">
        <f t="shared" si="1214"/>
        <v/>
      </c>
      <c r="AA3990" s="22"/>
      <c r="AB3990" s="197" t="str">
        <f t="shared" si="1218"/>
        <v/>
      </c>
      <c r="AC3990" s="198" t="str">
        <f t="shared" si="1204"/>
        <v/>
      </c>
      <c r="AD3990" s="162"/>
      <c r="AE3990" s="199" t="str">
        <f t="shared" si="1205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16"/>
        <v>0</v>
      </c>
      <c r="AJ3990" s="200">
        <f t="shared" si="1217"/>
        <v>0</v>
      </c>
      <c r="AK3990" s="201" t="str">
        <f t="shared" si="1206"/>
        <v/>
      </c>
      <c r="AL3990" s="24"/>
      <c r="AM3990" s="24"/>
      <c r="AN3990" s="24"/>
      <c r="AO3990" s="24"/>
      <c r="AP3990" s="165" t="str">
        <f t="shared" si="1207"/>
        <v/>
      </c>
      <c r="AQ3990" s="203" t="str">
        <f t="shared" si="1208"/>
        <v/>
      </c>
      <c r="AR3990" s="206">
        <f t="shared" si="1209"/>
        <v>0</v>
      </c>
      <c r="AS3990" s="22" t="str">
        <f t="shared" si="1210"/>
        <v/>
      </c>
      <c r="AT3990" s="24" t="str">
        <f t="shared" si="1211"/>
        <v/>
      </c>
    </row>
    <row r="3991" spans="1:46">
      <c r="A3991" s="33" t="str">
        <f t="shared" si="1202"/>
        <v/>
      </c>
      <c r="B3991" s="23"/>
      <c r="C3991" s="23"/>
      <c r="D3991" s="202" t="str">
        <f t="shared" si="1213"/>
        <v/>
      </c>
      <c r="E3991" s="33" t="str">
        <f t="shared" si="1201"/>
        <v/>
      </c>
      <c r="F3991" s="23"/>
      <c r="G3991" s="23"/>
      <c r="H3991" s="29"/>
      <c r="I3991" s="204" t="str">
        <f t="shared" si="1203"/>
        <v/>
      </c>
      <c r="J3991" s="188"/>
      <c r="K3991" s="29"/>
      <c r="L3991" s="24"/>
      <c r="M3991" s="22"/>
      <c r="N3991" s="22"/>
      <c r="O3991" s="22"/>
      <c r="P3991" s="202" t="str">
        <f t="shared" si="1212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15"/>
        <v/>
      </c>
      <c r="Z3991" s="196" t="str">
        <f t="shared" si="1214"/>
        <v/>
      </c>
      <c r="AA3991" s="22"/>
      <c r="AB3991" s="197" t="str">
        <f t="shared" si="1218"/>
        <v/>
      </c>
      <c r="AC3991" s="198" t="str">
        <f t="shared" si="1204"/>
        <v/>
      </c>
      <c r="AD3991" s="162"/>
      <c r="AE3991" s="199" t="str">
        <f t="shared" si="1205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16"/>
        <v>0</v>
      </c>
      <c r="AJ3991" s="200">
        <f t="shared" si="1217"/>
        <v>0</v>
      </c>
      <c r="AK3991" s="201" t="str">
        <f t="shared" si="1206"/>
        <v/>
      </c>
      <c r="AL3991" s="24"/>
      <c r="AM3991" s="24"/>
      <c r="AN3991" s="24"/>
      <c r="AO3991" s="24"/>
      <c r="AP3991" s="165" t="str">
        <f t="shared" si="1207"/>
        <v/>
      </c>
      <c r="AQ3991" s="203" t="str">
        <f t="shared" si="1208"/>
        <v/>
      </c>
      <c r="AR3991" s="206">
        <f t="shared" si="1209"/>
        <v>0</v>
      </c>
      <c r="AS3991" s="22" t="str">
        <f t="shared" si="1210"/>
        <v/>
      </c>
      <c r="AT3991" s="24" t="str">
        <f t="shared" si="1211"/>
        <v/>
      </c>
    </row>
    <row r="3992" spans="1:46">
      <c r="A3992" s="33" t="str">
        <f t="shared" si="1202"/>
        <v/>
      </c>
      <c r="B3992" s="23"/>
      <c r="C3992" s="23"/>
      <c r="D3992" s="202" t="str">
        <f t="shared" si="1213"/>
        <v/>
      </c>
      <c r="E3992" s="33" t="str">
        <f t="shared" ref="E3992:E3994" si="1219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203"/>
        <v/>
      </c>
      <c r="J3992" s="188"/>
      <c r="K3992" s="29"/>
      <c r="L3992" s="24"/>
      <c r="M3992" s="22"/>
      <c r="N3992" s="22"/>
      <c r="O3992" s="22"/>
      <c r="P3992" s="202" t="str">
        <f t="shared" si="1212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15"/>
        <v/>
      </c>
      <c r="Z3992" s="196" t="str">
        <f t="shared" si="1214"/>
        <v/>
      </c>
      <c r="AA3992" s="22"/>
      <c r="AB3992" s="197" t="str">
        <f t="shared" si="1218"/>
        <v/>
      </c>
      <c r="AC3992" s="198" t="str">
        <f t="shared" si="1204"/>
        <v/>
      </c>
      <c r="AD3992" s="162"/>
      <c r="AE3992" s="199" t="str">
        <f t="shared" si="1205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16"/>
        <v>0</v>
      </c>
      <c r="AJ3992" s="200">
        <f t="shared" si="1217"/>
        <v>0</v>
      </c>
      <c r="AK3992" s="201" t="str">
        <f t="shared" si="1206"/>
        <v/>
      </c>
      <c r="AL3992" s="24"/>
      <c r="AM3992" s="24"/>
      <c r="AN3992" s="24"/>
      <c r="AO3992" s="24"/>
      <c r="AP3992" s="165" t="str">
        <f t="shared" si="1207"/>
        <v/>
      </c>
      <c r="AQ3992" s="203" t="str">
        <f t="shared" si="1208"/>
        <v/>
      </c>
      <c r="AR3992" s="206">
        <f t="shared" si="1209"/>
        <v>0</v>
      </c>
      <c r="AS3992" s="22" t="str">
        <f t="shared" si="1210"/>
        <v/>
      </c>
      <c r="AT3992" s="24" t="str">
        <f t="shared" si="1211"/>
        <v/>
      </c>
    </row>
    <row r="3993" spans="1:46">
      <c r="A3993" s="33" t="str">
        <f t="shared" si="1202"/>
        <v/>
      </c>
      <c r="B3993" s="23"/>
      <c r="C3993" s="23"/>
      <c r="D3993" s="202" t="str">
        <f t="shared" si="1213"/>
        <v/>
      </c>
      <c r="E3993" s="33" t="str">
        <f t="shared" si="1219"/>
        <v/>
      </c>
      <c r="F3993" s="23"/>
      <c r="G3993" s="23"/>
      <c r="H3993" s="29"/>
      <c r="I3993" s="204" t="str">
        <f t="shared" si="1203"/>
        <v/>
      </c>
      <c r="J3993" s="188"/>
      <c r="K3993" s="29"/>
      <c r="L3993" s="24"/>
      <c r="M3993" s="22"/>
      <c r="N3993" s="22"/>
      <c r="O3993" s="22"/>
      <c r="P3993" s="202" t="str">
        <f t="shared" si="1212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15"/>
        <v/>
      </c>
      <c r="Z3993" s="196" t="str">
        <f t="shared" si="1214"/>
        <v/>
      </c>
      <c r="AA3993" s="22"/>
      <c r="AB3993" s="197" t="str">
        <f t="shared" si="1218"/>
        <v/>
      </c>
      <c r="AC3993" s="198" t="str">
        <f t="shared" si="1204"/>
        <v/>
      </c>
      <c r="AD3993" s="162"/>
      <c r="AE3993" s="199" t="str">
        <f t="shared" si="1205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16"/>
        <v>0</v>
      </c>
      <c r="AJ3993" s="200">
        <f t="shared" si="1217"/>
        <v>0</v>
      </c>
      <c r="AK3993" s="201" t="str">
        <f t="shared" si="1206"/>
        <v/>
      </c>
      <c r="AL3993" s="24"/>
      <c r="AM3993" s="24"/>
      <c r="AN3993" s="24"/>
      <c r="AO3993" s="24"/>
      <c r="AP3993" s="165" t="str">
        <f t="shared" si="1207"/>
        <v/>
      </c>
      <c r="AQ3993" s="203" t="str">
        <f t="shared" si="1208"/>
        <v/>
      </c>
      <c r="AR3993" s="206">
        <f t="shared" si="1209"/>
        <v>0</v>
      </c>
      <c r="AS3993" s="22" t="str">
        <f t="shared" si="1210"/>
        <v/>
      </c>
      <c r="AT3993" s="24" t="str">
        <f t="shared" si="1211"/>
        <v/>
      </c>
    </row>
    <row r="3994" spans="1:46">
      <c r="A3994" s="33" t="str">
        <f t="shared" si="1202"/>
        <v/>
      </c>
      <c r="B3994" s="23"/>
      <c r="C3994" s="23"/>
      <c r="D3994" s="202" t="str">
        <f t="shared" si="1213"/>
        <v/>
      </c>
      <c r="E3994" s="33" t="str">
        <f t="shared" si="1219"/>
        <v/>
      </c>
      <c r="F3994" s="23"/>
      <c r="G3994" s="23"/>
      <c r="H3994" s="29"/>
      <c r="I3994" s="204" t="str">
        <f t="shared" si="1203"/>
        <v/>
      </c>
      <c r="J3994" s="188"/>
      <c r="K3994" s="29"/>
      <c r="L3994" s="24"/>
      <c r="M3994" s="22"/>
      <c r="N3994" s="22"/>
      <c r="O3994" s="22"/>
      <c r="P3994" s="202" t="str">
        <f t="shared" si="1212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15"/>
        <v/>
      </c>
      <c r="Z3994" s="196" t="str">
        <f t="shared" si="1214"/>
        <v/>
      </c>
      <c r="AA3994" s="22"/>
      <c r="AB3994" s="197" t="str">
        <f t="shared" si="1218"/>
        <v/>
      </c>
      <c r="AC3994" s="198" t="str">
        <f t="shared" si="1204"/>
        <v/>
      </c>
      <c r="AD3994" s="162"/>
      <c r="AE3994" s="199" t="str">
        <f t="shared" si="1205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16"/>
        <v>0</v>
      </c>
      <c r="AJ3994" s="200">
        <f t="shared" si="1217"/>
        <v>0</v>
      </c>
      <c r="AK3994" s="201" t="str">
        <f t="shared" si="1206"/>
        <v/>
      </c>
      <c r="AL3994" s="24"/>
      <c r="AM3994" s="24"/>
      <c r="AN3994" s="24"/>
      <c r="AO3994" s="24"/>
      <c r="AP3994" s="165" t="str">
        <f t="shared" si="1207"/>
        <v/>
      </c>
      <c r="AQ3994" s="203" t="str">
        <f t="shared" si="1208"/>
        <v/>
      </c>
      <c r="AR3994" s="206">
        <f t="shared" si="1209"/>
        <v>0</v>
      </c>
      <c r="AS3994" s="22" t="str">
        <f t="shared" si="1210"/>
        <v/>
      </c>
      <c r="AT3994" s="24" t="str">
        <f t="shared" si="1211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207"/>
        <v/>
      </c>
      <c r="AQ3995" s="203" t="str">
        <f t="shared" si="1208"/>
        <v/>
      </c>
      <c r="AR3995" s="206">
        <f t="shared" si="1209"/>
        <v>0</v>
      </c>
      <c r="AS3995" s="22" t="str">
        <f t="shared" si="1210"/>
        <v/>
      </c>
      <c r="AT3995" s="24" t="str">
        <f t="shared" si="1211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207"/>
        <v/>
      </c>
      <c r="AQ3996" s="203" t="str">
        <f t="shared" si="1208"/>
        <v/>
      </c>
      <c r="AR3996" s="206">
        <f t="shared" si="1209"/>
        <v>0</v>
      </c>
      <c r="AS3996" s="22" t="str">
        <f t="shared" si="1210"/>
        <v/>
      </c>
      <c r="AT3996" s="24" t="str">
        <f t="shared" si="1211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6"/>
    </row>
    <row r="4003" spans="30:30">
      <c r="AD4003" s="23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4" priority="146"/>
  </conditionalFormatting>
  <conditionalFormatting sqref="J3509 J3502:J3507 J3255:J3500">
    <cfRule type="duplicateValues" dxfId="103" priority="26"/>
  </conditionalFormatting>
  <conditionalFormatting sqref="Z3255:Z3500 Z3502:Z3994">
    <cfRule type="cellIs" dxfId="102" priority="24" operator="lessThanOrEqual">
      <formula>0</formula>
    </cfRule>
  </conditionalFormatting>
  <conditionalFormatting sqref="J856">
    <cfRule type="duplicateValues" dxfId="101" priority="11"/>
  </conditionalFormatting>
  <conditionalFormatting sqref="J1670:J1673">
    <cfRule type="duplicateValues" dxfId="100" priority="21"/>
  </conditionalFormatting>
  <conditionalFormatting sqref="J2327:J2902">
    <cfRule type="duplicateValues" dxfId="99" priority="23"/>
  </conditionalFormatting>
  <conditionalFormatting sqref="J2910:J2911">
    <cfRule type="duplicateValues" dxfId="98" priority="16"/>
  </conditionalFormatting>
  <conditionalFormatting sqref="J2912">
    <cfRule type="duplicateValues" dxfId="97" priority="20"/>
  </conditionalFormatting>
  <conditionalFormatting sqref="J2913">
    <cfRule type="duplicateValues" dxfId="96" priority="19"/>
  </conditionalFormatting>
  <conditionalFormatting sqref="J2995:J2996">
    <cfRule type="duplicateValues" dxfId="95" priority="15"/>
  </conditionalFormatting>
  <conditionalFormatting sqref="J3018 J3020:J3023">
    <cfRule type="duplicateValues" dxfId="94" priority="18"/>
  </conditionalFormatting>
  <conditionalFormatting sqref="J3019">
    <cfRule type="duplicateValues" dxfId="93" priority="17"/>
  </conditionalFormatting>
  <conditionalFormatting sqref="J3115">
    <cfRule type="duplicateValues" dxfId="92" priority="14"/>
  </conditionalFormatting>
  <conditionalFormatting sqref="J3148">
    <cfRule type="duplicateValues" dxfId="91" priority="13"/>
  </conditionalFormatting>
  <conditionalFormatting sqref="J3191:J3192">
    <cfRule type="duplicateValues" dxfId="90" priority="12"/>
  </conditionalFormatting>
  <conditionalFormatting sqref="J3196:J3201 J3203 J3205:J3213">
    <cfRule type="duplicateValues" dxfId="89" priority="10"/>
  </conditionalFormatting>
  <conditionalFormatting sqref="J3214:J3254 J2931:J3195 J2079:J2929 J2:J2077">
    <cfRule type="duplicateValues" dxfId="88" priority="22"/>
  </conditionalFormatting>
  <conditionalFormatting sqref="Z2:Z3254">
    <cfRule type="cellIs" dxfId="87" priority="9" operator="lessThanOrEqual">
      <formula>0</formula>
    </cfRule>
  </conditionalFormatting>
  <conditionalFormatting sqref="J3202">
    <cfRule type="duplicateValues" dxfId="86" priority="8"/>
  </conditionalFormatting>
  <conditionalFormatting sqref="J2930">
    <cfRule type="duplicateValues" dxfId="85" priority="7"/>
  </conditionalFormatting>
  <conditionalFormatting sqref="J3204">
    <cfRule type="duplicateValues" dxfId="84" priority="6"/>
  </conditionalFormatting>
  <conditionalFormatting sqref="J2078">
    <cfRule type="duplicateValues" dxfId="83" priority="5"/>
  </conditionalFormatting>
  <conditionalFormatting sqref="J3515">
    <cfRule type="duplicateValues" dxfId="82" priority="4"/>
  </conditionalFormatting>
  <conditionalFormatting sqref="J3501">
    <cfRule type="duplicateValues" dxfId="81" priority="2"/>
  </conditionalFormatting>
  <conditionalFormatting sqref="Z3501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K6" zoomScale="70" zoomScaleNormal="70" workbookViewId="0">
      <selection activeCell="Y11" sqref="Y11"/>
    </sheetView>
  </sheetViews>
  <sheetFormatPr baseColWidth="10" defaultColWidth="11.1640625" defaultRowHeight="15"/>
  <cols>
    <col min="1" max="1" width="22.5" style="38" bestFit="1" customWidth="1"/>
    <col min="2" max="2" width="11.1640625" style="42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7.1640625" style="17" bestFit="1" customWidth="1"/>
    <col min="12" max="12" width="5.6640625" style="184" bestFit="1" customWidth="1"/>
    <col min="13" max="13" width="11.1640625" style="17"/>
    <col min="14" max="14" width="11.1640625" style="109"/>
    <col min="15" max="16" width="11.1640625" style="17"/>
    <col min="17" max="17" width="13" style="13" bestFit="1" customWidth="1"/>
    <col min="18" max="18" width="11" style="13" bestFit="1" customWidth="1"/>
    <col min="19" max="19" width="24.1640625" style="13" customWidth="1"/>
    <col min="20" max="20" width="29.1640625" style="17" bestFit="1" customWidth="1"/>
    <col min="21" max="21" width="21.6640625" style="17" bestFit="1" customWidth="1"/>
    <col min="22" max="22" width="17.1640625" style="17" customWidth="1"/>
    <col min="23" max="23" width="8.6640625" style="17" bestFit="1" customWidth="1"/>
    <col min="24" max="24" width="8.1640625" style="17" bestFit="1" customWidth="1"/>
    <col min="25" max="25" width="22.1640625" style="17" customWidth="1"/>
    <col min="26" max="26" width="7.1640625" style="226" bestFit="1" customWidth="1"/>
    <col min="27" max="27" width="11.1640625" style="17"/>
    <col min="28" max="28" width="14.16406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2" width="21.6640625" style="17" customWidth="1"/>
    <col min="33" max="33" width="18.6640625" style="17" bestFit="1" customWidth="1"/>
    <col min="34" max="34" width="20.1640625" style="17" bestFit="1" customWidth="1"/>
    <col min="35" max="35" width="17.83203125" style="117" bestFit="1" customWidth="1"/>
    <col min="36" max="37" width="18.1640625" style="17" bestFit="1" customWidth="1"/>
    <col min="38" max="38" width="22.33203125" style="17" bestFit="1" customWidth="1"/>
    <col min="39" max="39" width="18.6640625" style="17" bestFit="1" customWidth="1"/>
    <col min="40" max="16384" width="11.1640625" style="17"/>
  </cols>
  <sheetData>
    <row r="1" spans="1:36" ht="16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4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7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8</v>
      </c>
      <c r="H2" s="147" t="str">
        <f>IF(F2="","",F2&amp;G2)</f>
        <v>20248</v>
      </c>
      <c r="I2" s="147" t="str">
        <f>IF(H2="","",H2&amp;$K$1)</f>
        <v>20248JPY</v>
      </c>
      <c r="J2" s="147" t="str">
        <f>IF(H2="","",H2&amp;$L$1)</f>
        <v>20248RMB</v>
      </c>
      <c r="K2" s="146">
        <v>5.2299999999999999E-2</v>
      </c>
      <c r="L2" s="182">
        <v>1.08</v>
      </c>
      <c r="M2" s="47"/>
      <c r="N2" s="107"/>
      <c r="O2" s="48"/>
      <c r="P2" s="245"/>
      <c r="Q2" s="176" t="s">
        <v>53</v>
      </c>
      <c r="R2" s="216">
        <v>79000</v>
      </c>
      <c r="S2" s="148">
        <v>0.3</v>
      </c>
      <c r="T2" s="60"/>
      <c r="U2" s="61"/>
    </row>
    <row r="3" spans="1:36" ht="17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9</v>
      </c>
      <c r="H3" s="147" t="str">
        <f t="shared" ref="H3:H13" si="0">IF(F3="","",F3&amp;G3)</f>
        <v>20249</v>
      </c>
      <c r="I3" s="147" t="str">
        <f t="shared" ref="I3:I13" si="1">IF(H3="","",H3&amp;$K$1)</f>
        <v>20249JPY</v>
      </c>
      <c r="J3" s="147" t="str">
        <f t="shared" ref="J3:J13" si="2">IF(H3="","",H3&amp;$L$1)</f>
        <v>20249RMB</v>
      </c>
      <c r="K3" s="146">
        <v>5.5100000000000003E-2</v>
      </c>
      <c r="L3" s="182">
        <v>1.0980000000000001</v>
      </c>
      <c r="M3" s="47"/>
      <c r="N3" s="107"/>
      <c r="O3" s="48"/>
      <c r="P3" s="246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7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10</v>
      </c>
      <c r="H4" s="147" t="str">
        <f t="shared" si="0"/>
        <v>202410</v>
      </c>
      <c r="I4" s="147" t="str">
        <f t="shared" si="1"/>
        <v>202410JPY</v>
      </c>
      <c r="J4" s="147" t="str">
        <f t="shared" si="2"/>
        <v>202410RMB</v>
      </c>
      <c r="K4" s="146">
        <v>5.5599999999999997E-2</v>
      </c>
      <c r="L4" s="182">
        <v>1.1080000000000001</v>
      </c>
      <c r="M4" s="47"/>
      <c r="N4" s="107"/>
      <c r="O4" s="48"/>
      <c r="P4" s="246"/>
      <c r="Q4" s="177" t="s">
        <v>51</v>
      </c>
      <c r="R4" s="216">
        <v>6000</v>
      </c>
      <c r="S4" s="148">
        <v>0.3</v>
      </c>
      <c r="T4" s="60"/>
      <c r="U4" s="61"/>
    </row>
    <row r="5" spans="1:36" ht="17" thickTop="1" thickBot="1">
      <c r="A5" s="167" t="s">
        <v>3344</v>
      </c>
      <c r="B5" s="168">
        <v>0.17780000000000001</v>
      </c>
      <c r="C5" s="76"/>
      <c r="D5" s="69"/>
      <c r="E5" s="77"/>
      <c r="F5" s="146">
        <v>2024</v>
      </c>
      <c r="G5" s="146">
        <v>11</v>
      </c>
      <c r="H5" s="147" t="str">
        <f t="shared" si="0"/>
        <v>202411</v>
      </c>
      <c r="I5" s="147" t="str">
        <f t="shared" si="1"/>
        <v>202411JPY</v>
      </c>
      <c r="J5" s="147" t="str">
        <f t="shared" si="2"/>
        <v>202411RMB</v>
      </c>
      <c r="K5" s="146">
        <v>5.5599999999999997E-2</v>
      </c>
      <c r="L5" s="182">
        <v>1.1080000000000001</v>
      </c>
      <c r="M5" s="47"/>
      <c r="N5" s="107"/>
      <c r="O5" s="48"/>
      <c r="P5" s="246"/>
      <c r="Q5" s="178" t="s">
        <v>50</v>
      </c>
      <c r="R5" s="216">
        <v>211000</v>
      </c>
      <c r="S5" s="149">
        <v>0.3</v>
      </c>
      <c r="T5" s="60"/>
      <c r="U5" s="61"/>
    </row>
    <row r="6" spans="1:36" ht="16" thickBot="1">
      <c r="A6" s="167" t="s">
        <v>3344</v>
      </c>
      <c r="B6" s="168">
        <v>0.17780000000000001</v>
      </c>
      <c r="C6" s="76"/>
      <c r="D6" s="69"/>
      <c r="E6" s="77"/>
      <c r="F6" s="146">
        <v>2024</v>
      </c>
      <c r="G6" s="146">
        <v>12</v>
      </c>
      <c r="H6" s="147" t="str">
        <f t="shared" si="0"/>
        <v>202412</v>
      </c>
      <c r="I6" s="147" t="str">
        <f t="shared" si="1"/>
        <v>202412JPY</v>
      </c>
      <c r="J6" s="147" t="str">
        <f t="shared" si="2"/>
        <v>202412RMB</v>
      </c>
      <c r="K6" s="146">
        <v>5.5599999999999997E-2</v>
      </c>
      <c r="L6" s="182">
        <v>1.1080000000000001</v>
      </c>
      <c r="M6" s="47"/>
      <c r="N6" s="107"/>
      <c r="O6" s="48"/>
      <c r="P6" s="62"/>
      <c r="Q6" s="63"/>
      <c r="R6" s="63"/>
      <c r="S6" s="63"/>
      <c r="T6" s="60"/>
      <c r="U6" s="61"/>
    </row>
    <row r="7" spans="1:36" ht="16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6" t="s">
        <v>3388</v>
      </c>
      <c r="Q10" s="257"/>
      <c r="R10" s="257"/>
      <c r="S10" s="257"/>
      <c r="T10" s="257"/>
      <c r="U10" s="257"/>
      <c r="V10" s="257"/>
      <c r="AB10" s="238" t="s">
        <v>3389</v>
      </c>
      <c r="AC10" s="239"/>
      <c r="AD10" s="239"/>
      <c r="AE10" s="239"/>
      <c r="AF10" s="239"/>
      <c r="AG10" s="239"/>
      <c r="AH10" s="239"/>
      <c r="AI10" s="240"/>
      <c r="AJ10" s="117"/>
    </row>
    <row r="11" spans="1:36" ht="16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8"/>
      <c r="Q11" s="259"/>
      <c r="R11" s="259"/>
      <c r="S11" s="259"/>
      <c r="T11" s="259"/>
      <c r="U11" s="259"/>
      <c r="V11" s="259"/>
      <c r="AB11" s="241"/>
      <c r="AC11" s="242"/>
      <c r="AD11" s="242"/>
      <c r="AE11" s="242"/>
      <c r="AF11" s="242"/>
      <c r="AG11" s="242"/>
      <c r="AH11" s="242"/>
      <c r="AI11" s="243"/>
      <c r="AJ11" s="117"/>
    </row>
    <row r="12" spans="1:36" ht="16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9</v>
      </c>
      <c r="S13" s="79">
        <f>IF(R13="","",SUMIFS(raw_sheet!AB:AB,raw_sheet!E:E,list!P13,raw_sheet!F:F,list!Q13,raw_sheet!G:G,list!R13,raw_sheet!R:R,list!$S$12))</f>
        <v>34006779.236991152</v>
      </c>
      <c r="T13" s="79">
        <f>IF(R13="","",SUMIFS(raw_sheet!AB:AB,raw_sheet!E:E,list!P13,raw_sheet!F:F,list!Q13,raw_sheet!G:G,list!R13,raw_sheet!R:R,list!$T$12))</f>
        <v>1563308.4955752213</v>
      </c>
      <c r="U13" s="79">
        <f>IF(R13="","",SUMIFS(raw_sheet!AB:AB,raw_sheet!E:E,list!P13,raw_sheet!F:F,list!Q13,raw_sheet!G:G,list!R13,raw_sheet!R:R,list!$U$12))</f>
        <v>361000</v>
      </c>
      <c r="V13" s="80">
        <f>IF(R13="","",SUMIFS(raw_sheet!AB:AB,raw_sheet!E:E,list!P13,raw_sheet!F:F,list!Q13,raw_sheet!G:G,list!R13))</f>
        <v>35931087.732566379</v>
      </c>
      <c r="AB13" s="150" t="s">
        <v>3173</v>
      </c>
      <c r="AC13" s="150">
        <v>2024</v>
      </c>
      <c r="AD13" s="150">
        <v>9</v>
      </c>
      <c r="AE13" s="79">
        <f>IF(AD13="","",SUMIFS(raw_sheet!AB:AB,raw_sheet!A:A,list!AB13,raw_sheet!B:B,list!AC13,raw_sheet!C:C,list!AD13,raw_sheet!S:S,list!$AE$12))</f>
        <v>6419961.8831858411</v>
      </c>
      <c r="AF13" s="79">
        <f>IF(AD13="","",SUMIFS(raw_sheet!AB:AB,raw_sheet!A:A,list!AB13,raw_sheet!B:B,list!AC13,raw_sheet!C:C,list!AD13,raw_sheet!S:S,list!$AF$12))</f>
        <v>5844509.7769911513</v>
      </c>
      <c r="AG13" s="79">
        <f>IF(AD13="","",SUMIFS(raw_sheet!AB:AB,raw_sheet!A:A,list!AB13,raw_sheet!B:B,list!AC13,raw_sheet!C:C,list!AD13,raw_sheet!S:S,list!$AG$12))</f>
        <v>504973.45132743369</v>
      </c>
      <c r="AH13" s="79">
        <f>IF(AD13="","",SUMIFS(raw_sheet!AB:AB,raw_sheet!A:A,list!AB13,raw_sheet!B:B,list!AC13,raw_sheet!C:C,list!AD13,raw_sheet!S:S,list!$AH$12))</f>
        <v>1513312.283185841</v>
      </c>
      <c r="AI13" s="80">
        <f>IF(AD13="","",SUMIFS(raw_sheet!AB:AB,raw_sheet!A:A,list!AB13,raw_sheet!B:B,list!AC13,raw_sheet!C:C,list!AD13))</f>
        <v>14282757.394690271</v>
      </c>
      <c r="AJ13" s="117"/>
    </row>
    <row r="14" spans="1:36" ht="16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10</v>
      </c>
      <c r="S14" s="79">
        <f>IF(R14="","",SUMIFS(raw_sheet!AB:AB,raw_sheet!E:E,list!P14,raw_sheet!F:F,list!Q14,raw_sheet!G:G,list!R14,raw_sheet!R:R,list!$S$12))</f>
        <v>20454908.438938059</v>
      </c>
      <c r="T14" s="79">
        <f>IF(R14="","",SUMIFS(raw_sheet!AB:AB,raw_sheet!E:E,list!P14,raw_sheet!F:F,list!Q14,raw_sheet!G:G,list!R14,raw_sheet!R:R,list!$T$12))</f>
        <v>5405781.0619469024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25860689.500884958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11</v>
      </c>
      <c r="S15" s="79">
        <f>IF(R15="","",SUMIFS(raw_sheet!AB:AB,raw_sheet!E:E,list!P15,raw_sheet!F:F,list!Q15,raw_sheet!G:G,list!R15,raw_sheet!R:R,list!$S$12))</f>
        <v>23288942.740275238</v>
      </c>
      <c r="T15" s="79">
        <f>IF(R15="","",SUMIFS(raw_sheet!AB:AB,raw_sheet!E:E,list!P15,raw_sheet!F:F,list!Q15,raw_sheet!G:G,list!R15,raw_sheet!R:R,list!$T$12))</f>
        <v>841030.08849625196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24129972.828771491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2024</v>
      </c>
      <c r="R16" s="150">
        <v>12</v>
      </c>
      <c r="S16" s="79">
        <f>IF(R16="","",SUMIFS(raw_sheet!AB:AB,raw_sheet!E:E,list!P16,raw_sheet!F:F,list!Q16,raw_sheet!G:G,list!R16,raw_sheet!R:R,list!$S$12))</f>
        <v>22399988.308672566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22399988.308672566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 t="s">
        <v>3173</v>
      </c>
      <c r="Q17" s="150">
        <v>2025</v>
      </c>
      <c r="R17" s="150">
        <v>1</v>
      </c>
      <c r="S17" s="79">
        <f>IF(R17="","",SUMIFS(raw_sheet!AB:AB,raw_sheet!E:E,list!P17,raw_sheet!F:F,list!Q17,raw_sheet!G:G,list!R17,raw_sheet!R:R,list!$S$12))</f>
        <v>0</v>
      </c>
      <c r="T17" s="79">
        <f>IF(R17="","",SUMIFS(raw_sheet!AB:AB,raw_sheet!E:E,list!P17,raw_sheet!F:F,list!Q17,raw_sheet!G:G,list!R17,raw_sheet!R:R,list!$T$12))</f>
        <v>0</v>
      </c>
      <c r="U17" s="79">
        <f>IF(R17="","",SUMIFS(raw_sheet!AB:AB,raw_sheet!E:E,list!P17,raw_sheet!F:F,list!Q17,raw_sheet!G:G,list!R17,raw_sheet!R:R,list!$U$12))</f>
        <v>0</v>
      </c>
      <c r="V17" s="80">
        <f>IF(R17="","",SUMIFS(raw_sheet!AB:AB,raw_sheet!E:E,list!P17,raw_sheet!F:F,list!Q17,raw_sheet!G:G,list!R17))</f>
        <v>0</v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21036936</v>
      </c>
      <c r="AK18" s="124" cm="1">
        <f t="array" ref="AK18">IFERROR(SUMPRODUCT((AD21:AD150="EAST")*(AJ21:AJ150)),0)</f>
        <v>5960556</v>
      </c>
      <c r="AL18" s="124" cm="1">
        <f t="array" ref="AL18">IFERROR(SUMPRODUCT((AD21:AD150="NORTH")*(AJ21:AJ150)),0)</f>
        <v>1543360</v>
      </c>
      <c r="AM18" s="124" cm="1">
        <f t="array" ref="AM18">IFERROR(SUMPRODUCT((AD21:AD150="WEST")*(AJ21:AJ150)),0)</f>
        <v>515000</v>
      </c>
    </row>
    <row r="19" spans="1:39" ht="23" thickBot="1">
      <c r="A19" s="167"/>
      <c r="B19" s="168"/>
      <c r="C19" s="251" t="s">
        <v>3312</v>
      </c>
      <c r="D19" s="252"/>
      <c r="E19" s="253"/>
      <c r="F19" s="38"/>
      <c r="M19" s="47"/>
      <c r="N19" s="107"/>
      <c r="O19" s="39"/>
      <c r="P19" s="247" t="s">
        <v>3340</v>
      </c>
      <c r="Q19" s="248"/>
      <c r="R19" s="248"/>
      <c r="S19" s="248"/>
      <c r="T19" s="248"/>
      <c r="U19" s="248"/>
      <c r="V19" s="248"/>
      <c r="W19" s="248"/>
      <c r="X19" s="248"/>
      <c r="Y19" s="248"/>
      <c r="Z19" s="248"/>
      <c r="AB19" s="249" t="s">
        <v>3214</v>
      </c>
      <c r="AC19" s="250"/>
      <c r="AD19" s="250"/>
      <c r="AE19" s="250"/>
      <c r="AF19" s="250"/>
      <c r="AG19" s="250"/>
      <c r="AH19" s="250"/>
      <c r="AI19" s="250"/>
      <c r="AJ19" s="250"/>
      <c r="AK19" s="250"/>
      <c r="AL19" s="250"/>
      <c r="AM19" s="250"/>
    </row>
    <row r="20" spans="1:39" ht="16" thickBot="1">
      <c r="A20" s="167"/>
      <c r="B20" s="168"/>
      <c r="C20" s="251" t="s">
        <v>3215</v>
      </c>
      <c r="D20" s="252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" thickBot="1">
      <c r="A21" s="167"/>
      <c r="B21" s="168"/>
      <c r="C21" s="251" t="s">
        <v>3226</v>
      </c>
      <c r="D21" s="252"/>
      <c r="E21" s="146">
        <v>2024</v>
      </c>
      <c r="M21" s="47"/>
      <c r="N21" s="107"/>
      <c r="O21" s="39"/>
      <c r="P21" s="15" cm="1">
        <f t="array" ref="P21:Z75">_xlfn.CHOOSECOLS(_xlfn._xlws.FILTER(raw_sheet!E:AQ,(raw_sheet!F:F=list!Q13)*(raw_sheet!E:E=list!P13)*(raw_sheet!G:G=list!R13)*(raw_sheet!G:G&lt;&gt;"Cancel"),""),2,3,15,6,7,8,10,19,23,24,26)</f>
        <v>2024</v>
      </c>
      <c r="Q21" s="13">
        <v>9</v>
      </c>
      <c r="R21" s="13" t="str">
        <v>SOUTH</v>
      </c>
      <c r="S21" s="13" t="str">
        <v>C49SZX20240115DZ</v>
      </c>
      <c r="T21" s="13" t="str">
        <v>显控</v>
      </c>
      <c r="U21" s="13" t="str">
        <v>YSM20R</v>
      </c>
      <c r="V21" s="13">
        <v>1</v>
      </c>
      <c r="W21" s="92" t="str">
        <v>JPY</v>
      </c>
      <c r="X21" s="97">
        <v>5.5100000000000003E-2</v>
      </c>
      <c r="Y21" s="92">
        <v>927608.5</v>
      </c>
      <c r="Z21" s="229">
        <v>0.22559999999999999</v>
      </c>
      <c r="AB21" s="15" cm="1">
        <f t="array" ref="AB21:AM44">_xlfn.CHOOSECOLS(_xlfn._xlws.FILTER(raw_sheet!A:AZ,(raw_sheet!B:B=list!AC13)*(raw_sheet!A:A=list!AB13)*(raw_sheet!C:C=list!AD13)*(raw_sheet!C:C&lt;&gt;"Cancel"),""),2,3,19,10,11,12,14,23,26,27,28,30)</f>
        <v>2024</v>
      </c>
      <c r="AC21" s="13">
        <v>9</v>
      </c>
      <c r="AD21" s="13" t="str">
        <v>SOUTH</v>
      </c>
      <c r="AE21" s="13" t="str">
        <v>C49SZX20240155JY</v>
      </c>
      <c r="AF21" s="13" t="str">
        <v>乐尊</v>
      </c>
      <c r="AG21" s="13" t="str">
        <v>YSM20R</v>
      </c>
      <c r="AH21" s="13">
        <v>1</v>
      </c>
      <c r="AI21" s="92" t="str">
        <v>RMB</v>
      </c>
      <c r="AJ21" s="118">
        <v>655000</v>
      </c>
      <c r="AK21" s="97">
        <v>1.1080000000000001</v>
      </c>
      <c r="AL21" s="92">
        <v>642247.78761061956</v>
      </c>
      <c r="AM21" s="229">
        <v>0.12</v>
      </c>
    </row>
    <row r="22" spans="1:39" ht="16" thickBot="1">
      <c r="A22" s="167"/>
      <c r="B22" s="168"/>
      <c r="C22" s="254" t="s">
        <v>3227</v>
      </c>
      <c r="D22" s="255"/>
      <c r="E22" s="150">
        <v>9</v>
      </c>
      <c r="F22" s="38"/>
      <c r="M22" s="47"/>
      <c r="N22" s="107"/>
      <c r="O22" s="39"/>
      <c r="P22" s="13">
        <v>2024</v>
      </c>
      <c r="Q22" s="13">
        <v>9</v>
      </c>
      <c r="R22" s="13" t="str">
        <v>SOUTH</v>
      </c>
      <c r="S22" s="13" t="str">
        <v>C49SZX20240115DZ</v>
      </c>
      <c r="T22" s="13" t="str">
        <v>显控</v>
      </c>
      <c r="U22" s="13" t="str">
        <v>YSM20R</v>
      </c>
      <c r="V22" s="13">
        <v>1</v>
      </c>
      <c r="W22" s="92" t="str">
        <v>JPY</v>
      </c>
      <c r="X22" s="97">
        <v>5.5100000000000003E-2</v>
      </c>
      <c r="Y22" s="92">
        <v>927608.5</v>
      </c>
      <c r="Z22" s="229">
        <v>0.22559999999999999</v>
      </c>
      <c r="AB22" s="13">
        <v>2024</v>
      </c>
      <c r="AC22" s="13">
        <v>9</v>
      </c>
      <c r="AD22" s="13" t="str">
        <v>SOUTH</v>
      </c>
      <c r="AE22" s="13" t="str">
        <v>C49SZX20240158EC</v>
      </c>
      <c r="AF22" s="13" t="str">
        <v>正邦</v>
      </c>
      <c r="AG22" s="13" t="str">
        <v>YRM20</v>
      </c>
      <c r="AH22" s="13">
        <v>1</v>
      </c>
      <c r="AI22" s="92" t="str">
        <v>JPY</v>
      </c>
      <c r="AJ22" s="118">
        <v>16400000</v>
      </c>
      <c r="AK22" s="97">
        <v>5.5599999999999997E-2</v>
      </c>
      <c r="AL22" s="92">
        <v>911840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9</v>
      </c>
      <c r="R23" s="13" t="str">
        <v>SOUTH</v>
      </c>
      <c r="S23" s="13" t="str">
        <v>C49SZX20240115DZ</v>
      </c>
      <c r="T23" s="13" t="str">
        <v>显控</v>
      </c>
      <c r="U23" s="13" t="str">
        <v>YSM10</v>
      </c>
      <c r="V23" s="13">
        <v>1</v>
      </c>
      <c r="W23" s="92" t="str">
        <v>JPY</v>
      </c>
      <c r="X23" s="97">
        <v>5.5100000000000003E-2</v>
      </c>
      <c r="Y23" s="92">
        <v>787930</v>
      </c>
      <c r="Z23" s="229">
        <v>0.22559999999999999</v>
      </c>
      <c r="AB23" s="13">
        <v>2024</v>
      </c>
      <c r="AC23" s="13">
        <v>9</v>
      </c>
      <c r="AD23" s="13" t="str">
        <v>SOUTH</v>
      </c>
      <c r="AE23" s="13" t="str">
        <v>C49SZX20240159EC</v>
      </c>
      <c r="AF23" s="13" t="str">
        <v>正邦</v>
      </c>
      <c r="AG23" s="13" t="str">
        <v>YRM20</v>
      </c>
      <c r="AH23" s="13">
        <v>1</v>
      </c>
      <c r="AI23" s="92" t="str">
        <v>RMB</v>
      </c>
      <c r="AJ23" s="118">
        <v>930000</v>
      </c>
      <c r="AK23" s="97">
        <v>1.1080000000000001</v>
      </c>
      <c r="AL23" s="92">
        <v>911893.80530973466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9</v>
      </c>
      <c r="R24" s="13" t="str">
        <v>SOUTH</v>
      </c>
      <c r="S24" s="13" t="str">
        <v>C49SZX20240115DZ</v>
      </c>
      <c r="T24" s="13" t="str">
        <v>显控</v>
      </c>
      <c r="U24" s="13" t="str">
        <v>YSM10</v>
      </c>
      <c r="V24" s="13">
        <v>1</v>
      </c>
      <c r="W24" s="92" t="str">
        <v>JPY</v>
      </c>
      <c r="X24" s="97">
        <v>5.5100000000000003E-2</v>
      </c>
      <c r="Y24" s="92">
        <v>787930</v>
      </c>
      <c r="Z24" s="229">
        <v>0.22559999999999999</v>
      </c>
      <c r="AB24" s="13">
        <v>2024</v>
      </c>
      <c r="AC24" s="13">
        <v>9</v>
      </c>
      <c r="AD24" s="13" t="str">
        <v>SOUTH</v>
      </c>
      <c r="AE24" s="13" t="str">
        <v>C49SZX20240160SX</v>
      </c>
      <c r="AF24" s="13" t="str">
        <v>莫思特</v>
      </c>
      <c r="AG24" s="13" t="str">
        <v>YRM20</v>
      </c>
      <c r="AH24" s="13">
        <v>1</v>
      </c>
      <c r="AI24" s="92" t="str">
        <v>RMB</v>
      </c>
      <c r="AJ24" s="118">
        <v>779936</v>
      </c>
      <c r="AK24" s="97">
        <v>1.0980000000000001</v>
      </c>
      <c r="AL24" s="92">
        <v>757849.31681415951</v>
      </c>
      <c r="AM24" s="229">
        <v>0.15809999999999999</v>
      </c>
    </row>
    <row r="25" spans="1:39" ht="16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9</v>
      </c>
      <c r="R25" s="13" t="str">
        <v>SOUTH</v>
      </c>
      <c r="S25" s="13" t="str">
        <v>C28SZX20240107SS</v>
      </c>
      <c r="T25" s="13" t="str">
        <v>博睿通</v>
      </c>
      <c r="U25" s="13" t="str">
        <v>YSi-V</v>
      </c>
      <c r="V25" s="13">
        <v>1</v>
      </c>
      <c r="W25" s="92" t="str">
        <v>JPY</v>
      </c>
      <c r="X25" s="97">
        <v>5.5100000000000003E-2</v>
      </c>
      <c r="Y25" s="92">
        <v>407740</v>
      </c>
      <c r="Z25" s="229">
        <v>0.1227</v>
      </c>
      <c r="AB25" s="13">
        <v>2024</v>
      </c>
      <c r="AC25" s="13">
        <v>9</v>
      </c>
      <c r="AD25" s="13" t="str">
        <v>SOUTH</v>
      </c>
      <c r="AE25" s="13" t="str">
        <v>C49SZX20240161EC</v>
      </c>
      <c r="AF25" s="13" t="str">
        <v>竣德</v>
      </c>
      <c r="AG25" s="13" t="str">
        <v>YSM10</v>
      </c>
      <c r="AH25" s="13">
        <v>1</v>
      </c>
      <c r="AI25" s="92" t="str">
        <v>RMB</v>
      </c>
      <c r="AJ25" s="118">
        <v>420000</v>
      </c>
      <c r="AK25" s="97">
        <v>1.1080000000000001</v>
      </c>
      <c r="AL25" s="92">
        <v>411823.00884955761</v>
      </c>
      <c r="AM25" s="229">
        <v>0.12</v>
      </c>
    </row>
    <row r="26" spans="1:39">
      <c r="A26" s="167"/>
      <c r="B26" s="168"/>
      <c r="P26" s="13">
        <v>2024</v>
      </c>
      <c r="Q26" s="13">
        <v>9</v>
      </c>
      <c r="R26" s="13" t="str">
        <v>SOUTH</v>
      </c>
      <c r="S26" s="13" t="str">
        <v>C28SZX20240107SS</v>
      </c>
      <c r="T26" s="13" t="str">
        <v>博睿通</v>
      </c>
      <c r="U26" s="13" t="str">
        <v>YSi-V</v>
      </c>
      <c r="V26" s="13">
        <v>1</v>
      </c>
      <c r="W26" s="92" t="str">
        <v>JPY</v>
      </c>
      <c r="X26" s="97">
        <v>5.5100000000000003E-2</v>
      </c>
      <c r="Y26" s="92">
        <v>407740</v>
      </c>
      <c r="Z26" s="229">
        <v>0.1227</v>
      </c>
      <c r="AB26" s="13">
        <v>2024</v>
      </c>
      <c r="AC26" s="13">
        <v>9</v>
      </c>
      <c r="AD26" s="13" t="str">
        <v>SOUTH</v>
      </c>
      <c r="AE26" s="13" t="str">
        <v>C49SZX20240161EC</v>
      </c>
      <c r="AF26" s="13" t="str">
        <v>竣德</v>
      </c>
      <c r="AG26" s="13" t="str">
        <v>YSM10</v>
      </c>
      <c r="AH26" s="13">
        <v>1</v>
      </c>
      <c r="AI26" s="92" t="str">
        <v>RMB</v>
      </c>
      <c r="AJ26" s="118">
        <v>420000</v>
      </c>
      <c r="AK26" s="97">
        <v>1.1080000000000001</v>
      </c>
      <c r="AL26" s="92">
        <v>411823.00884955761</v>
      </c>
      <c r="AM26" s="229">
        <v>0.12</v>
      </c>
    </row>
    <row r="27" spans="1:39">
      <c r="A27" s="167"/>
      <c r="B27" s="168"/>
      <c r="P27" s="13">
        <v>2024</v>
      </c>
      <c r="Q27" s="13">
        <v>9</v>
      </c>
      <c r="R27" s="13" t="str">
        <v>SOUTH</v>
      </c>
      <c r="S27" s="13" t="str">
        <v>C28SZX20240107SS</v>
      </c>
      <c r="T27" s="13" t="str">
        <v>博睿通</v>
      </c>
      <c r="U27" s="13" t="str">
        <v>YSi-V</v>
      </c>
      <c r="V27" s="13">
        <v>1</v>
      </c>
      <c r="W27" s="92" t="str">
        <v>JPY</v>
      </c>
      <c r="X27" s="97">
        <v>5.5100000000000003E-2</v>
      </c>
      <c r="Y27" s="92">
        <v>407740</v>
      </c>
      <c r="Z27" s="229">
        <v>0.1227</v>
      </c>
      <c r="AB27" s="13">
        <v>2024</v>
      </c>
      <c r="AC27" s="13">
        <v>9</v>
      </c>
      <c r="AD27" s="13" t="str">
        <v>SOUTH</v>
      </c>
      <c r="AE27" s="13" t="str">
        <v>C49SZX20240162JL/4600005512</v>
      </c>
      <c r="AF27" s="13" t="str">
        <v>高伟</v>
      </c>
      <c r="AG27" s="13" t="str">
        <v>YRM10</v>
      </c>
      <c r="AH27" s="13">
        <v>1</v>
      </c>
      <c r="AI27" s="92" t="str">
        <v>USD</v>
      </c>
      <c r="AJ27" s="118">
        <v>71000</v>
      </c>
      <c r="AK27" s="97">
        <v>7.8</v>
      </c>
      <c r="AL27" s="92">
        <v>553800</v>
      </c>
      <c r="AM27" s="229">
        <v>0.12</v>
      </c>
    </row>
    <row r="28" spans="1:39">
      <c r="A28" s="167"/>
      <c r="B28" s="168"/>
      <c r="P28" s="13">
        <v>2024</v>
      </c>
      <c r="Q28" s="13">
        <v>9</v>
      </c>
      <c r="R28" s="13" t="str">
        <v>EAST</v>
      </c>
      <c r="S28" s="13" t="str">
        <v>C49SHA20240507/HZY</v>
      </c>
      <c r="T28" s="13" t="str">
        <v>宁波千瑞</v>
      </c>
      <c r="U28" s="13" t="str">
        <v>YSM10</v>
      </c>
      <c r="V28" s="13">
        <v>1</v>
      </c>
      <c r="W28" s="92" t="str">
        <v>RMB</v>
      </c>
      <c r="X28" s="97">
        <v>1.0980000000000001</v>
      </c>
      <c r="Y28" s="92">
        <v>400010.1451327434</v>
      </c>
      <c r="Z28" s="229">
        <v>6.7299999999999999E-2</v>
      </c>
      <c r="AB28" s="13">
        <v>2024</v>
      </c>
      <c r="AC28" s="13">
        <v>9</v>
      </c>
      <c r="AD28" s="13" t="str">
        <v>SOUTH</v>
      </c>
      <c r="AE28" s="13" t="str">
        <v>C49SZX20240163JL/4600005527</v>
      </c>
      <c r="AF28" s="13" t="str">
        <v>高伟</v>
      </c>
      <c r="AG28" s="13" t="str">
        <v>YRM10</v>
      </c>
      <c r="AH28" s="13">
        <v>1</v>
      </c>
      <c r="AI28" s="92" t="str">
        <v>USD</v>
      </c>
      <c r="AJ28" s="118">
        <v>71000</v>
      </c>
      <c r="AK28" s="97">
        <v>7.8</v>
      </c>
      <c r="AL28" s="92">
        <v>553800</v>
      </c>
      <c r="AM28" s="229">
        <v>0.12</v>
      </c>
    </row>
    <row r="29" spans="1:39">
      <c r="A29" s="167"/>
      <c r="B29" s="168"/>
      <c r="P29" s="13">
        <v>2024</v>
      </c>
      <c r="Q29" s="13">
        <v>9</v>
      </c>
      <c r="R29" s="13" t="str">
        <v>EAST</v>
      </c>
      <c r="S29" s="13" t="str">
        <v>C49SHA20240511/HZY</v>
      </c>
      <c r="T29" s="13" t="str">
        <v>宁波冠域</v>
      </c>
      <c r="U29" s="13" t="str">
        <v>YSM10</v>
      </c>
      <c r="V29" s="13">
        <v>1</v>
      </c>
      <c r="W29" s="92" t="str">
        <v>RMB</v>
      </c>
      <c r="X29" s="97">
        <v>1.0980000000000001</v>
      </c>
      <c r="Y29" s="92">
        <v>510132.74336283194</v>
      </c>
      <c r="Z29" s="229">
        <v>9.3799999999999994E-2</v>
      </c>
      <c r="AB29" s="13">
        <v>2024</v>
      </c>
      <c r="AC29" s="13">
        <v>9</v>
      </c>
      <c r="AD29" s="13" t="str">
        <v>EAST</v>
      </c>
      <c r="AE29" s="13" t="str">
        <v>C28SHA20240902/ZQR</v>
      </c>
      <c r="AF29" s="13" t="str">
        <v>江苏中科朗恩斯</v>
      </c>
      <c r="AG29" s="13" t="str">
        <v>YSi-V</v>
      </c>
      <c r="AH29" s="13">
        <v>1</v>
      </c>
      <c r="AI29" s="92" t="str">
        <v>RMB</v>
      </c>
      <c r="AJ29" s="118">
        <v>375000</v>
      </c>
      <c r="AK29" s="97">
        <v>1.1080000000000001</v>
      </c>
      <c r="AL29" s="92">
        <v>367699.11504424788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9</v>
      </c>
      <c r="R30" s="13" t="str">
        <v>SOUTH</v>
      </c>
      <c r="S30" s="13" t="str">
        <v>C49SZX20240100SS</v>
      </c>
      <c r="T30" s="13" t="str">
        <v>详弘瑞</v>
      </c>
      <c r="U30" s="13" t="str">
        <v>YSM10</v>
      </c>
      <c r="V30" s="13">
        <v>1</v>
      </c>
      <c r="W30" s="92" t="str">
        <v>JPY</v>
      </c>
      <c r="X30" s="97">
        <v>5.5100000000000003E-2</v>
      </c>
      <c r="Y30" s="92">
        <v>454575</v>
      </c>
      <c r="Z30" s="229">
        <v>9.6799999999999997E-2</v>
      </c>
      <c r="AB30" s="13">
        <v>2024</v>
      </c>
      <c r="AC30" s="13">
        <v>9</v>
      </c>
      <c r="AD30" s="13" t="str">
        <v>EAST</v>
      </c>
      <c r="AE30" s="13" t="str">
        <v>C28SHA20240902/ZQR</v>
      </c>
      <c r="AF30" s="13" t="str">
        <v>江苏中科朗恩斯</v>
      </c>
      <c r="AG30" s="13" t="str">
        <v>YSi-V</v>
      </c>
      <c r="AH30" s="13">
        <v>1</v>
      </c>
      <c r="AI30" s="92" t="str">
        <v>RMB</v>
      </c>
      <c r="AJ30" s="118">
        <v>375000</v>
      </c>
      <c r="AK30" s="97">
        <v>1.1080000000000001</v>
      </c>
      <c r="AL30" s="92">
        <v>367699.11504424788</v>
      </c>
      <c r="AM30" s="229">
        <v>0.12</v>
      </c>
    </row>
    <row r="31" spans="1:39">
      <c r="A31" s="167"/>
      <c r="B31" s="168"/>
      <c r="P31" s="13">
        <v>2024</v>
      </c>
      <c r="Q31" s="13">
        <v>9</v>
      </c>
      <c r="R31" s="13" t="str">
        <v>NORTH</v>
      </c>
      <c r="S31" s="13" t="str">
        <v>C49BJS20240530ZX</v>
      </c>
      <c r="T31" s="13" t="str">
        <v>智兴通达</v>
      </c>
      <c r="U31" s="13" t="str">
        <v>YSM10</v>
      </c>
      <c r="V31" s="13">
        <v>1</v>
      </c>
      <c r="W31" s="92" t="str">
        <v>RMB</v>
      </c>
      <c r="X31" s="97">
        <v>1.0980000000000001</v>
      </c>
      <c r="Y31" s="92">
        <v>488755.75221238943</v>
      </c>
      <c r="Z31" s="229">
        <v>1.14E-2</v>
      </c>
      <c r="AB31" s="13">
        <v>2024</v>
      </c>
      <c r="AC31" s="13">
        <v>9</v>
      </c>
      <c r="AD31" s="13" t="str">
        <v>WEST</v>
      </c>
      <c r="AE31" s="13" t="str">
        <v>C49CTU20240904/FZM</v>
      </c>
      <c r="AF31" s="13" t="str">
        <v>四川艺智泓</v>
      </c>
      <c r="AG31" s="13" t="str">
        <v>YSM10</v>
      </c>
      <c r="AH31" s="13">
        <v>1</v>
      </c>
      <c r="AI31" s="92" t="str">
        <v>RMB</v>
      </c>
      <c r="AJ31" s="118">
        <v>515000</v>
      </c>
      <c r="AK31" s="97">
        <v>1.1080000000000001</v>
      </c>
      <c r="AL31" s="92">
        <v>504973.45132743369</v>
      </c>
      <c r="AM31" s="229">
        <v>0.12</v>
      </c>
    </row>
    <row r="32" spans="1:39">
      <c r="A32" s="167"/>
      <c r="B32" s="168"/>
      <c r="P32" s="13">
        <v>2024</v>
      </c>
      <c r="Q32" s="13">
        <v>9</v>
      </c>
      <c r="R32" s="13" t="str">
        <v>SOUTH</v>
      </c>
      <c r="S32" s="13" t="str">
        <v>C49SZX20240123SS</v>
      </c>
      <c r="T32" s="13" t="str">
        <v>泰鑫荣</v>
      </c>
      <c r="U32" s="13" t="str">
        <v>YSM10</v>
      </c>
      <c r="V32" s="13">
        <v>1</v>
      </c>
      <c r="W32" s="92" t="str">
        <v>JPY</v>
      </c>
      <c r="X32" s="97">
        <v>5.5100000000000003E-2</v>
      </c>
      <c r="Y32" s="92">
        <v>446310</v>
      </c>
      <c r="Z32" s="229">
        <v>0.1593</v>
      </c>
      <c r="AB32" s="13">
        <v>2024</v>
      </c>
      <c r="AC32" s="13">
        <v>9</v>
      </c>
      <c r="AD32" s="13" t="str">
        <v>EAST</v>
      </c>
      <c r="AE32" s="13" t="str">
        <v>C49SHA20240919/LQM</v>
      </c>
      <c r="AF32" s="13" t="str">
        <v>江苏信利</v>
      </c>
      <c r="AG32" s="13" t="str">
        <v>YSM20R</v>
      </c>
      <c r="AH32" s="13">
        <v>1</v>
      </c>
      <c r="AI32" s="92" t="str">
        <v>RMB</v>
      </c>
      <c r="AJ32" s="118">
        <v>800000</v>
      </c>
      <c r="AK32" s="97">
        <v>1.1080000000000001</v>
      </c>
      <c r="AL32" s="92">
        <v>784424.77876106207</v>
      </c>
      <c r="AM32" s="229">
        <v>0.12</v>
      </c>
    </row>
    <row r="33" spans="1:39">
      <c r="A33" s="167"/>
      <c r="B33" s="168"/>
      <c r="P33" s="13">
        <v>2024</v>
      </c>
      <c r="Q33" s="13">
        <v>9</v>
      </c>
      <c r="R33" s="13" t="str">
        <v>SOUTH</v>
      </c>
      <c r="S33" s="13" t="str">
        <v>C49SZX20240102JY</v>
      </c>
      <c r="T33" s="13" t="str">
        <v>精德鸿</v>
      </c>
      <c r="U33" s="13" t="str">
        <v>YSM10</v>
      </c>
      <c r="V33" s="13">
        <v>1</v>
      </c>
      <c r="W33" s="92" t="str">
        <v>JPY</v>
      </c>
      <c r="X33" s="97">
        <v>5.5100000000000003E-2</v>
      </c>
      <c r="Y33" s="92">
        <v>408566.5</v>
      </c>
      <c r="Z33" s="229">
        <v>6.1100000000000002E-2</v>
      </c>
      <c r="AB33" s="13">
        <v>2024</v>
      </c>
      <c r="AC33" s="13">
        <v>9</v>
      </c>
      <c r="AD33" s="13" t="str">
        <v>EAST</v>
      </c>
      <c r="AE33" s="13" t="str">
        <v>C49SHA20240919/LQM</v>
      </c>
      <c r="AF33" s="13" t="str">
        <v>江苏信利</v>
      </c>
      <c r="AG33" s="13" t="str">
        <v>YSM20R</v>
      </c>
      <c r="AH33" s="13">
        <v>1</v>
      </c>
      <c r="AI33" s="92" t="str">
        <v>RMB</v>
      </c>
      <c r="AJ33" s="118">
        <v>800000</v>
      </c>
      <c r="AK33" s="97">
        <v>1.1080000000000001</v>
      </c>
      <c r="AL33" s="92">
        <v>784424.77876106207</v>
      </c>
      <c r="AM33" s="229">
        <v>0.12</v>
      </c>
    </row>
    <row r="34" spans="1:39">
      <c r="A34" s="167"/>
      <c r="B34" s="168"/>
      <c r="P34" s="13">
        <v>2024</v>
      </c>
      <c r="Q34" s="13">
        <v>9</v>
      </c>
      <c r="R34" s="13" t="str">
        <v>SOUTH</v>
      </c>
      <c r="S34" s="13" t="str">
        <v>C49SZX20240102JY</v>
      </c>
      <c r="T34" s="13" t="str">
        <v>精德鸿</v>
      </c>
      <c r="U34" s="13" t="str">
        <v>YSM10</v>
      </c>
      <c r="V34" s="13">
        <v>1</v>
      </c>
      <c r="W34" s="92" t="str">
        <v>JPY</v>
      </c>
      <c r="X34" s="97">
        <v>5.5100000000000003E-2</v>
      </c>
      <c r="Y34" s="92">
        <v>408566.5</v>
      </c>
      <c r="Z34" s="229">
        <v>6.1100000000000002E-2</v>
      </c>
      <c r="AB34" s="13">
        <v>2024</v>
      </c>
      <c r="AC34" s="13">
        <v>9</v>
      </c>
      <c r="AD34" s="13" t="str">
        <v>EAST</v>
      </c>
      <c r="AE34" s="13" t="str">
        <v>C49SHA20240919/LQM</v>
      </c>
      <c r="AF34" s="13" t="str">
        <v>江苏信利</v>
      </c>
      <c r="AG34" s="13" t="str">
        <v>YSM10</v>
      </c>
      <c r="AH34" s="13">
        <v>1</v>
      </c>
      <c r="AI34" s="92" t="str">
        <v>RMB</v>
      </c>
      <c r="AJ34" s="118">
        <v>540000</v>
      </c>
      <c r="AK34" s="97">
        <v>1.1080000000000001</v>
      </c>
      <c r="AL34" s="92">
        <v>529486.7256637169</v>
      </c>
      <c r="AM34" s="229">
        <v>0.12</v>
      </c>
    </row>
    <row r="35" spans="1:39">
      <c r="A35" s="167"/>
      <c r="B35" s="168"/>
      <c r="P35" s="13">
        <v>2024</v>
      </c>
      <c r="Q35" s="13">
        <v>9</v>
      </c>
      <c r="R35" s="13" t="str">
        <v>SOUTH</v>
      </c>
      <c r="S35" s="13" t="str">
        <v>C49SZX20240102JY</v>
      </c>
      <c r="T35" s="13" t="str">
        <v>精德鸿</v>
      </c>
      <c r="U35" s="13" t="str">
        <v>YSM10</v>
      </c>
      <c r="V35" s="13">
        <v>1</v>
      </c>
      <c r="W35" s="92" t="str">
        <v>JPY</v>
      </c>
      <c r="X35" s="97">
        <v>5.5100000000000003E-2</v>
      </c>
      <c r="Y35" s="92">
        <v>408566.5</v>
      </c>
      <c r="Z35" s="229">
        <v>6.1100000000000002E-2</v>
      </c>
      <c r="AB35" s="13">
        <v>2024</v>
      </c>
      <c r="AC35" s="13">
        <v>9</v>
      </c>
      <c r="AD35" s="13" t="str">
        <v>EAST</v>
      </c>
      <c r="AE35" s="13" t="str">
        <v>C49SHA20240919/LQM</v>
      </c>
      <c r="AF35" s="13" t="str">
        <v>江苏信利</v>
      </c>
      <c r="AG35" s="13" t="str">
        <v>YSM10</v>
      </c>
      <c r="AH35" s="13">
        <v>1</v>
      </c>
      <c r="AI35" s="92" t="str">
        <v>RMB</v>
      </c>
      <c r="AJ35" s="118">
        <v>540000</v>
      </c>
      <c r="AK35" s="97">
        <v>1.1080000000000001</v>
      </c>
      <c r="AL35" s="92">
        <v>529486.7256637169</v>
      </c>
      <c r="AM35" s="229">
        <v>0.12</v>
      </c>
    </row>
    <row r="36" spans="1:39">
      <c r="A36" s="167"/>
      <c r="B36" s="168"/>
      <c r="P36" s="13">
        <v>2024</v>
      </c>
      <c r="Q36" s="13">
        <v>9</v>
      </c>
      <c r="R36" s="13" t="str">
        <v>SOUTH</v>
      </c>
      <c r="S36" s="13" t="str">
        <v>C49SZX20240102JY</v>
      </c>
      <c r="T36" s="13" t="str">
        <v>精德鸿</v>
      </c>
      <c r="U36" s="13" t="str">
        <v>YSM20R</v>
      </c>
      <c r="V36" s="13">
        <v>1</v>
      </c>
      <c r="W36" s="92" t="str">
        <v>JPY</v>
      </c>
      <c r="X36" s="97">
        <v>5.5100000000000003E-2</v>
      </c>
      <c r="Y36" s="92">
        <v>666710</v>
      </c>
      <c r="Z36" s="229">
        <v>6.1100000000000002E-2</v>
      </c>
      <c r="AB36" s="13">
        <v>2024</v>
      </c>
      <c r="AC36" s="13">
        <v>9</v>
      </c>
      <c r="AD36" s="13" t="str">
        <v>EAST</v>
      </c>
      <c r="AE36" s="13" t="str">
        <v>C49SHA20240919/LQM</v>
      </c>
      <c r="AF36" s="13" t="str">
        <v>江苏信利</v>
      </c>
      <c r="AG36" s="13" t="str">
        <v>YSi-V</v>
      </c>
      <c r="AH36" s="13">
        <v>1</v>
      </c>
      <c r="AI36" s="92" t="str">
        <v>RMB</v>
      </c>
      <c r="AJ36" s="118">
        <v>350000</v>
      </c>
      <c r="AK36" s="97">
        <v>1.1080000000000001</v>
      </c>
      <c r="AL36" s="92">
        <v>343185.84070796461</v>
      </c>
      <c r="AM36" s="229">
        <v>0.12</v>
      </c>
    </row>
    <row r="37" spans="1:39">
      <c r="A37" s="167"/>
      <c r="B37" s="168"/>
      <c r="P37" s="13">
        <v>2024</v>
      </c>
      <c r="Q37" s="13">
        <v>9</v>
      </c>
      <c r="R37" s="13" t="str">
        <v>SOUTH</v>
      </c>
      <c r="S37" s="13" t="str">
        <v>C49SZX20240102JY</v>
      </c>
      <c r="T37" s="13" t="str">
        <v>精德鸿</v>
      </c>
      <c r="U37" s="13" t="str">
        <v>YSM20R</v>
      </c>
      <c r="V37" s="13">
        <v>1</v>
      </c>
      <c r="W37" s="92" t="str">
        <v>JPY</v>
      </c>
      <c r="X37" s="97">
        <v>5.5100000000000003E-2</v>
      </c>
      <c r="Y37" s="92">
        <v>666710</v>
      </c>
      <c r="Z37" s="229">
        <v>6.1100000000000002E-2</v>
      </c>
      <c r="AB37" s="13">
        <v>2024</v>
      </c>
      <c r="AC37" s="13">
        <v>9</v>
      </c>
      <c r="AD37" s="13" t="str">
        <v>EAST</v>
      </c>
      <c r="AE37" s="13" t="str">
        <v>C49SHA20240919/LQM</v>
      </c>
      <c r="AF37" s="13" t="str">
        <v>江苏信利</v>
      </c>
      <c r="AG37" s="13" t="str">
        <v>YSi-V</v>
      </c>
      <c r="AH37" s="13">
        <v>1</v>
      </c>
      <c r="AI37" s="92" t="str">
        <v>RMB</v>
      </c>
      <c r="AJ37" s="118">
        <v>350000</v>
      </c>
      <c r="AK37" s="97">
        <v>1.1080000000000001</v>
      </c>
      <c r="AL37" s="92">
        <v>343185.84070796461</v>
      </c>
      <c r="AM37" s="229">
        <v>0.12</v>
      </c>
    </row>
    <row r="38" spans="1:39">
      <c r="A38" s="167"/>
      <c r="B38" s="168"/>
      <c r="P38" s="13">
        <v>2024</v>
      </c>
      <c r="Q38" s="13">
        <v>9</v>
      </c>
      <c r="R38" s="13" t="str">
        <v>SOUTH</v>
      </c>
      <c r="S38" s="13" t="str">
        <v>C49SZX20240102JY</v>
      </c>
      <c r="T38" s="13" t="str">
        <v>精德鸿</v>
      </c>
      <c r="U38" s="13" t="str">
        <v>YSM20R</v>
      </c>
      <c r="V38" s="13">
        <v>1</v>
      </c>
      <c r="W38" s="92" t="str">
        <v>JPY</v>
      </c>
      <c r="X38" s="97">
        <v>5.5100000000000003E-2</v>
      </c>
      <c r="Y38" s="92">
        <v>666710</v>
      </c>
      <c r="Z38" s="229">
        <v>6.1100000000000002E-2</v>
      </c>
      <c r="AB38" s="13">
        <v>2024</v>
      </c>
      <c r="AC38" s="13">
        <v>9</v>
      </c>
      <c r="AD38" s="13" t="str">
        <v>EAST</v>
      </c>
      <c r="AE38" s="13" t="str">
        <v>C49SUZ20240920/SZS</v>
      </c>
      <c r="AF38" s="13" t="str">
        <v>苏州明浩</v>
      </c>
      <c r="AG38" s="13" t="str">
        <v>YSM10</v>
      </c>
      <c r="AH38" s="13">
        <v>1</v>
      </c>
      <c r="AI38" s="92" t="str">
        <v>RMB</v>
      </c>
      <c r="AJ38" s="118">
        <v>460000</v>
      </c>
      <c r="AK38" s="97">
        <v>1.1080000000000001</v>
      </c>
      <c r="AL38" s="92">
        <v>451044.24778761069</v>
      </c>
      <c r="AM38" s="229">
        <v>0.12</v>
      </c>
    </row>
    <row r="39" spans="1:39">
      <c r="A39" s="167"/>
      <c r="B39" s="168"/>
      <c r="P39" s="13">
        <v>2024</v>
      </c>
      <c r="Q39" s="13">
        <v>9</v>
      </c>
      <c r="R39" s="13" t="str">
        <v>SOUTH</v>
      </c>
      <c r="S39" s="13" t="str">
        <v>C49SZX20240102JY</v>
      </c>
      <c r="T39" s="13" t="str">
        <v>精德鸿</v>
      </c>
      <c r="U39" s="13" t="str">
        <v>YSM20R</v>
      </c>
      <c r="V39" s="13">
        <v>1</v>
      </c>
      <c r="W39" s="92" t="str">
        <v>JPY</v>
      </c>
      <c r="X39" s="97">
        <v>5.5100000000000003E-2</v>
      </c>
      <c r="Y39" s="92">
        <v>666710</v>
      </c>
      <c r="Z39" s="229">
        <v>6.1100000000000002E-2</v>
      </c>
      <c r="AB39" s="13">
        <v>2024</v>
      </c>
      <c r="AC39" s="13">
        <v>9</v>
      </c>
      <c r="AD39" s="13" t="str">
        <v>EAST</v>
      </c>
      <c r="AE39" s="13" t="str">
        <v>C49SHA20240923/ZQR</v>
      </c>
      <c r="AF39" s="13" t="str">
        <v>上海和贤</v>
      </c>
      <c r="AG39" s="13" t="str">
        <v>YSM20WR</v>
      </c>
      <c r="AH39" s="13">
        <v>1</v>
      </c>
      <c r="AI39" s="92" t="str">
        <v>RMB</v>
      </c>
      <c r="AJ39" s="118">
        <v>685278</v>
      </c>
      <c r="AK39" s="97">
        <v>1.1080000000000001</v>
      </c>
      <c r="AL39" s="92">
        <v>671936.30442477891</v>
      </c>
      <c r="AM39" s="229">
        <v>0.12</v>
      </c>
    </row>
    <row r="40" spans="1:39">
      <c r="A40" s="103"/>
      <c r="B40" s="40"/>
      <c r="P40" s="13">
        <v>2024</v>
      </c>
      <c r="Q40" s="13">
        <v>9</v>
      </c>
      <c r="R40" s="13" t="str">
        <v>SOUTH</v>
      </c>
      <c r="S40" s="13" t="str">
        <v>C49SZX20240143EC</v>
      </c>
      <c r="T40" s="13" t="str">
        <v>广泰博</v>
      </c>
      <c r="U40" s="13" t="str">
        <v>YSM20R</v>
      </c>
      <c r="V40" s="13">
        <v>1</v>
      </c>
      <c r="W40" s="92" t="str">
        <v>JPY</v>
      </c>
      <c r="X40" s="97">
        <v>5.5100000000000003E-2</v>
      </c>
      <c r="Y40" s="92">
        <v>650180</v>
      </c>
      <c r="Z40" s="229">
        <v>0.112</v>
      </c>
      <c r="AB40" s="13">
        <v>2024</v>
      </c>
      <c r="AC40" s="13">
        <v>9</v>
      </c>
      <c r="AD40" s="13" t="str">
        <v>EAST</v>
      </c>
      <c r="AE40" s="13" t="str">
        <v>C49SHA20240923/ZQR</v>
      </c>
      <c r="AF40" s="13" t="str">
        <v>上海和贤</v>
      </c>
      <c r="AG40" s="13" t="str">
        <v>YSM20WR</v>
      </c>
      <c r="AH40" s="13">
        <v>1</v>
      </c>
      <c r="AI40" s="92" t="str">
        <v>RMB</v>
      </c>
      <c r="AJ40" s="118">
        <v>685278</v>
      </c>
      <c r="AK40" s="97">
        <v>1.1080000000000001</v>
      </c>
      <c r="AL40" s="92">
        <v>671936.30442477891</v>
      </c>
      <c r="AM40" s="229">
        <v>0.12</v>
      </c>
    </row>
    <row r="41" spans="1:39">
      <c r="A41" s="103"/>
      <c r="B41" s="40"/>
      <c r="P41" s="13">
        <v>2024</v>
      </c>
      <c r="Q41" s="13">
        <v>9</v>
      </c>
      <c r="R41" s="13" t="str">
        <v>SOUTH</v>
      </c>
      <c r="S41" s="13" t="str">
        <v>C49SZX20240143EC</v>
      </c>
      <c r="T41" s="13" t="str">
        <v>广泰博</v>
      </c>
      <c r="U41" s="13" t="str">
        <v>YSM20R</v>
      </c>
      <c r="V41" s="13">
        <v>1</v>
      </c>
      <c r="W41" s="92" t="str">
        <v>JPY</v>
      </c>
      <c r="X41" s="97">
        <v>5.5100000000000003E-2</v>
      </c>
      <c r="Y41" s="92">
        <v>650180</v>
      </c>
      <c r="Z41" s="229">
        <v>0.112</v>
      </c>
      <c r="AB41" s="13">
        <v>2024</v>
      </c>
      <c r="AC41" s="13">
        <v>9</v>
      </c>
      <c r="AD41" s="13" t="str">
        <v>NORTH</v>
      </c>
      <c r="AE41" s="13" t="str">
        <v>C49BJS20240920ZX</v>
      </c>
      <c r="AF41" s="13" t="str">
        <v>三河市汉广</v>
      </c>
      <c r="AG41" s="13" t="str">
        <v>YSM20R</v>
      </c>
      <c r="AH41" s="13">
        <v>1</v>
      </c>
      <c r="AI41" s="92" t="str">
        <v>RMB</v>
      </c>
      <c r="AJ41" s="118">
        <v>820000</v>
      </c>
      <c r="AK41" s="97">
        <v>1.1080000000000001</v>
      </c>
      <c r="AL41" s="92">
        <v>804035.39823008876</v>
      </c>
      <c r="AM41" s="229">
        <v>0.12</v>
      </c>
    </row>
    <row r="42" spans="1:39">
      <c r="A42" s="103"/>
      <c r="B42" s="40"/>
      <c r="P42" s="13">
        <v>2024</v>
      </c>
      <c r="Q42" s="13">
        <v>9</v>
      </c>
      <c r="R42" s="13" t="str">
        <v>SOUTH</v>
      </c>
      <c r="S42" s="13" t="str">
        <v>C49SZX20230115JY</v>
      </c>
      <c r="T42" s="13" t="str">
        <v>万有</v>
      </c>
      <c r="U42" s="13" t="str">
        <v>YSM20R</v>
      </c>
      <c r="V42" s="13">
        <v>1</v>
      </c>
      <c r="W42" s="92" t="str">
        <v>JPY</v>
      </c>
      <c r="X42" s="97">
        <v>5.5100000000000003E-2</v>
      </c>
      <c r="Y42" s="92">
        <v>655690</v>
      </c>
      <c r="Z42" s="229">
        <v>9.74E-2</v>
      </c>
      <c r="AB42" s="13">
        <v>2024</v>
      </c>
      <c r="AC42" s="13">
        <v>9</v>
      </c>
      <c r="AD42" s="13" t="str">
        <v>NORTH</v>
      </c>
      <c r="AE42" s="13" t="str">
        <v>C49BJS20240920ZX</v>
      </c>
      <c r="AF42" s="13" t="str">
        <v>三河市汉广</v>
      </c>
      <c r="AG42" s="13" t="str">
        <v>YSM10</v>
      </c>
      <c r="AH42" s="13">
        <v>1</v>
      </c>
      <c r="AI42" s="92" t="str">
        <v>RMB</v>
      </c>
      <c r="AJ42" s="118">
        <v>723360</v>
      </c>
      <c r="AK42" s="97">
        <v>1.1080000000000001</v>
      </c>
      <c r="AL42" s="92">
        <v>709276.88495575229</v>
      </c>
      <c r="AM42" s="229">
        <v>0.12</v>
      </c>
    </row>
    <row r="43" spans="1:39">
      <c r="A43" s="103"/>
      <c r="B43" s="40"/>
      <c r="P43" s="13">
        <v>2024</v>
      </c>
      <c r="Q43" s="13">
        <v>9</v>
      </c>
      <c r="R43" s="13" t="str">
        <v>SOUTH</v>
      </c>
      <c r="S43" s="13" t="str">
        <v>C49SZX20240121DZ</v>
      </c>
      <c r="T43" s="13" t="str">
        <v>东方广视（end user:南宁欧韦）</v>
      </c>
      <c r="U43" s="13" t="str">
        <v>YSM20R</v>
      </c>
      <c r="V43" s="13">
        <v>1</v>
      </c>
      <c r="W43" s="92" t="str">
        <v>JPY</v>
      </c>
      <c r="X43" s="97">
        <v>5.5100000000000003E-2</v>
      </c>
      <c r="Y43" s="92">
        <v>890663.95000000007</v>
      </c>
      <c r="Z43" s="229">
        <v>0.1193</v>
      </c>
      <c r="AB43" s="13">
        <v>2024</v>
      </c>
      <c r="AC43" s="13">
        <v>9</v>
      </c>
      <c r="AD43" s="13" t="str">
        <v>SOUTH</v>
      </c>
      <c r="AE43" s="13" t="str">
        <v>C49SZX20240166SX</v>
      </c>
      <c r="AF43" s="13" t="str">
        <v>龙腾共创</v>
      </c>
      <c r="AG43" s="13" t="str">
        <v>YSM20R</v>
      </c>
      <c r="AH43" s="13">
        <v>1</v>
      </c>
      <c r="AI43" s="92" t="str">
        <v>RMB</v>
      </c>
      <c r="AJ43" s="118">
        <v>645000</v>
      </c>
      <c r="AK43" s="97">
        <v>1.1080000000000001</v>
      </c>
      <c r="AL43" s="92">
        <v>632442.47787610628</v>
      </c>
      <c r="AM43" s="229">
        <v>0.12</v>
      </c>
    </row>
    <row r="44" spans="1:39">
      <c r="A44" s="103"/>
      <c r="B44" s="40"/>
      <c r="P44" s="13">
        <v>2024</v>
      </c>
      <c r="Q44" s="13">
        <v>9</v>
      </c>
      <c r="R44" s="13" t="str">
        <v>SOUTH</v>
      </c>
      <c r="S44" s="13" t="str">
        <v>C49SZX20240121DZ</v>
      </c>
      <c r="T44" s="13" t="str">
        <v>东方广视（end user:南宁欧韦）</v>
      </c>
      <c r="U44" s="13" t="str">
        <v>YSM20R</v>
      </c>
      <c r="V44" s="13">
        <v>1</v>
      </c>
      <c r="W44" s="92" t="str">
        <v>JPY</v>
      </c>
      <c r="X44" s="97">
        <v>5.5100000000000003E-2</v>
      </c>
      <c r="Y44" s="92">
        <v>890663.95000000007</v>
      </c>
      <c r="Z44" s="229">
        <v>0.1193</v>
      </c>
      <c r="AB44" s="13">
        <v>2024</v>
      </c>
      <c r="AC44" s="13">
        <v>9</v>
      </c>
      <c r="AD44" s="13" t="str">
        <v>SOUTH</v>
      </c>
      <c r="AE44" s="13" t="str">
        <v>C49SZX20240166SX</v>
      </c>
      <c r="AF44" s="13" t="str">
        <v>龙腾共创</v>
      </c>
      <c r="AG44" s="13" t="str">
        <v>YSM20R</v>
      </c>
      <c r="AH44" s="13">
        <v>1</v>
      </c>
      <c r="AI44" s="92" t="str">
        <v>RMB</v>
      </c>
      <c r="AJ44" s="118">
        <v>645000</v>
      </c>
      <c r="AK44" s="97">
        <v>1.1080000000000001</v>
      </c>
      <c r="AL44" s="92">
        <v>632442.47787610628</v>
      </c>
      <c r="AM44" s="229">
        <v>0.12</v>
      </c>
    </row>
    <row r="45" spans="1:39">
      <c r="A45" s="103"/>
      <c r="B45" s="40"/>
      <c r="P45" s="13">
        <v>2024</v>
      </c>
      <c r="Q45" s="13">
        <v>9</v>
      </c>
      <c r="R45" s="13" t="str">
        <v>SOUTH</v>
      </c>
      <c r="S45" s="13" t="str">
        <v>C49SZX20240121DZ</v>
      </c>
      <c r="T45" s="13" t="str">
        <v>东方广视（end user:南宁欧韦）</v>
      </c>
      <c r="U45" s="13" t="str">
        <v>YSM20R</v>
      </c>
      <c r="V45" s="13">
        <v>1</v>
      </c>
      <c r="W45" s="92" t="str">
        <v>JPY</v>
      </c>
      <c r="X45" s="97">
        <v>5.5100000000000003E-2</v>
      </c>
      <c r="Y45" s="92">
        <v>890663.95000000007</v>
      </c>
      <c r="Z45" s="229">
        <v>0.1193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9</v>
      </c>
      <c r="R46" s="13" t="str">
        <v>SOUTH</v>
      </c>
      <c r="S46" s="13" t="str">
        <v>C49SZX20240121DZ</v>
      </c>
      <c r="T46" s="13" t="str">
        <v>东方广视（end user:南宁欧韦）</v>
      </c>
      <c r="U46" s="13" t="str">
        <v>YSM20R</v>
      </c>
      <c r="V46" s="13">
        <v>1</v>
      </c>
      <c r="W46" s="92" t="str">
        <v>JPY</v>
      </c>
      <c r="X46" s="97">
        <v>5.5100000000000003E-2</v>
      </c>
      <c r="Y46" s="92">
        <v>890663.95000000007</v>
      </c>
      <c r="Z46" s="229">
        <v>0.1193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9</v>
      </c>
      <c r="R47" s="13" t="str">
        <v>SOUTH</v>
      </c>
      <c r="S47" s="13" t="str">
        <v>C49SZX20240121DZ</v>
      </c>
      <c r="T47" s="13" t="str">
        <v>东方广视（end user:南宁欧韦）</v>
      </c>
      <c r="U47" s="13" t="str">
        <v>YSM20R</v>
      </c>
      <c r="V47" s="13">
        <v>1</v>
      </c>
      <c r="W47" s="92" t="str">
        <v>JPY</v>
      </c>
      <c r="X47" s="97">
        <v>5.5100000000000003E-2</v>
      </c>
      <c r="Y47" s="92">
        <v>890663.95000000007</v>
      </c>
      <c r="Z47" s="229">
        <v>0.1193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9</v>
      </c>
      <c r="R48" s="13" t="str">
        <v>SOUTH</v>
      </c>
      <c r="S48" s="13" t="str">
        <v>C49SZX20240121DZ</v>
      </c>
      <c r="T48" s="13" t="str">
        <v>东方广视（end user:南宁欧韦）</v>
      </c>
      <c r="U48" s="13" t="str">
        <v>YSM20R</v>
      </c>
      <c r="V48" s="13">
        <v>1</v>
      </c>
      <c r="W48" s="92" t="str">
        <v>JPY</v>
      </c>
      <c r="X48" s="97">
        <v>5.5100000000000003E-2</v>
      </c>
      <c r="Y48" s="92">
        <v>890663.95000000007</v>
      </c>
      <c r="Z48" s="229">
        <v>0.1193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9</v>
      </c>
      <c r="R49" s="13" t="str">
        <v>SOUTH</v>
      </c>
      <c r="S49" s="13" t="str">
        <v>C49SZX20240130SX</v>
      </c>
      <c r="T49" s="13" t="str">
        <v>锋达</v>
      </c>
      <c r="U49" s="13" t="str">
        <v>YSM10</v>
      </c>
      <c r="V49" s="13">
        <v>1</v>
      </c>
      <c r="W49" s="92" t="str">
        <v>JPY</v>
      </c>
      <c r="X49" s="97">
        <v>5.5100000000000003E-2</v>
      </c>
      <c r="Y49" s="92">
        <v>413250</v>
      </c>
      <c r="Z49" s="229">
        <v>0.1024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9</v>
      </c>
      <c r="R50" s="13" t="str">
        <v>NORTH</v>
      </c>
      <c r="S50" s="13" t="str">
        <v>C49BJS20240703XHH</v>
      </c>
      <c r="T50" s="13" t="str">
        <v>北京玉瑞飞鸿</v>
      </c>
      <c r="U50" s="13" t="str">
        <v>YSM20R</v>
      </c>
      <c r="V50" s="13">
        <v>1</v>
      </c>
      <c r="W50" s="92" t="str">
        <v>RMB</v>
      </c>
      <c r="X50" s="97">
        <v>1.0980000000000001</v>
      </c>
      <c r="Y50" s="92">
        <v>738477.8761061948</v>
      </c>
      <c r="Z50" s="229">
        <v>5.1900000000000002E-2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9</v>
      </c>
      <c r="R51" s="13" t="str">
        <v>NORTH</v>
      </c>
      <c r="S51" s="13" t="str">
        <v>C49BJS20240703XHH</v>
      </c>
      <c r="T51" s="13" t="str">
        <v>北京玉瑞飞鸿</v>
      </c>
      <c r="U51" s="13" t="str">
        <v>YSM10</v>
      </c>
      <c r="V51" s="13">
        <v>1</v>
      </c>
      <c r="W51" s="92" t="str">
        <v>RMB</v>
      </c>
      <c r="X51" s="97">
        <v>1.0980000000000001</v>
      </c>
      <c r="Y51" s="92">
        <v>534424.77876106207</v>
      </c>
      <c r="Z51" s="229">
        <v>5.1900000000000002E-2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9</v>
      </c>
      <c r="R52" s="13" t="str">
        <v>NORTH</v>
      </c>
      <c r="S52" s="13" t="str">
        <v>C49BJS20240703XHH</v>
      </c>
      <c r="T52" s="13" t="str">
        <v>北京玉瑞飞鸿</v>
      </c>
      <c r="U52" s="13" t="str">
        <v>YSM10</v>
      </c>
      <c r="V52" s="13">
        <v>1</v>
      </c>
      <c r="W52" s="92" t="str">
        <v>RMB</v>
      </c>
      <c r="X52" s="97">
        <v>1.0980000000000001</v>
      </c>
      <c r="Y52" s="92">
        <v>534424.77876106207</v>
      </c>
      <c r="Z52" s="229">
        <v>5.1900000000000002E-2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9</v>
      </c>
      <c r="R53" s="13" t="str">
        <v>NORTH</v>
      </c>
      <c r="S53" s="13" t="str">
        <v>C49BJS20240703XHH</v>
      </c>
      <c r="T53" s="13" t="str">
        <v>北京玉瑞飞鸿</v>
      </c>
      <c r="U53" s="13" t="str">
        <v>YSM10</v>
      </c>
      <c r="V53" s="13">
        <v>1</v>
      </c>
      <c r="W53" s="92" t="str">
        <v>RMB</v>
      </c>
      <c r="X53" s="97">
        <v>1.0980000000000001</v>
      </c>
      <c r="Y53" s="92">
        <v>534424.77876106207</v>
      </c>
      <c r="Z53" s="229">
        <v>5.1900000000000002E-2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9</v>
      </c>
      <c r="R54" s="13" t="str">
        <v>SOUTH</v>
      </c>
      <c r="S54" s="13" t="str">
        <v>HT20240717016</v>
      </c>
      <c r="T54" s="13" t="str">
        <v>德赛西威</v>
      </c>
      <c r="U54" s="13" t="str">
        <v>YSM20R</v>
      </c>
      <c r="V54" s="13">
        <v>1</v>
      </c>
      <c r="W54" s="92" t="str">
        <v>RMB</v>
      </c>
      <c r="X54" s="97">
        <v>1.0980000000000001</v>
      </c>
      <c r="Y54" s="92">
        <v>1542544.5150000001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9</v>
      </c>
      <c r="R55" s="13" t="str">
        <v>SOUTH</v>
      </c>
      <c r="S55" s="13" t="str">
        <v>HT20240717016</v>
      </c>
      <c r="T55" s="13" t="str">
        <v>德赛西威</v>
      </c>
      <c r="U55" s="13" t="str">
        <v>YSM20R</v>
      </c>
      <c r="V55" s="13">
        <v>1</v>
      </c>
      <c r="W55" s="92" t="str">
        <v>RMB</v>
      </c>
      <c r="X55" s="97">
        <v>1.0980000000000001</v>
      </c>
      <c r="Y55" s="92">
        <v>1542544.5150000001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9</v>
      </c>
      <c r="R56" s="13" t="str">
        <v>SOUTH</v>
      </c>
      <c r="S56" s="13" t="str">
        <v>HT20240717016</v>
      </c>
      <c r="T56" s="13" t="str">
        <v>德赛西威</v>
      </c>
      <c r="U56" s="13" t="str">
        <v>YSM20R</v>
      </c>
      <c r="V56" s="13">
        <v>1</v>
      </c>
      <c r="W56" s="92" t="str">
        <v>RMB</v>
      </c>
      <c r="X56" s="97">
        <v>1.0980000000000001</v>
      </c>
      <c r="Y56" s="92">
        <v>1542544.5150000001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9</v>
      </c>
      <c r="R57" s="13" t="str">
        <v>SOUTH</v>
      </c>
      <c r="S57" s="13" t="str">
        <v>HT20240717016</v>
      </c>
      <c r="T57" s="13" t="str">
        <v>德赛西威</v>
      </c>
      <c r="U57" s="13" t="str">
        <v>YSM20R</v>
      </c>
      <c r="V57" s="13">
        <v>1</v>
      </c>
      <c r="W57" s="92" t="str">
        <v>RMB</v>
      </c>
      <c r="X57" s="97">
        <v>1.0980000000000001</v>
      </c>
      <c r="Y57" s="92">
        <v>1542544.5150000001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9</v>
      </c>
      <c r="R58" s="13" t="str">
        <v>SOUTH</v>
      </c>
      <c r="S58" s="13" t="str">
        <v>C49SZX20240091R1SQ</v>
      </c>
      <c r="T58" s="13" t="str">
        <v>惠鑫（end user: 鑫航）</v>
      </c>
      <c r="U58" s="13" t="str">
        <v>YSM20R</v>
      </c>
      <c r="V58" s="13">
        <v>1</v>
      </c>
      <c r="W58" s="92" t="str">
        <v>JPY</v>
      </c>
      <c r="X58" s="97">
        <v>5.5100000000000003E-2</v>
      </c>
      <c r="Y58" s="92">
        <v>676628</v>
      </c>
      <c r="Z58" s="229">
        <v>0.1111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9</v>
      </c>
      <c r="R59" s="13" t="str">
        <v>EAST</v>
      </c>
      <c r="S59" s="13" t="str">
        <v>C49SHA20240708/HZY</v>
      </c>
      <c r="T59" s="13" t="str">
        <v>宁波市科可五金</v>
      </c>
      <c r="U59" s="13" t="str">
        <v>YSM10</v>
      </c>
      <c r="V59" s="13">
        <v>1</v>
      </c>
      <c r="W59" s="92" t="str">
        <v>RMB</v>
      </c>
      <c r="X59" s="97">
        <v>1.0980000000000001</v>
      </c>
      <c r="Y59" s="92">
        <v>420737.08141592931</v>
      </c>
      <c r="Z59" s="229">
        <v>8.5199999999999998E-2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9</v>
      </c>
      <c r="R60" s="13" t="str">
        <v>SOUTH</v>
      </c>
      <c r="S60" s="13" t="str">
        <v>C49SZX20240142DX</v>
      </c>
      <c r="T60" s="13" t="str">
        <v>升启（end user:倍美斯）</v>
      </c>
      <c r="U60" s="13" t="str">
        <v>YSM20R</v>
      </c>
      <c r="V60" s="13">
        <v>1</v>
      </c>
      <c r="W60" s="92" t="str">
        <v>JPY</v>
      </c>
      <c r="X60" s="97">
        <v>5.5100000000000003E-2</v>
      </c>
      <c r="Y60" s="92">
        <v>727871</v>
      </c>
      <c r="Z60" s="229">
        <v>9.6000000000000002E-2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9</v>
      </c>
      <c r="R61" s="13" t="str">
        <v>SOUTH</v>
      </c>
      <c r="S61" s="13" t="str">
        <v>C49SZX20240139SS</v>
      </c>
      <c r="T61" s="13" t="str">
        <v>三丽（End user:东莞长志）</v>
      </c>
      <c r="U61" s="13" t="str">
        <v>YSM20R</v>
      </c>
      <c r="V61" s="13">
        <v>1</v>
      </c>
      <c r="W61" s="92" t="str">
        <v>RMB</v>
      </c>
      <c r="X61" s="97">
        <v>1.0980000000000001</v>
      </c>
      <c r="Y61" s="90">
        <v>655884.95575221255</v>
      </c>
      <c r="Z61" s="229">
        <v>0.1285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9</v>
      </c>
      <c r="R62" s="13" t="str">
        <v>SOUTH</v>
      </c>
      <c r="S62" s="13" t="str">
        <v>C49SZX20240151JL</v>
      </c>
      <c r="T62" s="13" t="str">
        <v>惠州狂热者</v>
      </c>
      <c r="U62" s="13" t="str">
        <v>YSM20R</v>
      </c>
      <c r="V62" s="13">
        <v>1</v>
      </c>
      <c r="W62" s="92" t="str">
        <v>RMB</v>
      </c>
      <c r="X62" s="97">
        <v>1.0980000000000001</v>
      </c>
      <c r="Y62" s="90">
        <v>757911.50442477886</v>
      </c>
      <c r="Z62" s="229">
        <v>0.125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9</v>
      </c>
      <c r="R63" s="13" t="str">
        <v>SOUTH</v>
      </c>
      <c r="S63" s="13" t="str">
        <v>C49SZX20240151JL</v>
      </c>
      <c r="T63" s="13" t="str">
        <v>惠州狂热者</v>
      </c>
      <c r="U63" s="13" t="str">
        <v>YSM10</v>
      </c>
      <c r="V63" s="13">
        <v>1</v>
      </c>
      <c r="W63" s="92" t="str">
        <v>RMB</v>
      </c>
      <c r="X63" s="97">
        <v>1.0980000000000001</v>
      </c>
      <c r="Y63" s="90">
        <v>554830.08849557536</v>
      </c>
      <c r="Z63" s="229">
        <v>0.125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9</v>
      </c>
      <c r="R64" s="13" t="str">
        <v>SOUTH</v>
      </c>
      <c r="S64" s="13" t="str">
        <v>C49SZX20240152JL</v>
      </c>
      <c r="T64" s="13" t="str">
        <v>深圳狂热者</v>
      </c>
      <c r="U64" s="13" t="str">
        <v>YSM10</v>
      </c>
      <c r="V64" s="13">
        <v>1</v>
      </c>
      <c r="W64" s="92" t="str">
        <v>JPY</v>
      </c>
      <c r="X64" s="97">
        <v>5.5100000000000003E-2</v>
      </c>
      <c r="Y64" s="90">
        <v>739993</v>
      </c>
      <c r="Z64" s="229">
        <v>0.3362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9</v>
      </c>
      <c r="R65" s="13" t="str">
        <v>EAST</v>
      </c>
      <c r="S65" s="13" t="str">
        <v>C49SHA20240814/TWB</v>
      </c>
      <c r="T65" s="13" t="str">
        <v>杭州利嘉城</v>
      </c>
      <c r="U65" s="13" t="str">
        <v>YSM20R</v>
      </c>
      <c r="V65" s="13">
        <v>1</v>
      </c>
      <c r="W65" s="92" t="str">
        <v>RMB</v>
      </c>
      <c r="X65" s="97">
        <v>1.0980000000000001</v>
      </c>
      <c r="Y65" s="90">
        <v>653455.75221238949</v>
      </c>
      <c r="Z65" s="229">
        <v>7.8299999999999995E-2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9</v>
      </c>
      <c r="R66" s="13" t="str">
        <v>EAST</v>
      </c>
      <c r="S66" s="13" t="str">
        <v>C49SHA20240814/TWB</v>
      </c>
      <c r="T66" s="13" t="str">
        <v>杭州利嘉城</v>
      </c>
      <c r="U66" s="13" t="str">
        <v>YSM20R</v>
      </c>
      <c r="V66" s="13">
        <v>1</v>
      </c>
      <c r="W66" s="92" t="str">
        <v>RMB</v>
      </c>
      <c r="X66" s="97">
        <v>1.0980000000000001</v>
      </c>
      <c r="Y66" s="90">
        <v>653455.75221238949</v>
      </c>
      <c r="Z66" s="229">
        <v>7.8299999999999995E-2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>
        <v>2024</v>
      </c>
      <c r="Q67" s="13">
        <v>9</v>
      </c>
      <c r="R67" s="13" t="str">
        <v>EAST</v>
      </c>
      <c r="S67" s="13" t="str">
        <v>C49SHA20240814/TWB</v>
      </c>
      <c r="T67" s="13" t="str">
        <v>杭州利嘉城</v>
      </c>
      <c r="U67" s="13" t="str">
        <v>YSM10</v>
      </c>
      <c r="V67" s="13">
        <v>1</v>
      </c>
      <c r="W67" s="92" t="str">
        <v>RMB</v>
      </c>
      <c r="X67" s="97">
        <v>1.0980000000000001</v>
      </c>
      <c r="Y67" s="90">
        <v>386243.36283185845</v>
      </c>
      <c r="Z67" s="229">
        <v>7.8299999999999995E-2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>
        <v>2024</v>
      </c>
      <c r="Q68" s="13">
        <v>9</v>
      </c>
      <c r="R68" s="13" t="str">
        <v>EAST</v>
      </c>
      <c r="S68" s="13" t="str">
        <v>C49SHA20240814/TWB</v>
      </c>
      <c r="T68" s="13" t="str">
        <v>杭州利嘉城</v>
      </c>
      <c r="U68" s="13" t="str">
        <v>YSM10</v>
      </c>
      <c r="V68" s="13">
        <v>1</v>
      </c>
      <c r="W68" s="92" t="str">
        <v>RMB</v>
      </c>
      <c r="X68" s="97">
        <v>1.0980000000000001</v>
      </c>
      <c r="Y68" s="90">
        <v>386243.36283185845</v>
      </c>
      <c r="Z68" s="229">
        <v>7.8299999999999995E-2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>
        <v>2024</v>
      </c>
      <c r="Q69" s="13">
        <v>9</v>
      </c>
      <c r="R69" s="13" t="str">
        <v>WEST</v>
      </c>
      <c r="S69" s="13" t="str">
        <v>C28XIY20231222/LJY</v>
      </c>
      <c r="T69" s="13" t="str">
        <v>河南铨宝电子</v>
      </c>
      <c r="U69" s="13" t="str">
        <v>YSi-V</v>
      </c>
      <c r="V69" s="13">
        <v>1</v>
      </c>
      <c r="W69" s="92" t="str">
        <v>RMB</v>
      </c>
      <c r="X69" s="97">
        <v>1.0980000000000001</v>
      </c>
      <c r="Y69" s="90">
        <v>340088.49557522126</v>
      </c>
      <c r="Z69" s="229">
        <v>0.18049999999999999</v>
      </c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>
        <v>2024</v>
      </c>
      <c r="Q70" s="13">
        <v>9</v>
      </c>
      <c r="R70" s="13" t="str">
        <v>SOUTH</v>
      </c>
      <c r="S70" s="13" t="str">
        <v>C49SZX20240148SX</v>
      </c>
      <c r="T70" s="13" t="str">
        <v>锐诚</v>
      </c>
      <c r="U70" s="13" t="str">
        <v>YSM20R</v>
      </c>
      <c r="V70" s="13">
        <v>1</v>
      </c>
      <c r="W70" s="92" t="str">
        <v>RMB</v>
      </c>
      <c r="X70" s="97">
        <v>1.0980000000000001</v>
      </c>
      <c r="Y70" s="90">
        <v>787061.94690265507</v>
      </c>
      <c r="Z70" s="229">
        <v>0.13669999999999999</v>
      </c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>
        <v>2024</v>
      </c>
      <c r="Q71" s="13">
        <v>9</v>
      </c>
      <c r="R71" s="13" t="str">
        <v>SOUTH</v>
      </c>
      <c r="S71" s="13" t="str">
        <v>C49SZX20240160SX</v>
      </c>
      <c r="T71" s="13" t="str">
        <v>莫思特</v>
      </c>
      <c r="U71" s="13" t="str">
        <v>YRM20</v>
      </c>
      <c r="V71" s="13">
        <v>1</v>
      </c>
      <c r="W71" s="92" t="str">
        <v>RMB</v>
      </c>
      <c r="X71" s="97">
        <v>1.0980000000000001</v>
      </c>
      <c r="Y71" s="90">
        <v>757849.31681415951</v>
      </c>
      <c r="Z71" s="229">
        <v>0.15809999999999999</v>
      </c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>
        <v>2024</v>
      </c>
      <c r="Q72" s="13">
        <v>9</v>
      </c>
      <c r="R72" s="13" t="str">
        <v>WEST</v>
      </c>
      <c r="S72" s="13">
        <v>0</v>
      </c>
      <c r="T72" s="13">
        <v>0</v>
      </c>
      <c r="U72" s="13" t="str">
        <v>C66 SERVICE</v>
      </c>
      <c r="V72" s="13">
        <v>0</v>
      </c>
      <c r="W72" s="92">
        <v>0</v>
      </c>
      <c r="X72" s="97">
        <v>0</v>
      </c>
      <c r="Y72" s="90">
        <v>79000</v>
      </c>
      <c r="Z72" s="229">
        <v>0.3</v>
      </c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>
        <v>2024</v>
      </c>
      <c r="Q73" s="13">
        <v>9</v>
      </c>
      <c r="R73" s="13" t="str">
        <v>NORTH</v>
      </c>
      <c r="S73" s="13">
        <v>0</v>
      </c>
      <c r="T73" s="13">
        <v>0</v>
      </c>
      <c r="U73" s="13" t="str">
        <v>C66 SERVICE</v>
      </c>
      <c r="V73" s="13">
        <v>0</v>
      </c>
      <c r="W73" s="92">
        <v>0</v>
      </c>
      <c r="X73" s="97">
        <v>0</v>
      </c>
      <c r="Y73" s="90">
        <v>65000</v>
      </c>
      <c r="Z73" s="229">
        <v>0.3</v>
      </c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>
        <v>2024</v>
      </c>
      <c r="Q74" s="13">
        <v>9</v>
      </c>
      <c r="R74" s="13" t="str">
        <v>EAST</v>
      </c>
      <c r="S74" s="13">
        <v>0</v>
      </c>
      <c r="T74" s="13">
        <v>0</v>
      </c>
      <c r="U74" s="13" t="str">
        <v>C66 SERVICE</v>
      </c>
      <c r="V74" s="13">
        <v>0</v>
      </c>
      <c r="W74" s="92">
        <v>0</v>
      </c>
      <c r="X74" s="97">
        <v>0</v>
      </c>
      <c r="Y74" s="90">
        <v>6000</v>
      </c>
      <c r="Z74" s="229">
        <v>0.3</v>
      </c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>
        <v>2024</v>
      </c>
      <c r="Q75" s="13">
        <v>9</v>
      </c>
      <c r="R75" s="13" t="str">
        <v>SOUTH</v>
      </c>
      <c r="S75" s="13">
        <v>0</v>
      </c>
      <c r="T75" s="13">
        <v>0</v>
      </c>
      <c r="U75" s="13" t="str">
        <v>C66 SERVICE</v>
      </c>
      <c r="V75" s="13">
        <v>0</v>
      </c>
      <c r="W75" s="92">
        <v>0</v>
      </c>
      <c r="X75" s="97">
        <v>0</v>
      </c>
      <c r="Y75" s="90">
        <v>211000</v>
      </c>
      <c r="Z75" s="229">
        <v>0.3</v>
      </c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16" bestFit="1" customWidth="1"/>
    <col min="2" max="2" width="10.6640625" style="15"/>
    <col min="3" max="3" width="17.6640625" style="114" bestFit="1" customWidth="1"/>
    <col min="4" max="4" width="20.164062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2024-10-09T13:16:09Z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