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885" documentId="13_ncr:1_{09AB83A8-F969-4E8F-9034-FBDE56616B19}" xr6:coauthVersionLast="47" xr6:coauthVersionMax="47" xr10:uidLastSave="{28296D2A-0920-4FA4-88A9-CEF12383CBBA}"/>
  <bookViews>
    <workbookView xWindow="528" yWindow="0" windowWidth="22464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976" i="1" l="1"/>
  <c r="AT3976" i="1" s="1"/>
  <c r="AS3977" i="1"/>
  <c r="AT3977" i="1"/>
  <c r="AS3978" i="1"/>
  <c r="AT3978" i="1" s="1"/>
  <c r="AS3979" i="1"/>
  <c r="AT3979" i="1" s="1"/>
  <c r="AS3980" i="1"/>
  <c r="AT3980" i="1" s="1"/>
  <c r="AS3981" i="1"/>
  <c r="AT3981" i="1"/>
  <c r="AS3982" i="1"/>
  <c r="AT3982" i="1" s="1"/>
  <c r="E3896" i="1"/>
  <c r="E3897" i="1"/>
  <c r="E3898" i="1"/>
  <c r="E3899" i="1"/>
  <c r="E3900" i="1"/>
  <c r="E3901" i="1"/>
  <c r="E3902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AI3977" i="1" l="1"/>
  <c r="AJ3977" i="1"/>
  <c r="AK3977" i="1" s="1"/>
  <c r="AJ3983" i="1"/>
  <c r="AK3983" i="1" s="1"/>
  <c r="AI3983" i="1"/>
  <c r="AI3990" i="1"/>
  <c r="AJ3990" i="1"/>
  <c r="AK3990" i="1" s="1"/>
  <c r="AI3982" i="1"/>
  <c r="AJ3982" i="1"/>
  <c r="AK3982" i="1" s="1"/>
  <c r="AI3984" i="1"/>
  <c r="AJ3984" i="1"/>
  <c r="AK3984" i="1" s="1"/>
  <c r="AJ3981" i="1"/>
  <c r="AK3981" i="1" s="1"/>
  <c r="AI3981" i="1"/>
  <c r="AJ3980" i="1"/>
  <c r="AK3980" i="1" s="1"/>
  <c r="AI3980" i="1"/>
  <c r="AI3978" i="1"/>
  <c r="AJ3978" i="1"/>
  <c r="AK3978" i="1" s="1"/>
  <c r="AJ3979" i="1"/>
  <c r="AK3979" i="1" s="1"/>
  <c r="AI3979" i="1"/>
  <c r="E615" i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AB3971" i="1" s="1"/>
  <c r="AC3971" i="1" s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59" i="1" l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I3897" i="1"/>
  <c r="I3898" i="1"/>
  <c r="I3899" i="1"/>
  <c r="I3900" i="1"/>
  <c r="I3901" i="1"/>
  <c r="I3902" i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I3989" i="1" l="1"/>
  <c r="AJ3989" i="1"/>
  <c r="AK3989" i="1" s="1"/>
  <c r="AJ3988" i="1"/>
  <c r="AK3988" i="1" s="1"/>
  <c r="AI3988" i="1"/>
  <c r="AI3987" i="1"/>
  <c r="AJ3987" i="1"/>
  <c r="AK3987" i="1" s="1"/>
  <c r="AJ3986" i="1"/>
  <c r="AK3986" i="1" s="1"/>
  <c r="AI3986" i="1"/>
  <c r="AJ3985" i="1"/>
  <c r="AK3985" i="1" s="1"/>
  <c r="AI3985" i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AJ3993" i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B3343" i="1"/>
  <c r="AC3343" i="1" s="1"/>
  <c r="AJ3991" i="1"/>
  <c r="AK3991" i="1" s="1"/>
  <c r="AI3991" i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976" i="1" l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73" i="1" l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<sst xmlns="http://schemas.openxmlformats.org/spreadsheetml/2006/main" count="47332" uniqueCount="3736">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</sst>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2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964" activePane="bottomLeft" state="frozen"/>
      <selection activeCell="L1" sqref="L1"/>
      <selection pane="bottomLeft" activeCell="AJ3960" sqref="AJ396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16938722.68141593</v>
      </c>
      <c r="AJ80" s="19">
        <f t="shared" si="24"/>
        <v>1963521.6067699119</v>
      </c>
      <c r="AK80" s="20">
        <f t="shared" si="25"/>
        <v>0.11591910698934582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16938722.68141593</v>
      </c>
      <c r="AJ250" s="19">
        <f t="shared" si="77"/>
        <v>1963521.6067699119</v>
      </c>
      <c r="AK250" s="20">
        <f t="shared" si="78"/>
        <v>0.11591910698934582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16938722.68141593</v>
      </c>
      <c r="AJ310" s="19">
        <f t="shared" si="97"/>
        <v>1963521.6067699119</v>
      </c>
      <c r="AK310" s="20">
        <f t="shared" si="98"/>
        <v>0.11591910698934582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16938722.68141593</v>
      </c>
      <c r="AJ311" s="19">
        <f t="shared" si="97"/>
        <v>1963521.6067699119</v>
      </c>
      <c r="AK311" s="20">
        <f t="shared" si="98"/>
        <v>0.11591910698934582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16938722.68141593</v>
      </c>
      <c r="AJ342" s="19">
        <f t="shared" si="116"/>
        <v>1963521.6067699119</v>
      </c>
      <c r="AK342" s="20">
        <f t="shared" si="117"/>
        <v>0.11591910698934582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16938722.68141593</v>
      </c>
      <c r="AJ343" s="19">
        <f t="shared" si="116"/>
        <v>1963521.6067699119</v>
      </c>
      <c r="AK343" s="20">
        <f t="shared" si="117"/>
        <v>0.11591910698934582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16938722.68141593</v>
      </c>
      <c r="AJ505" s="19">
        <f t="shared" si="152"/>
        <v>1963521.6067699119</v>
      </c>
      <c r="AK505" s="20">
        <f t="shared" si="153"/>
        <v>0.11591910698934582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16938722.68141593</v>
      </c>
      <c r="AJ506" s="19">
        <f t="shared" si="152"/>
        <v>1963521.6067699119</v>
      </c>
      <c r="AK506" s="20">
        <f t="shared" si="153"/>
        <v>0.11591910698934582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16938722.68141593</v>
      </c>
      <c r="AJ507" s="19">
        <f t="shared" si="152"/>
        <v>1963521.6067699119</v>
      </c>
      <c r="AK507" s="20">
        <f t="shared" si="153"/>
        <v>0.11591910698934582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16938722.68141593</v>
      </c>
      <c r="AJ508" s="19">
        <f t="shared" si="152"/>
        <v>1963521.6067699119</v>
      </c>
      <c r="AK508" s="20">
        <f t="shared" si="153"/>
        <v>0.11591910698934582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16938722.68141593</v>
      </c>
      <c r="AJ540" s="19">
        <f t="shared" si="170"/>
        <v>1963521.6067699119</v>
      </c>
      <c r="AK540" s="20">
        <f t="shared" si="171"/>
        <v>0.11591910698934582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16938722.68141593</v>
      </c>
      <c r="AJ541" s="19">
        <f t="shared" si="170"/>
        <v>1963521.6067699119</v>
      </c>
      <c r="AK541" s="20">
        <f t="shared" si="171"/>
        <v>0.11591910698934582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16938722.68141593</v>
      </c>
      <c r="AJ542" s="19">
        <f t="shared" si="170"/>
        <v>1963521.6067699119</v>
      </c>
      <c r="AK542" s="20">
        <f t="shared" si="171"/>
        <v>0.11591910698934582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16938722.68141593</v>
      </c>
      <c r="AJ622" s="19">
        <f t="shared" si="189"/>
        <v>1963521.6067699119</v>
      </c>
      <c r="AK622" s="20">
        <f t="shared" si="190"/>
        <v>0.11591910698934582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16938722.68141593</v>
      </c>
      <c r="AJ633" s="19">
        <f t="shared" si="189"/>
        <v>1963521.6067699119</v>
      </c>
      <c r="AK633" s="20">
        <f t="shared" si="190"/>
        <v>0.11591910698934582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16938722.68141593</v>
      </c>
      <c r="AJ634" s="19">
        <f t="shared" si="189"/>
        <v>1963521.6067699119</v>
      </c>
      <c r="AK634" s="20">
        <f t="shared" si="190"/>
        <v>0.11591910698934582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16938722.68141593</v>
      </c>
      <c r="AJ1429" s="19">
        <f t="shared" si="430"/>
        <v>1963521.6067699119</v>
      </c>
      <c r="AK1429" s="20">
        <f t="shared" si="431"/>
        <v>0.11591910698934582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16938722.68141593</v>
      </c>
      <c r="AJ1430" s="19">
        <f t="shared" si="430"/>
        <v>1963521.6067699119</v>
      </c>
      <c r="AK1430" s="20">
        <f t="shared" si="431"/>
        <v>0.11591910698934582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16938722.68141593</v>
      </c>
      <c r="AJ1434" s="19">
        <f t="shared" si="430"/>
        <v>1963521.6067699119</v>
      </c>
      <c r="AK1434" s="20">
        <f t="shared" si="431"/>
        <v>0.11591910698934582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16938722.68141593</v>
      </c>
      <c r="AJ1632" s="19">
        <f t="shared" si="484"/>
        <v>1963521.6067699119</v>
      </c>
      <c r="AK1632" s="20">
        <f t="shared" si="485"/>
        <v>0.11591910698934582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16938722.68141593</v>
      </c>
      <c r="AJ3161" s="19">
        <f t="shared" si="940"/>
        <v>1963521.6067699119</v>
      </c>
      <c r="AK3161" s="20">
        <f t="shared" si="941"/>
        <v>0.11591910698934582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18049063.654867258</v>
      </c>
      <c r="AJ3786" s="27">
        <f t="shared" si="1155"/>
        <v>2165887.6385840713</v>
      </c>
      <c r="AK3786" s="240">
        <f t="shared" si="1144"/>
        <v>0.12000000000000002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18049063.654867258</v>
      </c>
      <c r="AJ3787" s="27">
        <f t="shared" si="1155"/>
        <v>2165887.6385840713</v>
      </c>
      <c r="AK3787" s="240">
        <f t="shared" si="1144"/>
        <v>0.12000000000000002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18049063.654867258</v>
      </c>
      <c r="AJ3792" s="27">
        <f t="shared" si="1155"/>
        <v>2165887.6385840713</v>
      </c>
      <c r="AK3792" s="240">
        <f t="shared" si="1144"/>
        <v>0.12000000000000002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18049063.654867258</v>
      </c>
      <c r="AJ3793" s="27">
        <f t="shared" si="1155"/>
        <v>2165887.6385840713</v>
      </c>
      <c r="AK3793" s="240">
        <f t="shared" si="1144"/>
        <v>0.12000000000000002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18049063.654867258</v>
      </c>
      <c r="AJ3794" s="27">
        <f t="shared" si="1155"/>
        <v>2165887.6385840713</v>
      </c>
      <c r="AK3794" s="240">
        <f t="shared" si="1144"/>
        <v>0.12000000000000002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18049063.654867258</v>
      </c>
      <c r="AJ3824" s="27">
        <f t="shared" si="1155"/>
        <v>2165887.6385840713</v>
      </c>
      <c r="AK3824" s="240">
        <f t="shared" si="1162"/>
        <v>0.12000000000000002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3637</v>
      </c>
      <c r="K3833" s="248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18049063.654867258</v>
      </c>
      <c r="AJ3833" s="27">
        <f t="shared" si="1155"/>
        <v>2165887.6385840713</v>
      </c>
      <c r="AK3833" s="240">
        <f t="shared" si="1162"/>
        <v>0.12000000000000002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18049063.654867258</v>
      </c>
      <c r="AJ3848" s="27">
        <f t="shared" si="1173"/>
        <v>2165887.6385840713</v>
      </c>
      <c r="AK3848" s="240">
        <f t="shared" si="1162"/>
        <v>0.12000000000000002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18049063.654867258</v>
      </c>
      <c r="AJ3859" s="200">
        <f t="shared" si="1173"/>
        <v>2165887.6385840713</v>
      </c>
      <c r="AK3859" s="201">
        <f t="shared" si="1162"/>
        <v>0.12000000000000002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18049063.654867258</v>
      </c>
      <c r="AJ3866" s="200">
        <f t="shared" si="1173"/>
        <v>2165887.6385840713</v>
      </c>
      <c r="AK3866" s="201">
        <f t="shared" si="1162"/>
        <v>0.12000000000000002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18049063.654867258</v>
      </c>
      <c r="AJ3867" s="200">
        <f t="shared" si="1173"/>
        <v>2165887.6385840713</v>
      </c>
      <c r="AK3867" s="201">
        <f t="shared" si="1162"/>
        <v>0.12000000000000002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48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18049063.654867258</v>
      </c>
      <c r="AJ3874" s="200">
        <f t="shared" si="1173"/>
        <v>2165887.6385840713</v>
      </c>
      <c r="AK3874" s="201">
        <f t="shared" si="1180"/>
        <v>0.12000000000000002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18049063.654867258</v>
      </c>
      <c r="AJ3879" s="200">
        <f t="shared" si="1173"/>
        <v>2165887.6385840713</v>
      </c>
      <c r="AK3879" s="201">
        <f t="shared" si="1180"/>
        <v>0.12000000000000002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18049063.654867258</v>
      </c>
      <c r="AJ3882" s="200">
        <f t="shared" si="1173"/>
        <v>2165887.6385840713</v>
      </c>
      <c r="AK3882" s="201">
        <f t="shared" si="1180"/>
        <v>0.12000000000000002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18049063.654867258</v>
      </c>
      <c r="AJ3883" s="200">
        <f t="shared" si="1173"/>
        <v>2165887.6385840713</v>
      </c>
      <c r="AK3883" s="201">
        <f t="shared" si="1180"/>
        <v>0.12000000000000002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e">
        <f>IF(#REF!="","",IF(AND(COUNTIFS($J$18:J3896,J3896)=1,#REF!&lt;&gt;""),1,""))</f>
        <v>#REF!</v>
      </c>
      <c r="AI3896" s="200">
        <f>IF(P3896="C66 SERVICE","",SUMIFS(AB:AB,F:F,F3896,G:G,#REF!,E:E,E3896))</f>
        <v>0</v>
      </c>
      <c r="AJ3896" s="200">
        <f>IF(P3896="C66 SERVICE","",SUMIFS(AC:AC,F:F,F3896,G:G,#REF!,E:E,E3896))</f>
        <v>0</v>
      </c>
      <c r="AK3896" s="201" t="str">
        <f t="shared" si="1180"/>
        <v/>
      </c>
      <c r="AL3896" s="24"/>
      <c r="AM3896" s="24"/>
      <c r="AN3896" s="24"/>
      <c r="AO3896" s="24"/>
      <c r="AP3896" s="165" t="e">
        <f>IF(F3896="","",F3896&amp;#REF!)</f>
        <v>#REF!</v>
      </c>
      <c r="AQ3896" s="203" t="e">
        <f>IF(W3896="","",F3896&amp;#REF!&amp;W3896)</f>
        <v>#REF!</v>
      </c>
      <c r="AR3896" s="206" t="str">
        <f t="shared" si="1183"/>
        <v>YAMAHA_Non_Mounter</v>
      </c>
      <c r="AS3896" s="22" t="str">
        <f>IFERROR(IF(OR(#REF!="TBA",#REF!= ""), "", DATEDIF(DATE(B3896, C3896, 1), DATE(F3896,#REF!, 1), "M")),"")</f>
        <v/>
      </c>
      <c r="AT3896" s="24" t="str">
        <f t="shared" si="1185"/>
        <v/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30253303.159292053</v>
      </c>
      <c r="AJ3906" s="200">
        <f t="shared" ref="AJ3906:AJ3969" si="1191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30253303.159292053</v>
      </c>
      <c r="AJ3907" s="200">
        <f t="shared" si="1191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30253303.159292053</v>
      </c>
      <c r="AJ3908" s="200">
        <f t="shared" si="1191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30253303.159292053</v>
      </c>
      <c r="AJ3909" s="200">
        <f t="shared" si="1191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30253303.159292053</v>
      </c>
      <c r="AJ3910" s="200">
        <f t="shared" si="1191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30253303.159292053</v>
      </c>
      <c r="AJ3911" s="200">
        <f t="shared" si="1191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30253303.159292053</v>
      </c>
      <c r="AJ3912" s="200">
        <f t="shared" si="1191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30253303.159292053</v>
      </c>
      <c r="AJ3913" s="200">
        <f t="shared" si="1191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30691842.970796466</v>
      </c>
      <c r="AJ3915" s="200">
        <f t="shared" si="1191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30691842.970796466</v>
      </c>
      <c r="AJ3916" s="200">
        <f t="shared" si="1191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30253303.159292053</v>
      </c>
      <c r="AJ3917" s="200">
        <f t="shared" si="1191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30253303.159292053</v>
      </c>
      <c r="AJ3918" s="200">
        <f t="shared" si="1191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30253303.159292053</v>
      </c>
      <c r="AJ3919" s="200">
        <f t="shared" si="1191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192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18049063.654867258</v>
      </c>
      <c r="AJ3924" s="200">
        <f t="shared" si="1191"/>
        <v>2165887.6385840713</v>
      </c>
      <c r="AK3924" s="201">
        <f t="shared" si="1180"/>
        <v>0.12000000000000002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192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18049063.654867258</v>
      </c>
      <c r="AJ3925" s="200">
        <f t="shared" si="1191"/>
        <v>2165887.6385840713</v>
      </c>
      <c r="AK3925" s="201">
        <f t="shared" si="1180"/>
        <v>0.12000000000000002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30691842.970796466</v>
      </c>
      <c r="AJ3926" s="200">
        <f t="shared" si="1191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192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14766529.81520354</v>
      </c>
      <c r="AJ3927" s="200">
        <f t="shared" si="1191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192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14766529.81520354</v>
      </c>
      <c r="AJ3928" s="200">
        <f t="shared" si="1191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192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14766529.81520354</v>
      </c>
      <c r="AJ3929" s="200">
        <f t="shared" si="1191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192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14766529.81520354</v>
      </c>
      <c r="AJ3930" s="200">
        <f t="shared" si="1191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192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14766529.81520354</v>
      </c>
      <c r="AJ3931" s="200">
        <f t="shared" si="1191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192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14766529.81520354</v>
      </c>
      <c r="AJ3932" s="200">
        <f t="shared" si="1191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48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192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18049063.654867258</v>
      </c>
      <c r="AJ3933" s="200">
        <f t="shared" si="1191"/>
        <v>2165887.6385840713</v>
      </c>
      <c r="AK3933" s="201">
        <f t="shared" si="1180"/>
        <v>0.12000000000000002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192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14766529.81520354</v>
      </c>
      <c r="AJ3934" s="200">
        <f t="shared" si="1191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192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14766529.81520354</v>
      </c>
      <c r="AJ3935" s="200">
        <f t="shared" si="1191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5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192"/>
        <v>441834.5</v>
      </c>
      <c r="AC3936" s="198">
        <f t="shared" ref="AC3936:AC3994" si="1196">IF(R3936&lt;&gt;"",AB3936*AD3936,"")</f>
        <v>53020.14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14766529.81520354</v>
      </c>
      <c r="AJ3936" s="200">
        <f t="shared" si="1191"/>
        <v>1771983.5778244243</v>
      </c>
      <c r="AK3936" s="201">
        <f t="shared" ref="AK3936:AK3994" si="1198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199">IF(F3936="","",F3936&amp;G3936)</f>
        <v>20255</v>
      </c>
      <c r="AQ3936" s="203" t="str">
        <f t="shared" ref="AQ3936:AQ3996" si="1200">IF(W3936="","",F3936&amp;G3936&amp;W3936)</f>
        <v>20255JPY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3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5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192"/>
        <v>441834.5</v>
      </c>
      <c r="AC3937" s="198">
        <f t="shared" si="1196"/>
        <v>53020.14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14766529.81520354</v>
      </c>
      <c r="AJ3937" s="200">
        <f t="shared" si="1191"/>
        <v>1771983.5778244243</v>
      </c>
      <c r="AK3937" s="201">
        <f t="shared" si="1198"/>
        <v>0.11999999999999997</v>
      </c>
      <c r="AL3937" s="24"/>
      <c r="AM3937" s="24"/>
      <c r="AN3937" s="24"/>
      <c r="AO3937" s="24"/>
      <c r="AP3937" s="165" t="str">
        <f t="shared" si="1199"/>
        <v>20255</v>
      </c>
      <c r="AQ3937" s="203" t="str">
        <f t="shared" si="1200"/>
        <v>20255JPY</v>
      </c>
      <c r="AR3937" s="206" t="str">
        <f t="shared" si="1201"/>
        <v>YAMAHA_Mounter</v>
      </c>
      <c r="AS3937" s="22">
        <f t="shared" si="1202"/>
        <v>3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24/25</v>
      </c>
      <c r="F3938" s="23">
        <v>2025</v>
      </c>
      <c r="G3938" s="23">
        <v>2</v>
      </c>
      <c r="H3938" s="29"/>
      <c r="I3938" s="204" t="str">
        <f t="shared" si="1195"/>
        <v>Q4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59710.35</v>
      </c>
      <c r="AD3938" s="170">
        <v>0.10249999999999999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30691842.970796466</v>
      </c>
      <c r="AJ3938" s="200">
        <f t="shared" si="1191"/>
        <v>4088324.205777524</v>
      </c>
      <c r="AK3938" s="201">
        <f t="shared" si="1198"/>
        <v>0.1332055624573473</v>
      </c>
      <c r="AL3938" s="24"/>
      <c r="AM3938" s="24"/>
      <c r="AN3938" s="24"/>
      <c r="AO3938" s="24"/>
      <c r="AP3938" s="165" t="str">
        <f t="shared" si="1199"/>
        <v>20252</v>
      </c>
      <c r="AQ3938" s="203" t="str">
        <f t="shared" si="1200"/>
        <v>20252JPY</v>
      </c>
      <c r="AR3938" s="206" t="str">
        <f t="shared" si="1201"/>
        <v>YAMAHA_Mounter</v>
      </c>
      <c r="AS3938" s="22">
        <f t="shared" si="1202"/>
        <v>0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44401.30973451327</v>
      </c>
      <c r="AD3939" s="170">
        <v>6.6799999999999998E-2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30691842.970796466</v>
      </c>
      <c r="AJ3939" s="200">
        <f t="shared" si="1191"/>
        <v>4088324.205777524</v>
      </c>
      <c r="AK3939" s="201">
        <f t="shared" si="1198"/>
        <v>0.1332055624573473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44401.30973451327</v>
      </c>
      <c r="AD3940" s="170">
        <v>6.6799999999999998E-2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30691842.970796466</v>
      </c>
      <c r="AJ3940" s="200">
        <f t="shared" si="1191"/>
        <v>4088324.205777524</v>
      </c>
      <c r="AK3940" s="201">
        <f t="shared" si="1198"/>
        <v>0.1332055624573473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31715.221238938055</v>
      </c>
      <c r="AD3941" s="170">
        <v>6.6799999999999998E-2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30691842.970796466</v>
      </c>
      <c r="AJ3941" s="200">
        <f t="shared" si="1191"/>
        <v>4088324.205777524</v>
      </c>
      <c r="AK3941" s="201">
        <f t="shared" si="1198"/>
        <v>0.1332055624573473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FY 25/26</v>
      </c>
      <c r="F3942" s="23">
        <v>2025</v>
      </c>
      <c r="G3942" s="23">
        <v>4</v>
      </c>
      <c r="H3942" s="29"/>
      <c r="I3942" s="204" t="str">
        <f t="shared" si="1195"/>
        <v>Q1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192"/>
        <v>368256.63716814161</v>
      </c>
      <c r="AC3942" s="198">
        <f t="shared" si="1196"/>
        <v>44190.796460176993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30253303.159292053</v>
      </c>
      <c r="AJ3942" s="200">
        <f t="shared" si="1191"/>
        <v>3630396.3791150413</v>
      </c>
      <c r="AK3942" s="201">
        <f t="shared" si="1198"/>
        <v>0.11999999999999983</v>
      </c>
      <c r="AL3942" s="24"/>
      <c r="AM3942" s="24"/>
      <c r="AN3942" s="24"/>
      <c r="AO3942" s="24"/>
      <c r="AP3942" s="165" t="str">
        <f t="shared" si="1199"/>
        <v>20254</v>
      </c>
      <c r="AQ3942" s="203" t="str">
        <f t="shared" si="1200"/>
        <v>20254RMB</v>
      </c>
      <c r="AR3942" s="206" t="str">
        <f t="shared" si="1201"/>
        <v>YAMAHA_Mounter</v>
      </c>
      <c r="AS3942" s="22">
        <f t="shared" si="1202"/>
        <v>2</v>
      </c>
      <c r="AT3942" s="24" t="str">
        <f t="shared" si="1203"/>
        <v>0-3 months</v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192"/>
        <v>769561.94690265495</v>
      </c>
      <c r="AC3943" s="198">
        <f t="shared" si="1196"/>
        <v>92347.433628318584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18049063.654867258</v>
      </c>
      <c r="AJ3943" s="200">
        <f t="shared" si="1191"/>
        <v>2165887.6385840713</v>
      </c>
      <c r="AK3943" s="201">
        <f t="shared" si="1198"/>
        <v>0.12000000000000002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192"/>
        <v>679858.40707964601</v>
      </c>
      <c r="AC3944" s="198">
        <f t="shared" si="1196"/>
        <v>81583.008849557518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18049063.654867258</v>
      </c>
      <c r="AJ3944" s="200">
        <f t="shared" si="1191"/>
        <v>2165887.6385840713</v>
      </c>
      <c r="AK3944" s="201">
        <f t="shared" si="1198"/>
        <v>0.12000000000000002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24/25</v>
      </c>
      <c r="F3945" s="23">
        <v>2025</v>
      </c>
      <c r="G3945" s="23">
        <v>2</v>
      </c>
      <c r="H3945" s="29"/>
      <c r="I3945" s="204" t="str">
        <f t="shared" si="1195"/>
        <v>Q4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55536.502</v>
      </c>
      <c r="AD3945" s="170">
        <v>0.1109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30691842.970796466</v>
      </c>
      <c r="AJ3945" s="200">
        <f t="shared" si="1191"/>
        <v>4088324.205777524</v>
      </c>
      <c r="AK3945" s="201">
        <f t="shared" si="1198"/>
        <v>0.1332055624573473</v>
      </c>
      <c r="AL3945" s="24"/>
      <c r="AM3945" s="24"/>
      <c r="AN3945" s="24"/>
      <c r="AO3945" s="24"/>
      <c r="AP3945" s="165" t="str">
        <f t="shared" si="1199"/>
        <v>20252</v>
      </c>
      <c r="AQ3945" s="203" t="str">
        <f t="shared" si="1200"/>
        <v>20252JPY</v>
      </c>
      <c r="AR3945" s="206" t="str">
        <f t="shared" si="1201"/>
        <v>YAMAHA_Mounter</v>
      </c>
      <c r="AS3945" s="22">
        <f t="shared" si="1202"/>
        <v>0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57362.769911504423</v>
      </c>
      <c r="AD3946" s="170">
        <v>8.6300000000000002E-2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30691842.970796466</v>
      </c>
      <c r="AJ3946" s="200">
        <f t="shared" si="1191"/>
        <v>4088324.205777524</v>
      </c>
      <c r="AK3946" s="201">
        <f t="shared" si="1198"/>
        <v>0.1332055624573473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36876.066371681416</v>
      </c>
      <c r="AD3947" s="170">
        <v>8.6300000000000002E-2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30691842.970796466</v>
      </c>
      <c r="AJ3947" s="200">
        <f t="shared" si="1191"/>
        <v>4088324.205777524</v>
      </c>
      <c r="AK3947" s="201">
        <f t="shared" si="1198"/>
        <v>0.1332055624573473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FY 25/26</v>
      </c>
      <c r="F3948" s="23">
        <v>2025</v>
      </c>
      <c r="G3948" s="23">
        <v>5</v>
      </c>
      <c r="H3948" s="29"/>
      <c r="I3948" s="204" t="str">
        <f t="shared" si="1195"/>
        <v>Q1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192"/>
        <v>849823.00884955749</v>
      </c>
      <c r="AC3948" s="198">
        <f t="shared" si="1196"/>
        <v>101978.76106194689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14766529.81520354</v>
      </c>
      <c r="AJ3948" s="200">
        <f t="shared" si="1191"/>
        <v>1771983.5778244243</v>
      </c>
      <c r="AK3948" s="201">
        <f t="shared" si="1198"/>
        <v>0.11999999999999997</v>
      </c>
      <c r="AL3948" s="24"/>
      <c r="AM3948" s="24"/>
      <c r="AN3948" s="24"/>
      <c r="AO3948" s="24"/>
      <c r="AP3948" s="165" t="str">
        <f t="shared" si="1199"/>
        <v>20255</v>
      </c>
      <c r="AQ3948" s="203" t="str">
        <f t="shared" si="1200"/>
        <v>20255RMB</v>
      </c>
      <c r="AR3948" s="206" t="str">
        <f t="shared" si="1201"/>
        <v>YAMAHA_Mounter</v>
      </c>
      <c r="AS3948" s="22">
        <f t="shared" si="1202"/>
        <v>3</v>
      </c>
      <c r="AT3948" s="24" t="str">
        <f t="shared" si="1203"/>
        <v>0-3 months</v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FY 25/26</v>
      </c>
      <c r="F3949" s="23">
        <v>2025</v>
      </c>
      <c r="G3949" s="23">
        <v>5</v>
      </c>
      <c r="H3949" s="29"/>
      <c r="I3949" s="204" t="str">
        <f t="shared" si="1195"/>
        <v>Q1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192"/>
        <v>849823.00884955749</v>
      </c>
      <c r="AC3949" s="198">
        <f t="shared" si="1196"/>
        <v>101978.76106194689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14766529.81520354</v>
      </c>
      <c r="AJ3949" s="200">
        <f t="shared" si="1191"/>
        <v>1771983.5778244243</v>
      </c>
      <c r="AK3949" s="201">
        <f t="shared" si="1198"/>
        <v>0.11999999999999997</v>
      </c>
      <c r="AL3949" s="24"/>
      <c r="AM3949" s="24"/>
      <c r="AN3949" s="24"/>
      <c r="AO3949" s="24"/>
      <c r="AP3949" s="165" t="str">
        <f t="shared" si="1199"/>
        <v>20255</v>
      </c>
      <c r="AQ3949" s="203" t="str">
        <f t="shared" si="1200"/>
        <v>20255RMB</v>
      </c>
      <c r="AR3949" s="206" t="str">
        <f t="shared" si="1201"/>
        <v>YAMAHA_Mounter</v>
      </c>
      <c r="AS3949" s="22">
        <f t="shared" si="1202"/>
        <v>3</v>
      </c>
      <c r="AT3949" s="24" t="str">
        <f t="shared" si="1203"/>
        <v>0-3 months</v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FY 24/25</v>
      </c>
      <c r="F3950" s="23">
        <v>2025</v>
      </c>
      <c r="G3950" s="23">
        <v>3</v>
      </c>
      <c r="H3950" s="29"/>
      <c r="I3950" s="204" t="str">
        <f t="shared" si="1195"/>
        <v>Q4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192"/>
        <v>369295.30973451328</v>
      </c>
      <c r="AC3950" s="198">
        <f t="shared" si="1196"/>
        <v>44315.437168141594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18049063.654867258</v>
      </c>
      <c r="AJ3950" s="200">
        <f t="shared" si="1191"/>
        <v>2165887.6385840713</v>
      </c>
      <c r="AK3950" s="201">
        <f t="shared" si="1198"/>
        <v>0.12000000000000002</v>
      </c>
      <c r="AL3950" s="24"/>
      <c r="AM3950" s="24"/>
      <c r="AN3950" s="24"/>
      <c r="AO3950" s="24"/>
      <c r="AP3950" s="165" t="str">
        <f t="shared" si="1199"/>
        <v>20253</v>
      </c>
      <c r="AQ3950" s="203" t="str">
        <f t="shared" si="1200"/>
        <v>20253RMB</v>
      </c>
      <c r="AR3950" s="206" t="str">
        <f t="shared" si="1201"/>
        <v>YAMAHA_Mounter</v>
      </c>
      <c r="AS3950" s="22">
        <f t="shared" si="1202"/>
        <v>1</v>
      </c>
      <c r="AT3950" s="24" t="str">
        <f t="shared" si="1203"/>
        <v>0-3 months</v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FY 24/25</v>
      </c>
      <c r="F3951" s="23">
        <v>2025</v>
      </c>
      <c r="G3951" s="23">
        <v>3</v>
      </c>
      <c r="H3951" s="29"/>
      <c r="I3951" s="204" t="str">
        <f t="shared" si="1195"/>
        <v>Q4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192"/>
        <v>369295.30973451328</v>
      </c>
      <c r="AC3951" s="198">
        <f t="shared" si="1196"/>
        <v>44315.437168141594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18049063.654867258</v>
      </c>
      <c r="AJ3951" s="200">
        <f t="shared" si="1191"/>
        <v>2165887.6385840713</v>
      </c>
      <c r="AK3951" s="201">
        <f t="shared" si="1198"/>
        <v>0.12000000000000002</v>
      </c>
      <c r="AL3951" s="24"/>
      <c r="AM3951" s="24"/>
      <c r="AN3951" s="24"/>
      <c r="AO3951" s="24"/>
      <c r="AP3951" s="165" t="str">
        <f t="shared" si="1199"/>
        <v>20253</v>
      </c>
      <c r="AQ3951" s="203" t="str">
        <f t="shared" si="1200"/>
        <v>20253RMB</v>
      </c>
      <c r="AR3951" s="206" t="str">
        <f t="shared" si="1201"/>
        <v>YAMAHA_Mounter</v>
      </c>
      <c r="AS3951" s="22">
        <f t="shared" si="1202"/>
        <v>1</v>
      </c>
      <c r="AT3951" s="24" t="str">
        <f t="shared" si="1203"/>
        <v>0-3 months</v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FY 24/25</v>
      </c>
      <c r="F3952" s="23">
        <v>2025</v>
      </c>
      <c r="G3952" s="23">
        <v>3</v>
      </c>
      <c r="H3952" s="29"/>
      <c r="I3952" s="204" t="str">
        <f t="shared" si="1195"/>
        <v>Q4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192"/>
        <v>349371.68141592923</v>
      </c>
      <c r="AC3952" s="198">
        <f t="shared" si="1196"/>
        <v>41924.601769911504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18049063.654867258</v>
      </c>
      <c r="AJ3952" s="200">
        <f t="shared" si="1191"/>
        <v>2165887.6385840713</v>
      </c>
      <c r="AK3952" s="201">
        <f t="shared" si="1198"/>
        <v>0.12000000000000002</v>
      </c>
      <c r="AL3952" s="24"/>
      <c r="AM3952" s="24"/>
      <c r="AN3952" s="24"/>
      <c r="AO3952" s="24"/>
      <c r="AP3952" s="165" t="str">
        <f t="shared" si="1199"/>
        <v>20253</v>
      </c>
      <c r="AQ3952" s="203" t="str">
        <f t="shared" si="1200"/>
        <v>20253RMB</v>
      </c>
      <c r="AR3952" s="206" t="str">
        <f t="shared" si="1201"/>
        <v>YAMAHA_Mounter</v>
      </c>
      <c r="AS3952" s="22">
        <f t="shared" si="1202"/>
        <v>1</v>
      </c>
      <c r="AT3952" s="24" t="str">
        <f t="shared" si="1203"/>
        <v>0-3 months</v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FY 24/25</v>
      </c>
      <c r="F3953" s="23">
        <v>2025</v>
      </c>
      <c r="G3953" s="23">
        <v>3</v>
      </c>
      <c r="H3953" s="29"/>
      <c r="I3953" s="204" t="str">
        <f t="shared" si="1195"/>
        <v>Q4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192"/>
        <v>349371.68141592923</v>
      </c>
      <c r="AC3953" s="198">
        <f t="shared" si="1196"/>
        <v>41924.601769911504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18049063.654867258</v>
      </c>
      <c r="AJ3953" s="200">
        <f t="shared" si="1191"/>
        <v>2165887.6385840713</v>
      </c>
      <c r="AK3953" s="201">
        <f t="shared" si="1198"/>
        <v>0.12000000000000002</v>
      </c>
      <c r="AL3953" s="24"/>
      <c r="AM3953" s="24"/>
      <c r="AN3953" s="24"/>
      <c r="AO3953" s="24"/>
      <c r="AP3953" s="165" t="str">
        <f t="shared" si="1199"/>
        <v>20253</v>
      </c>
      <c r="AQ3953" s="203" t="str">
        <f t="shared" si="1200"/>
        <v>20253RMB</v>
      </c>
      <c r="AR3953" s="206" t="str">
        <f t="shared" si="1201"/>
        <v>YAMAHA_Mounter</v>
      </c>
      <c r="AS3953" s="22">
        <f t="shared" si="1202"/>
        <v>1</v>
      </c>
      <c r="AT3953" s="24" t="str">
        <f t="shared" si="1203"/>
        <v>0-3 months</v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76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FY 25/26</v>
      </c>
      <c r="F3954" s="23">
        <v>2025</v>
      </c>
      <c r="G3954" s="23">
        <v>4</v>
      </c>
      <c r="H3954" s="29"/>
      <c r="I3954" s="204" t="str">
        <f t="shared" si="1195"/>
        <v>Q1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5.2999999999999999E-2</v>
      </c>
      <c r="AB3954" s="197">
        <f t="shared" si="1192"/>
        <v>433540</v>
      </c>
      <c r="AC3954" s="198">
        <f t="shared" si="1196"/>
        <v>52024.799999999996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30253303.159292053</v>
      </c>
      <c r="AJ3954" s="200">
        <f t="shared" si="1191"/>
        <v>3630396.3791150413</v>
      </c>
      <c r="AK3954" s="201">
        <f t="shared" si="1198"/>
        <v>0.11999999999999983</v>
      </c>
      <c r="AL3954" s="24"/>
      <c r="AM3954" s="24"/>
      <c r="AN3954" s="24"/>
      <c r="AO3954" s="24"/>
      <c r="AP3954" s="165" t="str">
        <f t="shared" si="1199"/>
        <v>20254</v>
      </c>
      <c r="AQ3954" s="203" t="str">
        <f t="shared" si="1200"/>
        <v>20254JPY</v>
      </c>
      <c r="AR3954" s="206" t="str">
        <f t="shared" si="1201"/>
        <v>YAMAHA_Mounter</v>
      </c>
      <c r="AS3954" s="22">
        <f t="shared" si="1202"/>
        <v>2</v>
      </c>
      <c r="AT3954" s="24" t="str">
        <f t="shared" si="1203"/>
        <v>0-3 months</v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FY 24/25</v>
      </c>
      <c r="F3955" s="23">
        <v>2025</v>
      </c>
      <c r="G3955" s="23">
        <v>3</v>
      </c>
      <c r="H3955" s="29"/>
      <c r="I3955" s="204" t="str">
        <f t="shared" si="1195"/>
        <v>Q4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1.0669999999999999</v>
      </c>
      <c r="AB3955" s="197">
        <f t="shared" si="1192"/>
        <v>427980.30973451328</v>
      </c>
      <c r="AC3955" s="198">
        <f t="shared" si="1196"/>
        <v>51357.637168141591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18049063.654867258</v>
      </c>
      <c r="AJ3955" s="200">
        <f t="shared" si="1191"/>
        <v>2165887.6385840713</v>
      </c>
      <c r="AK3955" s="201">
        <f t="shared" si="1198"/>
        <v>0.12000000000000002</v>
      </c>
      <c r="AL3955" s="24"/>
      <c r="AM3955" s="24"/>
      <c r="AN3955" s="24"/>
      <c r="AO3955" s="24"/>
      <c r="AP3955" s="165" t="str">
        <f t="shared" si="1199"/>
        <v>20253</v>
      </c>
      <c r="AQ3955" s="203" t="str">
        <f t="shared" si="1200"/>
        <v>20253RMB</v>
      </c>
      <c r="AR3955" s="206" t="str">
        <f t="shared" si="1201"/>
        <v>YAMAHA_Mounter</v>
      </c>
      <c r="AS3955" s="22">
        <f t="shared" si="1202"/>
        <v>1</v>
      </c>
      <c r="AT3955" s="24" t="str">
        <f t="shared" si="1203"/>
        <v>0-3 months</v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FY 24/25</v>
      </c>
      <c r="F3956" s="23">
        <v>2025</v>
      </c>
      <c r="G3956" s="23">
        <v>3</v>
      </c>
      <c r="H3956" s="29"/>
      <c r="I3956" s="204" t="str">
        <f t="shared" si="1195"/>
        <v>Q4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1.0669999999999999</v>
      </c>
      <c r="AB3956" s="197">
        <f t="shared" si="1192"/>
        <v>427980.30973451328</v>
      </c>
      <c r="AC3956" s="198">
        <f t="shared" si="1196"/>
        <v>51357.637168141591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18049063.654867258</v>
      </c>
      <c r="AJ3956" s="200">
        <f t="shared" si="1191"/>
        <v>2165887.6385840713</v>
      </c>
      <c r="AK3956" s="201">
        <f t="shared" si="1198"/>
        <v>0.12000000000000002</v>
      </c>
      <c r="AL3956" s="24"/>
      <c r="AM3956" s="24"/>
      <c r="AN3956" s="24"/>
      <c r="AO3956" s="24"/>
      <c r="AP3956" s="165" t="str">
        <f t="shared" si="1199"/>
        <v>20253</v>
      </c>
      <c r="AQ3956" s="203" t="str">
        <f t="shared" si="1200"/>
        <v>20253RMB</v>
      </c>
      <c r="AR3956" s="206" t="str">
        <f t="shared" si="1201"/>
        <v>YAMAHA_Mounter</v>
      </c>
      <c r="AS3956" s="22">
        <f t="shared" si="1202"/>
        <v>1</v>
      </c>
      <c r="AT3956" s="24" t="str">
        <f t="shared" si="1203"/>
        <v>0-3 months</v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FY 24/25</v>
      </c>
      <c r="F3957" s="23">
        <v>2025</v>
      </c>
      <c r="G3957" s="23">
        <v>3</v>
      </c>
      <c r="H3957" s="29"/>
      <c r="I3957" s="204" t="str">
        <f t="shared" si="1195"/>
        <v>Q4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1.0669999999999999</v>
      </c>
      <c r="AB3957" s="197">
        <f t="shared" si="1192"/>
        <v>613761.06194690266</v>
      </c>
      <c r="AC3957" s="198">
        <f t="shared" si="1196"/>
        <v>73651.327433628321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18049063.654867258</v>
      </c>
      <c r="AJ3957" s="200">
        <f t="shared" si="1191"/>
        <v>2165887.6385840713</v>
      </c>
      <c r="AK3957" s="201">
        <f t="shared" si="1198"/>
        <v>0.12000000000000002</v>
      </c>
      <c r="AL3957" s="24"/>
      <c r="AM3957" s="24"/>
      <c r="AN3957" s="24"/>
      <c r="AO3957" s="24"/>
      <c r="AP3957" s="165" t="str">
        <f t="shared" si="1199"/>
        <v>20253</v>
      </c>
      <c r="AQ3957" s="203" t="str">
        <f t="shared" si="1200"/>
        <v>20253RMB</v>
      </c>
      <c r="AR3957" s="206" t="str">
        <f t="shared" si="1201"/>
        <v>YAMAHA_Mounter</v>
      </c>
      <c r="AS3957" s="22">
        <f t="shared" si="1202"/>
        <v>1</v>
      </c>
      <c r="AT3957" s="24" t="str">
        <f t="shared" si="1203"/>
        <v>0-3 months</v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FY 24/25</v>
      </c>
      <c r="F3958" s="23">
        <v>2025</v>
      </c>
      <c r="G3958" s="23">
        <v>3</v>
      </c>
      <c r="H3958" s="29"/>
      <c r="I3958" s="204" t="str">
        <f t="shared" si="1195"/>
        <v>Q4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1.0669999999999999</v>
      </c>
      <c r="AB3958" s="197">
        <f t="shared" si="1192"/>
        <v>367312.38938053098</v>
      </c>
      <c r="AC3958" s="198">
        <f t="shared" si="1196"/>
        <v>44077.486725663715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18049063.654867258</v>
      </c>
      <c r="AJ3958" s="200">
        <f t="shared" si="1191"/>
        <v>2165887.6385840713</v>
      </c>
      <c r="AK3958" s="201">
        <f t="shared" si="1198"/>
        <v>0.12000000000000002</v>
      </c>
      <c r="AL3958" s="24"/>
      <c r="AM3958" s="24"/>
      <c r="AN3958" s="24"/>
      <c r="AO3958" s="24"/>
      <c r="AP3958" s="165" t="str">
        <f t="shared" si="1199"/>
        <v>20253</v>
      </c>
      <c r="AQ3958" s="203" t="str">
        <f t="shared" si="1200"/>
        <v>20253RMB</v>
      </c>
      <c r="AR3958" s="206" t="str">
        <f t="shared" si="1201"/>
        <v>YAMAHA_Mounter</v>
      </c>
      <c r="AS3958" s="22">
        <f t="shared" si="1202"/>
        <v>1</v>
      </c>
      <c r="AT3958" s="24" t="str">
        <f t="shared" si="1203"/>
        <v>0-3 months</v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FY 24/25</v>
      </c>
      <c r="F3959" s="23">
        <v>2025</v>
      </c>
      <c r="G3959" s="23">
        <v>3</v>
      </c>
      <c r="H3959" s="29"/>
      <c r="I3959" s="204" t="str">
        <f t="shared" si="1195"/>
        <v>Q4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196"/>
        <v>18242.867256637168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18049063.654867258</v>
      </c>
      <c r="AJ3959" s="200">
        <f t="shared" si="1191"/>
        <v>2165887.6385840713</v>
      </c>
      <c r="AK3959" s="201">
        <f t="shared" si="1198"/>
        <v>0.12000000000000002</v>
      </c>
      <c r="AL3959" s="24"/>
      <c r="AM3959" s="24"/>
      <c r="AN3959" s="24"/>
      <c r="AO3959" s="24"/>
      <c r="AP3959" s="165" t="str">
        <f t="shared" si="1199"/>
        <v>20253</v>
      </c>
      <c r="AQ3959" s="203" t="str">
        <f t="shared" si="1200"/>
        <v>20253RMB</v>
      </c>
      <c r="AR3959" s="206" t="str">
        <f t="shared" si="1201"/>
        <v>YAMAHA_Mounter</v>
      </c>
      <c r="AS3959" s="22">
        <f t="shared" si="1202"/>
        <v>1</v>
      </c>
      <c r="AT3959" s="24" t="str">
        <f t="shared" si="1203"/>
        <v>0-3 months</v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FY 25/26</v>
      </c>
      <c r="F3960" s="23">
        <v>2025</v>
      </c>
      <c r="G3960" s="23">
        <v>5</v>
      </c>
      <c r="H3960" s="29"/>
      <c r="I3960" s="204" t="str">
        <f t="shared" si="1195"/>
        <v>Q1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1.0669999999999999</v>
      </c>
      <c r="AB3960" s="197">
        <f t="shared" si="1192"/>
        <v>708185.84070796473</v>
      </c>
      <c r="AC3960" s="198">
        <f t="shared" si="1196"/>
        <v>84982.300884955766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14766529.81520354</v>
      </c>
      <c r="AJ3960" s="200">
        <f t="shared" si="1191"/>
        <v>1771983.5778244243</v>
      </c>
      <c r="AK3960" s="201">
        <f t="shared" si="1198"/>
        <v>0.11999999999999997</v>
      </c>
      <c r="AL3960" s="24"/>
      <c r="AM3960" s="24"/>
      <c r="AN3960" s="24"/>
      <c r="AO3960" s="24"/>
      <c r="AP3960" s="165" t="str">
        <f t="shared" si="1199"/>
        <v>20255</v>
      </c>
      <c r="AQ3960" s="203" t="str">
        <f t="shared" si="1200"/>
        <v>20255RMB</v>
      </c>
      <c r="AR3960" s="206" t="str">
        <f t="shared" si="1201"/>
        <v>YAMAHA_Mounter</v>
      </c>
      <c r="AS3960" s="22">
        <f t="shared" si="1202"/>
        <v>3</v>
      </c>
      <c r="AT3960" s="24" t="str">
        <f t="shared" si="1203"/>
        <v>0-3 months</v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FY 25/26</v>
      </c>
      <c r="F3961" s="23">
        <v>2025</v>
      </c>
      <c r="G3961" s="23">
        <v>5</v>
      </c>
      <c r="H3961" s="29"/>
      <c r="I3961" s="204" t="str">
        <f t="shared" si="1195"/>
        <v>Q1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1.0669999999999999</v>
      </c>
      <c r="AB3961" s="197">
        <f t="shared" si="1192"/>
        <v>396584.0707964602</v>
      </c>
      <c r="AC3961" s="198">
        <f t="shared" si="1196"/>
        <v>47590.088495575226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14766529.81520354</v>
      </c>
      <c r="AJ3961" s="200">
        <f t="shared" si="1191"/>
        <v>1771983.5778244243</v>
      </c>
      <c r="AK3961" s="201">
        <f t="shared" si="1198"/>
        <v>0.11999999999999997</v>
      </c>
      <c r="AL3961" s="24"/>
      <c r="AM3961" s="24"/>
      <c r="AN3961" s="24"/>
      <c r="AO3961" s="24"/>
      <c r="AP3961" s="165" t="str">
        <f t="shared" si="1199"/>
        <v>20255</v>
      </c>
      <c r="AQ3961" s="203" t="str">
        <f t="shared" si="1200"/>
        <v>20255RMB</v>
      </c>
      <c r="AR3961" s="206" t="str">
        <f t="shared" si="1201"/>
        <v>YAMAHA_Mounter</v>
      </c>
      <c r="AS3961" s="22">
        <f t="shared" si="1202"/>
        <v>3</v>
      </c>
      <c r="AT3961" s="24" t="str">
        <f t="shared" si="1203"/>
        <v>0-3 months</v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FY 24/25</v>
      </c>
      <c r="F3962" s="23">
        <v>2025</v>
      </c>
      <c r="G3962" s="23">
        <v>3</v>
      </c>
      <c r="H3962" s="29"/>
      <c r="I3962" s="204" t="str">
        <f t="shared" si="1195"/>
        <v>Q4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1.0669999999999999</v>
      </c>
      <c r="AB3962" s="197">
        <f t="shared" si="1192"/>
        <v>380059.73451327439</v>
      </c>
      <c r="AC3962" s="198">
        <f t="shared" si="1196"/>
        <v>45607.168141592927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18049063.654867258</v>
      </c>
      <c r="AJ3962" s="200">
        <f t="shared" si="1191"/>
        <v>2165887.6385840713</v>
      </c>
      <c r="AK3962" s="201">
        <f t="shared" si="1198"/>
        <v>0.12000000000000002</v>
      </c>
      <c r="AL3962" s="24"/>
      <c r="AM3962" s="24"/>
      <c r="AN3962" s="24"/>
      <c r="AO3962" s="24"/>
      <c r="AP3962" s="165" t="str">
        <f t="shared" si="1199"/>
        <v>20253</v>
      </c>
      <c r="AQ3962" s="203" t="str">
        <f t="shared" si="1200"/>
        <v>20253RMB</v>
      </c>
      <c r="AR3962" s="206" t="str">
        <f t="shared" si="1201"/>
        <v>YAMAHA_Mounter</v>
      </c>
      <c r="AS3962" s="22">
        <f t="shared" si="1202"/>
        <v>1</v>
      </c>
      <c r="AT3962" s="24" t="str">
        <f t="shared" si="1203"/>
        <v>0-3 months</v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FY 24/25</v>
      </c>
      <c r="F3963" s="23">
        <v>2025</v>
      </c>
      <c r="G3963" s="23">
        <v>3</v>
      </c>
      <c r="H3963" s="29"/>
      <c r="I3963" s="204" t="str">
        <f t="shared" si="1195"/>
        <v>Q4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1.0669999999999999</v>
      </c>
      <c r="AB3963" s="197">
        <f t="shared" si="1192"/>
        <v>380059.73451327439</v>
      </c>
      <c r="AC3963" s="198">
        <f t="shared" si="1196"/>
        <v>45607.168141592927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18049063.654867258</v>
      </c>
      <c r="AJ3963" s="200">
        <f t="shared" si="1191"/>
        <v>2165887.6385840713</v>
      </c>
      <c r="AK3963" s="201">
        <f t="shared" si="1198"/>
        <v>0.12000000000000002</v>
      </c>
      <c r="AL3963" s="24"/>
      <c r="AM3963" s="24"/>
      <c r="AN3963" s="24"/>
      <c r="AO3963" s="24"/>
      <c r="AP3963" s="165" t="str">
        <f t="shared" si="1199"/>
        <v>20253</v>
      </c>
      <c r="AQ3963" s="203" t="str">
        <f t="shared" si="1200"/>
        <v>20253RMB</v>
      </c>
      <c r="AR3963" s="206" t="str">
        <f t="shared" si="1201"/>
        <v>YAMAHA_Mounter</v>
      </c>
      <c r="AS3963" s="22">
        <f t="shared" si="1202"/>
        <v>1</v>
      </c>
      <c r="AT3963" s="24" t="str">
        <f t="shared" si="1203"/>
        <v>0-3 months</v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FY 24/25</v>
      </c>
      <c r="F3964" s="23">
        <v>2025</v>
      </c>
      <c r="G3964" s="23">
        <v>3</v>
      </c>
      <c r="H3964" s="29"/>
      <c r="I3964" s="204" t="str">
        <f t="shared" si="1195"/>
        <v>Q4</v>
      </c>
      <c r="J3964" s="186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1.0669999999999999</v>
      </c>
      <c r="AB3964" s="197">
        <f t="shared" si="1192"/>
        <v>354092.92035398236</v>
      </c>
      <c r="AC3964" s="198">
        <f t="shared" si="1196"/>
        <v>42491.150442477883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18049063.654867258</v>
      </c>
      <c r="AJ3964" s="200">
        <f t="shared" si="1191"/>
        <v>2165887.6385840713</v>
      </c>
      <c r="AK3964" s="201">
        <f t="shared" si="1198"/>
        <v>0.12000000000000002</v>
      </c>
      <c r="AL3964" s="24"/>
      <c r="AM3964" s="24"/>
      <c r="AN3964" s="24"/>
      <c r="AO3964" s="24"/>
      <c r="AP3964" s="165" t="str">
        <f t="shared" si="1199"/>
        <v>20253</v>
      </c>
      <c r="AQ3964" s="203" t="str">
        <f t="shared" si="1200"/>
        <v>20253RMB</v>
      </c>
      <c r="AR3964" s="206" t="str">
        <f t="shared" si="1201"/>
        <v>YAMAHA_Mounter</v>
      </c>
      <c r="AS3964" s="22">
        <f t="shared" si="1202"/>
        <v>1</v>
      </c>
      <c r="AT3964" s="24" t="str">
        <f t="shared" si="1203"/>
        <v>0-3 months</v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FY 24/25</v>
      </c>
      <c r="F3965" s="23">
        <v>2025</v>
      </c>
      <c r="G3965" s="23">
        <v>3</v>
      </c>
      <c r="H3965" s="29"/>
      <c r="I3965" s="204" t="str">
        <f t="shared" si="1195"/>
        <v>Q4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1.0669999999999999</v>
      </c>
      <c r="AB3965" s="197">
        <f t="shared" si="1192"/>
        <v>453238.93805309734</v>
      </c>
      <c r="AC3965" s="198">
        <f t="shared" si="1196"/>
        <v>54388.672566371679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18049063.654867258</v>
      </c>
      <c r="AJ3965" s="200">
        <f t="shared" si="1191"/>
        <v>2165887.6385840713</v>
      </c>
      <c r="AK3965" s="201">
        <f t="shared" si="1198"/>
        <v>0.12000000000000002</v>
      </c>
      <c r="AL3965" s="24"/>
      <c r="AM3965" s="24"/>
      <c r="AN3965" s="24"/>
      <c r="AO3965" s="24"/>
      <c r="AP3965" s="165" t="str">
        <f t="shared" si="1199"/>
        <v>20253</v>
      </c>
      <c r="AQ3965" s="203" t="str">
        <f t="shared" si="1200"/>
        <v>20253RMB</v>
      </c>
      <c r="AR3965" s="206" t="str">
        <f t="shared" si="1201"/>
        <v>YAMAHA_Mounter</v>
      </c>
      <c r="AS3965" s="22">
        <f t="shared" si="1202"/>
        <v>1</v>
      </c>
      <c r="AT3965" s="24" t="str">
        <f t="shared" si="1203"/>
        <v>0-3 months</v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FY 24/25</v>
      </c>
      <c r="F3966" s="23">
        <v>2025</v>
      </c>
      <c r="G3966" s="23">
        <v>3</v>
      </c>
      <c r="H3966" s="29"/>
      <c r="I3966" s="204" t="str">
        <f t="shared" si="1195"/>
        <v>Q4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1.0669999999999999</v>
      </c>
      <c r="AB3966" s="197">
        <f t="shared" si="1192"/>
        <v>453238.93805309734</v>
      </c>
      <c r="AC3966" s="198">
        <f t="shared" si="1196"/>
        <v>54388.672566371679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18049063.654867258</v>
      </c>
      <c r="AJ3966" s="200">
        <f t="shared" si="1191"/>
        <v>2165887.6385840713</v>
      </c>
      <c r="AK3966" s="201">
        <f t="shared" si="1198"/>
        <v>0.12000000000000002</v>
      </c>
      <c r="AL3966" s="24"/>
      <c r="AM3966" s="24"/>
      <c r="AN3966" s="24"/>
      <c r="AO3966" s="24"/>
      <c r="AP3966" s="165" t="str">
        <f t="shared" si="1199"/>
        <v>20253</v>
      </c>
      <c r="AQ3966" s="203" t="str">
        <f t="shared" si="1200"/>
        <v>20253RMB</v>
      </c>
      <c r="AR3966" s="206" t="str">
        <f t="shared" si="1201"/>
        <v>YAMAHA_Mounter</v>
      </c>
      <c r="AS3966" s="22">
        <f t="shared" si="1202"/>
        <v>1</v>
      </c>
      <c r="AT3966" s="24" t="str">
        <f t="shared" si="1203"/>
        <v>0-3 months</v>
      </c>
    </row>
    <row r="3967" spans="1:46">
      <c r="A3967" s="33" t="str">
        <f t="shared" si="1194"/>
        <v>FY 24/25</v>
      </c>
      <c r="B3967" s="23">
        <v>2025</v>
      </c>
      <c r="C3967" s="23">
        <v>3</v>
      </c>
      <c r="D3967" s="202" t="str">
        <f t="shared" si="1205"/>
        <v>Q4</v>
      </c>
      <c r="E3967" s="33" t="str">
        <f t="shared" si="1193"/>
        <v>FY 24/25</v>
      </c>
      <c r="F3967" s="23">
        <v>2025</v>
      </c>
      <c r="G3967" s="23">
        <v>3</v>
      </c>
      <c r="H3967" s="29"/>
      <c r="I3967" s="204" t="str">
        <f t="shared" si="1195"/>
        <v>Q4</v>
      </c>
      <c r="J3967" s="188" t="s">
        <v>3730</v>
      </c>
      <c r="K3967" s="29" t="s">
        <v>982</v>
      </c>
      <c r="L3967" s="24" t="s">
        <v>68</v>
      </c>
      <c r="M3967" s="13" t="s">
        <v>61</v>
      </c>
      <c r="N3967" s="22">
        <v>1</v>
      </c>
      <c r="O3967" s="22"/>
      <c r="P3967" s="202" t="str">
        <f t="shared" si="1204"/>
        <v>MAIN UNIT</v>
      </c>
      <c r="Q3967" s="22" t="s">
        <v>62</v>
      </c>
      <c r="R3967" s="22" t="s">
        <v>63</v>
      </c>
      <c r="S3967" s="22" t="s">
        <v>50</v>
      </c>
      <c r="T3967" s="22" t="s">
        <v>79</v>
      </c>
      <c r="U3967" s="22" t="s">
        <v>1072</v>
      </c>
      <c r="V3967" s="22" t="s">
        <v>113</v>
      </c>
      <c r="W3967" s="22" t="s">
        <v>65</v>
      </c>
      <c r="X3967" s="104">
        <v>395000</v>
      </c>
      <c r="Y3967" s="195" t="str">
        <f t="shared" si="1207"/>
        <v>1.13</v>
      </c>
      <c r="Z3967" s="196">
        <f t="shared" si="1206"/>
        <v>395000</v>
      </c>
      <c r="AA3967" s="22">
        <v>1.0669999999999999</v>
      </c>
      <c r="AB3967" s="197">
        <f t="shared" si="1192"/>
        <v>372977.87610619469</v>
      </c>
      <c r="AC3967" s="198">
        <f t="shared" si="1196"/>
        <v>44757.345132743358</v>
      </c>
      <c r="AD3967" s="169">
        <v>0.12</v>
      </c>
      <c r="AE3967" s="199">
        <f t="shared" si="1197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0"/>
        <v>18049063.654867258</v>
      </c>
      <c r="AJ3967" s="200">
        <f t="shared" si="1191"/>
        <v>2165887.6385840713</v>
      </c>
      <c r="AK3967" s="201">
        <f t="shared" si="1198"/>
        <v>0.12000000000000002</v>
      </c>
      <c r="AL3967" s="24"/>
      <c r="AM3967" s="24"/>
      <c r="AN3967" s="24"/>
      <c r="AO3967" s="24"/>
      <c r="AP3967" s="165" t="str">
        <f t="shared" si="1199"/>
        <v>20253</v>
      </c>
      <c r="AQ3967" s="203" t="str">
        <f t="shared" si="1200"/>
        <v>20253RMB</v>
      </c>
      <c r="AR3967" s="206" t="str">
        <f t="shared" si="1201"/>
        <v>YAMAHA_Mounter</v>
      </c>
      <c r="AS3967" s="22">
        <f t="shared" si="1202"/>
        <v>0</v>
      </c>
      <c r="AT3967" s="24" t="str">
        <f t="shared" si="1203"/>
        <v>0-3 months</v>
      </c>
    </row>
    <row r="3968" spans="1:46">
      <c r="A3968" s="33" t="str">
        <f t="shared" si="1194"/>
        <v>FY 24/25</v>
      </c>
      <c r="B3968" s="23">
        <v>2025</v>
      </c>
      <c r="C3968" s="23">
        <v>3</v>
      </c>
      <c r="D3968" s="202" t="str">
        <f t="shared" si="1205"/>
        <v>Q4</v>
      </c>
      <c r="E3968" s="33" t="str">
        <f t="shared" si="1193"/>
        <v>FY 24/25</v>
      </c>
      <c r="F3968" s="23">
        <v>2025</v>
      </c>
      <c r="G3968" s="23">
        <v>3</v>
      </c>
      <c r="H3968" s="29"/>
      <c r="I3968" s="204" t="str">
        <f t="shared" si="1195"/>
        <v>Q4</v>
      </c>
      <c r="J3968" s="188" t="s">
        <v>3730</v>
      </c>
      <c r="K3968" s="29" t="s">
        <v>982</v>
      </c>
      <c r="L3968" s="24" t="s">
        <v>3352</v>
      </c>
      <c r="M3968" s="13" t="s">
        <v>61</v>
      </c>
      <c r="N3968" s="22">
        <v>1</v>
      </c>
      <c r="O3968" s="22"/>
      <c r="P3968" s="202" t="str">
        <f t="shared" si="1204"/>
        <v>MAIN UNIT</v>
      </c>
      <c r="Q3968" s="22" t="s">
        <v>62</v>
      </c>
      <c r="R3968" s="22" t="s">
        <v>2056</v>
      </c>
      <c r="S3968" s="22" t="s">
        <v>50</v>
      </c>
      <c r="T3968" s="22" t="s">
        <v>79</v>
      </c>
      <c r="U3968" s="22" t="s">
        <v>1072</v>
      </c>
      <c r="V3968" s="22" t="s">
        <v>113</v>
      </c>
      <c r="W3968" s="22" t="s">
        <v>65</v>
      </c>
      <c r="X3968" s="104">
        <v>155000</v>
      </c>
      <c r="Y3968" s="195" t="str">
        <f t="shared" si="1207"/>
        <v>1.13</v>
      </c>
      <c r="Z3968" s="196">
        <f t="shared" si="1206"/>
        <v>155000</v>
      </c>
      <c r="AA3968" s="22">
        <v>1.0669999999999999</v>
      </c>
      <c r="AB3968" s="197">
        <f t="shared" si="1192"/>
        <v>146358.40707964604</v>
      </c>
      <c r="AC3968" s="198">
        <f t="shared" si="1196"/>
        <v>17563.008849557526</v>
      </c>
      <c r="AD3968" s="169">
        <v>0.12</v>
      </c>
      <c r="AE3968" s="199">
        <f t="shared" si="1197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18049063.654867258</v>
      </c>
      <c r="AJ3968" s="200">
        <f t="shared" si="1191"/>
        <v>2165887.6385840713</v>
      </c>
      <c r="AK3968" s="201">
        <f t="shared" si="1198"/>
        <v>0.12000000000000002</v>
      </c>
      <c r="AL3968" s="24"/>
      <c r="AM3968" s="24"/>
      <c r="AN3968" s="24"/>
      <c r="AO3968" s="24"/>
      <c r="AP3968" s="165" t="str">
        <f t="shared" si="1199"/>
        <v>20253</v>
      </c>
      <c r="AQ3968" s="203" t="str">
        <f t="shared" si="1200"/>
        <v>20253RMB</v>
      </c>
      <c r="AR3968" s="206" t="str">
        <f t="shared" si="1201"/>
        <v>YAMAHA_Non_Mounter</v>
      </c>
      <c r="AS3968" s="22">
        <f t="shared" si="1202"/>
        <v>0</v>
      </c>
      <c r="AT3968" s="24" t="str">
        <f t="shared" si="1203"/>
        <v>0-3 months</v>
      </c>
    </row>
    <row r="3969" spans="1:46">
      <c r="A3969" s="33" t="str">
        <f t="shared" si="1194"/>
        <v>FY 24/25</v>
      </c>
      <c r="B3969" s="23">
        <v>2025</v>
      </c>
      <c r="C3969" s="23">
        <v>2</v>
      </c>
      <c r="D3969" s="202" t="str">
        <f t="shared" si="1205"/>
        <v>Q4</v>
      </c>
      <c r="E3969" s="33" t="str">
        <f t="shared" si="1193"/>
        <v>FY 24/25</v>
      </c>
      <c r="F3969" s="23">
        <v>2025</v>
      </c>
      <c r="G3969" s="23">
        <v>3</v>
      </c>
      <c r="H3969" s="29"/>
      <c r="I3969" s="204" t="str">
        <f t="shared" si="1195"/>
        <v>Q4</v>
      </c>
      <c r="J3969" s="188" t="s">
        <v>3732</v>
      </c>
      <c r="K3969" s="248" t="s">
        <v>2402</v>
      </c>
      <c r="L3969" s="24" t="s">
        <v>68</v>
      </c>
      <c r="M3969" s="13" t="s">
        <v>61</v>
      </c>
      <c r="N3969" s="22">
        <v>1</v>
      </c>
      <c r="O3969" s="22"/>
      <c r="P3969" s="202" t="str">
        <f t="shared" si="1204"/>
        <v>MAIN UNIT</v>
      </c>
      <c r="Q3969" s="22" t="s">
        <v>62</v>
      </c>
      <c r="R3969" s="22" t="s">
        <v>63</v>
      </c>
      <c r="S3969" s="22" t="s">
        <v>51</v>
      </c>
      <c r="T3969" s="22" t="s">
        <v>89</v>
      </c>
      <c r="U3969" s="22" t="s">
        <v>71</v>
      </c>
      <c r="V3969" s="22" t="s">
        <v>103</v>
      </c>
      <c r="W3969" s="22" t="s">
        <v>65</v>
      </c>
      <c r="X3969" s="104">
        <v>403000</v>
      </c>
      <c r="Y3969" s="195" t="str">
        <f t="shared" si="1207"/>
        <v>1.13</v>
      </c>
      <c r="Z3969" s="196">
        <f t="shared" si="1206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196"/>
        <v>45663.823008849555</v>
      </c>
      <c r="AD3969" s="169">
        <v>0.12</v>
      </c>
      <c r="AE3969" s="199">
        <f t="shared" si="1197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0"/>
        <v>18049063.654867258</v>
      </c>
      <c r="AJ3969" s="200">
        <f t="shared" si="1191"/>
        <v>2165887.6385840713</v>
      </c>
      <c r="AK3969" s="201">
        <f t="shared" si="1198"/>
        <v>0.12000000000000002</v>
      </c>
      <c r="AL3969" s="24"/>
      <c r="AM3969" s="24"/>
      <c r="AN3969" s="24"/>
      <c r="AO3969" s="24"/>
      <c r="AP3969" s="165" t="str">
        <f t="shared" si="1199"/>
        <v>20253</v>
      </c>
      <c r="AQ3969" s="203" t="str">
        <f t="shared" si="1200"/>
        <v>20253RMB</v>
      </c>
      <c r="AR3969" s="206" t="str">
        <f t="shared" si="1201"/>
        <v>YAMAHA_Mounter</v>
      </c>
      <c r="AS3969" s="22">
        <f t="shared" si="1202"/>
        <v>1</v>
      </c>
      <c r="AT3969" s="24" t="str">
        <f t="shared" si="1203"/>
        <v>0-3 months</v>
      </c>
    </row>
    <row r="3970" spans="1:46">
      <c r="A3970" s="33" t="str">
        <f t="shared" si="1194"/>
        <v>FY 24/25</v>
      </c>
      <c r="B3970" s="23">
        <v>2025</v>
      </c>
      <c r="C3970" s="23">
        <v>3</v>
      </c>
      <c r="D3970" s="202" t="str">
        <f t="shared" si="1205"/>
        <v>Q4</v>
      </c>
      <c r="E3970" s="33" t="str">
        <f t="shared" si="1193"/>
        <v>FY 24/25</v>
      </c>
      <c r="F3970" s="23">
        <v>2025</v>
      </c>
      <c r="G3970" s="23">
        <v>3</v>
      </c>
      <c r="H3970" s="29"/>
      <c r="I3970" s="204" t="str">
        <f t="shared" si="1195"/>
        <v>Q4</v>
      </c>
      <c r="J3970" s="188" t="s">
        <v>3731</v>
      </c>
      <c r="K3970" s="248" t="s">
        <v>1752</v>
      </c>
      <c r="L3970" s="24" t="s">
        <v>2621</v>
      </c>
      <c r="M3970" s="13" t="s">
        <v>61</v>
      </c>
      <c r="N3970" s="22">
        <v>1</v>
      </c>
      <c r="O3970" s="22"/>
      <c r="P3970" s="202" t="str">
        <f t="shared" si="1204"/>
        <v>MAIN UNIT</v>
      </c>
      <c r="Q3970" s="22" t="s">
        <v>62</v>
      </c>
      <c r="R3970" s="22" t="s">
        <v>2056</v>
      </c>
      <c r="S3970" s="22" t="s">
        <v>51</v>
      </c>
      <c r="T3970" s="22" t="s">
        <v>102</v>
      </c>
      <c r="U3970" s="22" t="s">
        <v>71</v>
      </c>
      <c r="V3970" s="22" t="s">
        <v>103</v>
      </c>
      <c r="W3970" s="22" t="s">
        <v>65</v>
      </c>
      <c r="X3970" s="104">
        <v>340000</v>
      </c>
      <c r="Y3970" s="195" t="str">
        <f t="shared" si="1207"/>
        <v>1.13</v>
      </c>
      <c r="Z3970" s="196">
        <f t="shared" si="1206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196"/>
        <v>38525.309734513277</v>
      </c>
      <c r="AD3970" s="169">
        <v>0.12</v>
      </c>
      <c r="AE3970" s="199">
        <f t="shared" si="1197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08">IF(P3970="C66 SERVICE","",SUMIFS(AB:AB,F:F,F3970,G:G,G3970,E:E,E3970))</f>
        <v>18049063.654867258</v>
      </c>
      <c r="AJ3970" s="200">
        <f t="shared" ref="AJ3970:AJ3994" si="1209">IF(P3970="C66 SERVICE","",SUMIFS(AC:AC,F:F,F3970,G:G,G3970,E:E,E3970))</f>
        <v>2165887.6385840713</v>
      </c>
      <c r="AK3970" s="201">
        <f t="shared" si="1198"/>
        <v>0.12000000000000002</v>
      </c>
      <c r="AL3970" s="24"/>
      <c r="AM3970" s="24"/>
      <c r="AN3970" s="24"/>
      <c r="AO3970" s="24"/>
      <c r="AP3970" s="165" t="str">
        <f t="shared" si="1199"/>
        <v>20253</v>
      </c>
      <c r="AQ3970" s="203" t="str">
        <f t="shared" si="1200"/>
        <v>20253RMB</v>
      </c>
      <c r="AR3970" s="206" t="str">
        <f t="shared" si="1201"/>
        <v>YAMAHA_Non_Mounter</v>
      </c>
      <c r="AS3970" s="22">
        <f t="shared" si="1202"/>
        <v>0</v>
      </c>
      <c r="AT3970" s="24" t="str">
        <f t="shared" si="1203"/>
        <v>0-3 months</v>
      </c>
    </row>
    <row r="3971" spans="1:46">
      <c r="A3971" s="33" t="str">
        <f t="shared" si="1194"/>
        <v>FY 24/25</v>
      </c>
      <c r="B3971" s="23">
        <v>2025</v>
      </c>
      <c r="C3971" s="23">
        <v>3</v>
      </c>
      <c r="D3971" s="202" t="str">
        <f t="shared" si="1205"/>
        <v>Q4</v>
      </c>
      <c r="E3971" s="33" t="str">
        <f t="shared" si="1193"/>
        <v>FY 24/25</v>
      </c>
      <c r="F3971" s="23">
        <v>2025</v>
      </c>
      <c r="G3971" s="23">
        <v>3</v>
      </c>
      <c r="H3971" s="29"/>
      <c r="I3971" s="204" t="str">
        <f t="shared" si="1195"/>
        <v>Q4</v>
      </c>
      <c r="J3971" s="188" t="s">
        <v>3733</v>
      </c>
      <c r="K3971" s="248" t="s">
        <v>3734</v>
      </c>
      <c r="L3971" s="24" t="s">
        <v>68</v>
      </c>
      <c r="M3971" s="13" t="s">
        <v>61</v>
      </c>
      <c r="N3971" s="22">
        <v>1</v>
      </c>
      <c r="O3971" s="22"/>
      <c r="P3971" s="202" t="str">
        <f t="shared" si="1204"/>
        <v>MAIN UNIT</v>
      </c>
      <c r="Q3971" s="22" t="s">
        <v>69</v>
      </c>
      <c r="R3971" s="22" t="s">
        <v>63</v>
      </c>
      <c r="S3971" s="22" t="s">
        <v>53</v>
      </c>
      <c r="T3971" s="22" t="s">
        <v>142</v>
      </c>
      <c r="U3971" s="22" t="s">
        <v>1078</v>
      </c>
      <c r="V3971" s="22" t="s">
        <v>144</v>
      </c>
      <c r="W3971" s="22" t="s">
        <v>65</v>
      </c>
      <c r="X3971" s="104">
        <v>500000</v>
      </c>
      <c r="Y3971" s="195" t="str">
        <f t="shared" si="1207"/>
        <v>1.13</v>
      </c>
      <c r="Z3971" s="196">
        <f t="shared" si="1206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196"/>
        <v>56654.867256637175</v>
      </c>
      <c r="AD3971" s="169">
        <v>0.12</v>
      </c>
      <c r="AE3971" s="199">
        <f t="shared" si="1197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8"/>
        <v>18049063.654867258</v>
      </c>
      <c r="AJ3971" s="200">
        <f t="shared" si="1209"/>
        <v>2165887.6385840713</v>
      </c>
      <c r="AK3971" s="201">
        <f t="shared" si="1198"/>
        <v>0.12000000000000002</v>
      </c>
      <c r="AL3971" s="24"/>
      <c r="AM3971" s="24"/>
      <c r="AN3971" s="24"/>
      <c r="AO3971" s="24"/>
      <c r="AP3971" s="165" t="str">
        <f t="shared" si="1199"/>
        <v>20253</v>
      </c>
      <c r="AQ3971" s="203" t="str">
        <f t="shared" si="1200"/>
        <v>20253RMB</v>
      </c>
      <c r="AR3971" s="206" t="str">
        <f t="shared" si="1201"/>
        <v>YAMAHA_Mounter</v>
      </c>
      <c r="AS3971" s="22">
        <f t="shared" si="1202"/>
        <v>0</v>
      </c>
      <c r="AT3971" s="24" t="str">
        <f t="shared" si="1203"/>
        <v>0-3 months</v>
      </c>
    </row>
    <row r="3972" spans="1:46" ht="39.6">
      <c r="A3972" s="33" t="str">
        <f t="shared" si="1194"/>
        <v/>
      </c>
      <c r="B3972" s="23"/>
      <c r="C3972" s="23"/>
      <c r="D3972" s="202" t="str">
        <f t="shared" si="1205"/>
        <v/>
      </c>
      <c r="E3972" s="33" t="s">
        <v>3173</v>
      </c>
      <c r="F3972" s="23">
        <v>2025</v>
      </c>
      <c r="G3972" s="23">
        <v>2</v>
      </c>
      <c r="H3972" s="29"/>
      <c r="I3972" s="204" t="str">
        <f t="shared" ref="I3972:I3984" si="1210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44</v>
      </c>
      <c r="M3972" s="22" t="s">
        <v>44</v>
      </c>
      <c r="N3972" s="22">
        <v>0</v>
      </c>
      <c r="O3972" s="22"/>
      <c r="P3972" s="202" t="str">
        <f t="shared" ref="P3972:P3976" si="1211">IF(M3972="","",IF(AND(N3972&gt;0,L3972&lt;&gt;""),"MAIN UNIT",IF(AND(O3972&gt;0,L3972&lt;&gt;""),"SERVICE/ PARTS","C66 SERVICE/OTHERS")))</f>
        <v>C66 SERVICE/OTHERS</v>
      </c>
      <c r="Q3972" s="22" t="s">
        <v>46</v>
      </c>
      <c r="R3972" s="22" t="s">
        <v>46</v>
      </c>
      <c r="S3972" s="22" t="s">
        <v>53</v>
      </c>
      <c r="T3972" s="22"/>
      <c r="U3972" s="22"/>
      <c r="V3972" s="22"/>
      <c r="W3972" s="22"/>
      <c r="X3972" s="104"/>
      <c r="Y3972" s="195" t="str">
        <f t="shared" ref="Y3972:Y3975" si="1212">IF(W3972="","",IF(W3972="RMB","1.13", "1"))</f>
        <v/>
      </c>
      <c r="Z3972" s="196" t="str">
        <f t="shared" ref="Z3972:Z3975" si="1213">IF(X3972="","",X3972*MAX(O3972,N3972))</f>
        <v/>
      </c>
      <c r="AA3972" s="22"/>
      <c r="AB3972" s="197">
        <v>13000</v>
      </c>
      <c r="AC3972" s="198">
        <f t="shared" ref="AC3972:AC3975" si="1214">IF(R3972&lt;&gt;"",AB3972*AD3972,"")</f>
        <v>3900</v>
      </c>
      <c r="AD3972" s="162">
        <v>0.3</v>
      </c>
      <c r="AE3972" s="199">
        <f t="shared" ref="AE3972:AE3975" si="1215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16">IF(P3972="C66 SERVICE","",SUMIFS(AB:AB,F:F,F3972,G:G,G3972,E:E,E3972))</f>
        <v>30691842.970796466</v>
      </c>
      <c r="AJ3972" s="200">
        <f t="shared" ref="AJ3972:AJ3975" si="1217">IF(P3972="C66 SERVICE","",SUMIFS(AC:AC,F:F,F3972,G:G,G3972,E:E,E3972))</f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</row>
    <row r="3973" spans="1:46" ht="39.6">
      <c r="A3973" s="33" t="str">
        <f t="shared" si="1194"/>
        <v/>
      </c>
      <c r="B3973" s="23"/>
      <c r="C3973" s="23"/>
      <c r="D3973" s="202" t="str">
        <f t="shared" si="1205"/>
        <v/>
      </c>
      <c r="E3973" s="33" t="s">
        <v>3173</v>
      </c>
      <c r="F3973" s="23">
        <v>2025</v>
      </c>
      <c r="G3973" s="23">
        <v>2</v>
      </c>
      <c r="H3973" s="29"/>
      <c r="I3973" s="204" t="str">
        <f t="shared" si="1210"/>
        <v>Q4</v>
      </c>
      <c r="J3973" s="188"/>
      <c r="K3973" s="29"/>
      <c r="L3973" s="24" t="s">
        <v>44</v>
      </c>
      <c r="M3973" s="22" t="s">
        <v>44</v>
      </c>
      <c r="N3973" s="22">
        <v>0</v>
      </c>
      <c r="O3973" s="22"/>
      <c r="P3973" s="202" t="str">
        <f t="shared" si="1211"/>
        <v>C66 SERVICE/OTHERS</v>
      </c>
      <c r="Q3973" s="22" t="s">
        <v>46</v>
      </c>
      <c r="R3973" s="22" t="s">
        <v>46</v>
      </c>
      <c r="S3973" s="22" t="s">
        <v>52</v>
      </c>
      <c r="T3973" s="22"/>
      <c r="U3973" s="22"/>
      <c r="V3973" s="22"/>
      <c r="W3973" s="22"/>
      <c r="X3973" s="104"/>
      <c r="Y3973" s="195" t="str">
        <f t="shared" si="1212"/>
        <v/>
      </c>
      <c r="Z3973" s="196" t="str">
        <f t="shared" si="1213"/>
        <v/>
      </c>
      <c r="AA3973" s="22"/>
      <c r="AB3973" s="197">
        <v>19000</v>
      </c>
      <c r="AC3973" s="198">
        <f t="shared" si="1214"/>
        <v>5700</v>
      </c>
      <c r="AD3973" s="162">
        <v>0.3</v>
      </c>
      <c r="AE3973" s="199">
        <f t="shared" si="1215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30691842.970796466</v>
      </c>
      <c r="AJ3973" s="200">
        <f t="shared" si="1217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</row>
    <row r="3974" spans="1:46" ht="39.6">
      <c r="A3974" s="33" t="str">
        <f t="shared" si="1194"/>
        <v/>
      </c>
      <c r="B3974" s="23"/>
      <c r="C3974" s="23"/>
      <c r="D3974" s="202" t="str">
        <f t="shared" si="1205"/>
        <v/>
      </c>
      <c r="E3974" s="33" t="s">
        <v>3173</v>
      </c>
      <c r="F3974" s="23">
        <v>2025</v>
      </c>
      <c r="G3974" s="23">
        <v>2</v>
      </c>
      <c r="H3974" s="29"/>
      <c r="I3974" s="204" t="str">
        <f t="shared" si="1210"/>
        <v>Q4</v>
      </c>
      <c r="J3974" s="188"/>
      <c r="K3974" s="29"/>
      <c r="L3974" s="24" t="s">
        <v>44</v>
      </c>
      <c r="M3974" s="22" t="s">
        <v>44</v>
      </c>
      <c r="N3974" s="22">
        <v>0</v>
      </c>
      <c r="O3974" s="22"/>
      <c r="P3974" s="202" t="str">
        <f t="shared" si="1211"/>
        <v>C66 SERVICE/OTHERS</v>
      </c>
      <c r="Q3974" s="22" t="s">
        <v>46</v>
      </c>
      <c r="R3974" s="22" t="s">
        <v>46</v>
      </c>
      <c r="S3974" s="22" t="s">
        <v>51</v>
      </c>
      <c r="T3974" s="22"/>
      <c r="U3974" s="22"/>
      <c r="V3974" s="22"/>
      <c r="W3974" s="22"/>
      <c r="X3974" s="104"/>
      <c r="Y3974" s="195" t="str">
        <f t="shared" si="1212"/>
        <v/>
      </c>
      <c r="Z3974" s="196" t="str">
        <f t="shared" si="1213"/>
        <v/>
      </c>
      <c r="AA3974" s="22"/>
      <c r="AB3974" s="197">
        <v>17000</v>
      </c>
      <c r="AC3974" s="198">
        <f t="shared" si="1214"/>
        <v>5100</v>
      </c>
      <c r="AD3974" s="162">
        <v>0.3</v>
      </c>
      <c r="AE3974" s="199">
        <f t="shared" si="1215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30691842.970796466</v>
      </c>
      <c r="AJ3974" s="200">
        <f t="shared" si="1217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</row>
    <row r="3975" spans="1:46" ht="39.6">
      <c r="A3975" s="33" t="str">
        <f t="shared" si="1194"/>
        <v/>
      </c>
      <c r="B3975" s="23"/>
      <c r="C3975" s="23"/>
      <c r="D3975" s="202" t="str">
        <f t="shared" si="1205"/>
        <v/>
      </c>
      <c r="E3975" s="33" t="s">
        <v>3173</v>
      </c>
      <c r="F3975" s="23">
        <v>2025</v>
      </c>
      <c r="G3975" s="23">
        <v>2</v>
      </c>
      <c r="H3975" s="29"/>
      <c r="I3975" s="204" t="str">
        <f t="shared" si="1210"/>
        <v>Q4</v>
      </c>
      <c r="J3975" s="188"/>
      <c r="K3975" s="29"/>
      <c r="L3975" s="24" t="s">
        <v>44</v>
      </c>
      <c r="M3975" s="22" t="s">
        <v>44</v>
      </c>
      <c r="N3975" s="22">
        <v>0</v>
      </c>
      <c r="O3975" s="22"/>
      <c r="P3975" s="202" t="str">
        <f t="shared" si="1211"/>
        <v>C66 SERVICE/OTHERS</v>
      </c>
      <c r="Q3975" s="22" t="s">
        <v>46</v>
      </c>
      <c r="R3975" s="22" t="s">
        <v>46</v>
      </c>
      <c r="S3975" s="22" t="s">
        <v>50</v>
      </c>
      <c r="T3975" s="22"/>
      <c r="U3975" s="22"/>
      <c r="V3975" s="22"/>
      <c r="W3975" s="22"/>
      <c r="X3975" s="104"/>
      <c r="Y3975" s="195" t="str">
        <f t="shared" si="1212"/>
        <v/>
      </c>
      <c r="Z3975" s="196" t="str">
        <f t="shared" si="1213"/>
        <v/>
      </c>
      <c r="AA3975" s="22"/>
      <c r="AB3975" s="197">
        <v>336000</v>
      </c>
      <c r="AC3975" s="198">
        <f t="shared" si="1214"/>
        <v>100800</v>
      </c>
      <c r="AD3975" s="162">
        <v>0.3</v>
      </c>
      <c r="AE3975" s="199">
        <f t="shared" si="1215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30691842.970796466</v>
      </c>
      <c r="AJ3975" s="200">
        <f t="shared" si="1217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</row>
    <row r="3976" spans="1:46">
      <c r="A3976" s="33" t="str">
        <f t="shared" si="1194"/>
        <v>FY 24/25</v>
      </c>
      <c r="B3976" s="23">
        <v>2025</v>
      </c>
      <c r="C3976" s="23">
        <v>3</v>
      </c>
      <c r="D3976" s="202" t="str">
        <f t="shared" si="1205"/>
        <v>Q4</v>
      </c>
      <c r="E3976" s="33" t="str">
        <f t="shared" si="1193"/>
        <v>TBA</v>
      </c>
      <c r="F3976" s="23" t="s">
        <v>2585</v>
      </c>
      <c r="G3976" s="23" t="s">
        <v>2585</v>
      </c>
      <c r="H3976" s="29"/>
      <c r="I3976" s="204" t="str">
        <f t="shared" si="1210"/>
        <v>TBA</v>
      </c>
      <c r="J3976" s="188" t="s">
        <v>3735</v>
      </c>
      <c r="K3976" s="29" t="s">
        <v>713</v>
      </c>
      <c r="L3976" s="24" t="s">
        <v>68</v>
      </c>
      <c r="M3976" s="13" t="s">
        <v>61</v>
      </c>
      <c r="N3976" s="22">
        <v>1</v>
      </c>
      <c r="O3976" s="22"/>
      <c r="P3976" s="202" t="str">
        <f t="shared" si="1211"/>
        <v>MAIN UNIT</v>
      </c>
      <c r="Q3976" s="22" t="s">
        <v>62</v>
      </c>
      <c r="R3976" s="22" t="s">
        <v>63</v>
      </c>
      <c r="S3976" s="22" t="s">
        <v>50</v>
      </c>
      <c r="T3976" s="22" t="s">
        <v>79</v>
      </c>
      <c r="U3976" s="22" t="s">
        <v>121</v>
      </c>
      <c r="V3976" s="22" t="s">
        <v>113</v>
      </c>
      <c r="W3976" s="22" t="s">
        <v>65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6">IF(R3976&lt;&gt;"",AB3976*AD3976,"")</f>
        <v>40320.119999999995</v>
      </c>
      <c r="AD3976" s="169">
        <v>0.12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28">IF(P3976="C66 SERVICE","",SUMIFS(AB:AB,F:F,F3976,G:G,G3976,E:E,E3976))</f>
        <v>16938722.68141593</v>
      </c>
      <c r="AJ3976" s="200">
        <f t="shared" ref="AJ3976:AJ3990" si="1229">IF(P3976="C66 SERVICE","",SUMIFS(AC:AC,F:F,F3976,G:G,G3976,E:E,E3976))</f>
        <v>1963521.6067699119</v>
      </c>
      <c r="AK3976" s="201">
        <f t="shared" ref="AK3976:AK3990" si="1230">IF(AJ3976&gt;0,AJ3976/AI3976,"")</f>
        <v>0.11591910698934582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</row>
    <row r="3977" spans="1:46">
      <c r="A3977" s="33" t="str">
        <f t="shared" si="1194"/>
        <v/>
      </c>
      <c r="B3977" s="23"/>
      <c r="C3977" s="23"/>
      <c r="D3977" s="202" t="str">
        <f t="shared" ref="D3977:D3994" si="1236">IF(B3977="","",IF(AND(C3977&gt;=10,C3977&lt;=12),"Q3",IF(AND(C3977&gt;=1,C3977&lt;=3),"Q4",IF(AND(C3977&gt;=7,C3977&lt;=9),"Q2",IF(AND(C3977&gt;=4,C3977&lt;=6),"Q1")))))</f>
        <v/>
      </c>
      <c r="E3977" s="33" t="str">
        <f t="shared" ref="E3977:E3994" si="1237">IF(G3977="Cancel","Cancel",IF(G3977="TBA","TBA",IFERROR(IF(I3977="Q4","FY "&amp;RIGHT(F3977,2)-1&amp;"/"&amp;RIGHT(F3977,2),"FY "&amp;RIGHT(F3977,2)&amp;"/"&amp;RIGHT(F3977,2)+1),"")))</f>
        <v/>
      </c>
      <c r="F3977" s="23"/>
      <c r="G3977" s="23"/>
      <c r="H3977" s="29"/>
      <c r="I3977" s="204" t="str">
        <f t="shared" si="1210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22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28"/>
        <v>0</v>
      </c>
      <c r="AJ3977" s="200">
        <f t="shared" si="1229"/>
        <v>0</v>
      </c>
      <c r="AK3977" s="201" t="str">
        <f t="shared" si="1230"/>
        <v/>
      </c>
      <c r="AL3977" s="24"/>
      <c r="AM3977" s="24"/>
      <c r="AN3977" s="24"/>
      <c r="AO3977" s="24"/>
      <c r="AP3977" s="165" t="str">
        <f t="shared" si="1231"/>
        <v/>
      </c>
      <c r="AQ3977" s="203" t="str">
        <f t="shared" si="1232"/>
        <v/>
      </c>
      <c r="AR3977" s="206">
        <f t="shared" si="1233"/>
        <v>0</v>
      </c>
      <c r="AS3977" s="22" t="str">
        <f t="shared" si="1234"/>
        <v/>
      </c>
      <c r="AT3977" s="24" t="str">
        <f t="shared" si="1235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36"/>
        <v/>
      </c>
      <c r="E3978" s="33" t="str">
        <f t="shared" si="1237"/>
        <v/>
      </c>
      <c r="F3978" s="23"/>
      <c r="G3978" s="23"/>
      <c r="H3978" s="29"/>
      <c r="I3978" s="204" t="str">
        <f t="shared" si="1210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22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28"/>
        <v>0</v>
      </c>
      <c r="AJ3978" s="200">
        <f t="shared" si="1229"/>
        <v>0</v>
      </c>
      <c r="AK3978" s="201" t="str">
        <f t="shared" si="1230"/>
        <v/>
      </c>
      <c r="AL3978" s="24"/>
      <c r="AM3978" s="24"/>
      <c r="AN3978" s="24"/>
      <c r="AO3978" s="24"/>
      <c r="AP3978" s="165" t="str">
        <f t="shared" si="1231"/>
        <v/>
      </c>
      <c r="AQ3978" s="203" t="str">
        <f t="shared" si="1232"/>
        <v/>
      </c>
      <c r="AR3978" s="206">
        <f t="shared" si="1233"/>
        <v>0</v>
      </c>
      <c r="AS3978" s="22" t="str">
        <f t="shared" si="1234"/>
        <v/>
      </c>
      <c r="AT3978" s="24" t="str">
        <f t="shared" si="1235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36"/>
        <v/>
      </c>
      <c r="E3979" s="33" t="str">
        <f t="shared" si="1237"/>
        <v/>
      </c>
      <c r="F3979" s="23"/>
      <c r="G3979" s="23"/>
      <c r="H3979" s="29"/>
      <c r="I3979" s="204" t="str">
        <f t="shared" si="1210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22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28"/>
        <v>0</v>
      </c>
      <c r="AJ3979" s="200">
        <f t="shared" si="1229"/>
        <v>0</v>
      </c>
      <c r="AK3979" s="201" t="str">
        <f t="shared" si="1230"/>
        <v/>
      </c>
      <c r="AL3979" s="24"/>
      <c r="AM3979" s="24"/>
      <c r="AN3979" s="24"/>
      <c r="AO3979" s="24"/>
      <c r="AP3979" s="165" t="str">
        <f t="shared" si="1231"/>
        <v/>
      </c>
      <c r="AQ3979" s="203" t="str">
        <f t="shared" si="1232"/>
        <v/>
      </c>
      <c r="AR3979" s="206">
        <f t="shared" si="1233"/>
        <v>0</v>
      </c>
      <c r="AS3979" s="22" t="str">
        <f t="shared" si="1234"/>
        <v/>
      </c>
      <c r="AT3979" s="24" t="str">
        <f t="shared" si="1235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36"/>
        <v/>
      </c>
      <c r="E3980" s="33" t="str">
        <f t="shared" si="1237"/>
        <v/>
      </c>
      <c r="F3980" s="23"/>
      <c r="G3980" s="23"/>
      <c r="H3980" s="29"/>
      <c r="I3980" s="204" t="str">
        <f t="shared" si="1210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22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28"/>
        <v>0</v>
      </c>
      <c r="AJ3980" s="200">
        <f t="shared" si="1229"/>
        <v>0</v>
      </c>
      <c r="AK3980" s="201" t="str">
        <f t="shared" si="1230"/>
        <v/>
      </c>
      <c r="AL3980" s="24"/>
      <c r="AM3980" s="24"/>
      <c r="AN3980" s="24"/>
      <c r="AO3980" s="24"/>
      <c r="AP3980" s="165" t="str">
        <f t="shared" si="1231"/>
        <v/>
      </c>
      <c r="AQ3980" s="203" t="str">
        <f t="shared" si="1232"/>
        <v/>
      </c>
      <c r="AR3980" s="206">
        <f t="shared" si="1233"/>
        <v>0</v>
      </c>
      <c r="AS3980" s="22" t="str">
        <f t="shared" si="1234"/>
        <v/>
      </c>
      <c r="AT3980" s="24" t="str">
        <f t="shared" si="1235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36"/>
        <v/>
      </c>
      <c r="E3981" s="33" t="str">
        <f t="shared" si="1237"/>
        <v/>
      </c>
      <c r="F3981" s="23"/>
      <c r="G3981" s="23"/>
      <c r="H3981" s="29"/>
      <c r="I3981" s="204" t="str">
        <f t="shared" si="1210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22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28"/>
        <v>0</v>
      </c>
      <c r="AJ3981" s="200">
        <f t="shared" si="1229"/>
        <v>0</v>
      </c>
      <c r="AK3981" s="201" t="str">
        <f t="shared" si="1230"/>
        <v/>
      </c>
      <c r="AL3981" s="24"/>
      <c r="AM3981" s="24"/>
      <c r="AN3981" s="24"/>
      <c r="AO3981" s="24"/>
      <c r="AP3981" s="165" t="str">
        <f t="shared" si="1231"/>
        <v/>
      </c>
      <c r="AQ3981" s="203" t="str">
        <f t="shared" si="1232"/>
        <v/>
      </c>
      <c r="AR3981" s="206">
        <f t="shared" si="1233"/>
        <v>0</v>
      </c>
      <c r="AS3981" s="22" t="str">
        <f t="shared" si="1234"/>
        <v/>
      </c>
      <c r="AT3981" s="24" t="str">
        <f t="shared" si="1235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36"/>
        <v/>
      </c>
      <c r="E3982" s="33" t="str">
        <f t="shared" si="1237"/>
        <v/>
      </c>
      <c r="F3982" s="23"/>
      <c r="G3982" s="23"/>
      <c r="H3982" s="29"/>
      <c r="I3982" s="204" t="str">
        <f t="shared" si="1210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22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28"/>
        <v>0</v>
      </c>
      <c r="AJ3982" s="200">
        <f t="shared" si="1229"/>
        <v>0</v>
      </c>
      <c r="AK3982" s="201" t="str">
        <f t="shared" si="1230"/>
        <v/>
      </c>
      <c r="AL3982" s="24"/>
      <c r="AM3982" s="24"/>
      <c r="AN3982" s="24"/>
      <c r="AO3982" s="24"/>
      <c r="AP3982" s="165" t="str">
        <f t="shared" si="1231"/>
        <v/>
      </c>
      <c r="AQ3982" s="203" t="str">
        <f t="shared" si="1232"/>
        <v/>
      </c>
      <c r="AR3982" s="206">
        <f t="shared" si="1233"/>
        <v>0</v>
      </c>
      <c r="AS3982" s="22" t="str">
        <f t="shared" si="1234"/>
        <v/>
      </c>
      <c r="AT3982" s="24" t="str">
        <f t="shared" si="1235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36"/>
        <v/>
      </c>
      <c r="E3983" s="33" t="str">
        <f t="shared" si="1237"/>
        <v/>
      </c>
      <c r="F3983" s="23"/>
      <c r="G3983" s="23"/>
      <c r="H3983" s="29"/>
      <c r="I3983" s="204" t="str">
        <f t="shared" si="1210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22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28"/>
        <v>0</v>
      </c>
      <c r="AJ3983" s="200">
        <f t="shared" si="1229"/>
        <v>0</v>
      </c>
      <c r="AK3983" s="201" t="str">
        <f t="shared" si="1230"/>
        <v/>
      </c>
      <c r="AL3983" s="24"/>
      <c r="AM3983" s="24"/>
      <c r="AN3983" s="24"/>
      <c r="AO3983" s="24"/>
      <c r="AP3983" s="165" t="str">
        <f t="shared" si="1231"/>
        <v/>
      </c>
      <c r="AQ3983" s="203" t="str">
        <f t="shared" si="1232"/>
        <v/>
      </c>
      <c r="AR3983" s="206">
        <f t="shared" si="1233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36"/>
        <v/>
      </c>
      <c r="E3984" s="33" t="str">
        <f t="shared" si="1237"/>
        <v/>
      </c>
      <c r="F3984" s="23"/>
      <c r="G3984" s="23"/>
      <c r="H3984" s="29"/>
      <c r="I3984" s="204" t="str">
        <f t="shared" si="1210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22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28"/>
        <v>0</v>
      </c>
      <c r="AJ3984" s="200">
        <f t="shared" si="1229"/>
        <v>0</v>
      </c>
      <c r="AK3984" s="201" t="str">
        <f t="shared" si="1230"/>
        <v/>
      </c>
      <c r="AL3984" s="24"/>
      <c r="AM3984" s="24"/>
      <c r="AN3984" s="24"/>
      <c r="AO3984" s="24"/>
      <c r="AP3984" s="165" t="str">
        <f t="shared" si="1231"/>
        <v/>
      </c>
      <c r="AQ3984" s="203" t="str">
        <f t="shared" si="1232"/>
        <v/>
      </c>
      <c r="AR3984" s="206">
        <f t="shared" si="1233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36"/>
        <v/>
      </c>
      <c r="E3985" s="33" t="str">
        <f t="shared" si="1237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22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28"/>
        <v>0</v>
      </c>
      <c r="AJ3985" s="200">
        <f t="shared" si="1229"/>
        <v>0</v>
      </c>
      <c r="AK3985" s="201" t="str">
        <f t="shared" si="1230"/>
        <v/>
      </c>
      <c r="AL3985" s="24"/>
      <c r="AM3985" s="24"/>
      <c r="AN3985" s="24"/>
      <c r="AO3985" s="24"/>
      <c r="AP3985" s="165" t="str">
        <f t="shared" si="1231"/>
        <v/>
      </c>
      <c r="AQ3985" s="203" t="str">
        <f t="shared" si="1232"/>
        <v/>
      </c>
      <c r="AR3985" s="206">
        <f t="shared" si="1233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36"/>
        <v/>
      </c>
      <c r="E3986" s="33" t="str">
        <f t="shared" si="1237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38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22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28"/>
        <v>0</v>
      </c>
      <c r="AJ3986" s="200">
        <f t="shared" si="1229"/>
        <v>0</v>
      </c>
      <c r="AK3986" s="201" t="str">
        <f t="shared" si="1230"/>
        <v/>
      </c>
      <c r="AL3986" s="24"/>
      <c r="AM3986" s="24"/>
      <c r="AN3986" s="24"/>
      <c r="AO3986" s="24"/>
      <c r="AP3986" s="165" t="str">
        <f t="shared" si="1231"/>
        <v/>
      </c>
      <c r="AQ3986" s="203" t="str">
        <f t="shared" si="1232"/>
        <v/>
      </c>
      <c r="AR3986" s="206">
        <f t="shared" si="1233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36"/>
        <v/>
      </c>
      <c r="E3987" s="33" t="str">
        <f t="shared" si="1237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38"/>
        <v/>
      </c>
      <c r="AC3987" s="198" t="str">
        <f t="shared" si="1196"/>
        <v/>
      </c>
      <c r="AD3987" s="162"/>
      <c r="AE3987" s="199" t="str">
        <f t="shared" si="122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28"/>
        <v>0</v>
      </c>
      <c r="AJ3987" s="200">
        <f t="shared" si="1229"/>
        <v>0</v>
      </c>
      <c r="AK3987" s="201" t="str">
        <f t="shared" si="1230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36"/>
        <v/>
      </c>
      <c r="E3988" s="33" t="str">
        <f t="shared" si="1237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38"/>
        <v/>
      </c>
      <c r="AC3988" s="198" t="str">
        <f t="shared" si="1196"/>
        <v/>
      </c>
      <c r="AD3988" s="162"/>
      <c r="AE3988" s="199" t="str">
        <f t="shared" si="122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28"/>
        <v>0</v>
      </c>
      <c r="AJ3988" s="200">
        <f t="shared" si="1229"/>
        <v>0</v>
      </c>
      <c r="AK3988" s="201" t="str">
        <f t="shared" si="1230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36"/>
        <v/>
      </c>
      <c r="E3989" s="33" t="str">
        <f t="shared" si="1237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38"/>
        <v/>
      </c>
      <c r="AC3989" s="198" t="str">
        <f t="shared" si="1196"/>
        <v/>
      </c>
      <c r="AD3989" s="162"/>
      <c r="AE3989" s="199" t="str">
        <f t="shared" si="122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28"/>
        <v>0</v>
      </c>
      <c r="AJ3989" s="200">
        <f t="shared" si="1229"/>
        <v>0</v>
      </c>
      <c r="AK3989" s="201" t="str">
        <f t="shared" si="1230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36"/>
        <v/>
      </c>
      <c r="E3990" s="33" t="str">
        <f t="shared" si="1237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38"/>
        <v/>
      </c>
      <c r="AC3990" s="198" t="str">
        <f t="shared" si="1196"/>
        <v/>
      </c>
      <c r="AD3990" s="162"/>
      <c r="AE3990" s="199" t="str">
        <f t="shared" si="122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28"/>
        <v>0</v>
      </c>
      <c r="AJ3990" s="200">
        <f t="shared" si="1229"/>
        <v>0</v>
      </c>
      <c r="AK3990" s="201" t="str">
        <f t="shared" si="1230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36"/>
        <v/>
      </c>
      <c r="E3991" s="33" t="str">
        <f t="shared" si="1237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38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36"/>
        <v/>
      </c>
      <c r="E3992" s="33" t="str">
        <f t="shared" si="1237"/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38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36"/>
        <v/>
      </c>
      <c r="E3993" s="33" t="str">
        <f t="shared" si="1237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38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36"/>
        <v/>
      </c>
      <c r="E3994" s="33" t="str">
        <f t="shared" si="1237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38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ref="E3995:E3997" si="1239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39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39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8" spans="1:46">
      <c r="J3998" s="186"/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1" priority="153"/>
  </conditionalFormatting>
  <conditionalFormatting sqref="J3509 J3502:J3507 J3255:J3500">
    <cfRule type="duplicateValues" dxfId="110" priority="33"/>
  </conditionalFormatting>
  <conditionalFormatting sqref="Z3255:Z3500 Z3502:Z3674 Z3677:Z3994">
    <cfRule type="cellIs" dxfId="109" priority="31" operator="lessThanOrEqual">
      <formula>0</formula>
    </cfRule>
  </conditionalFormatting>
  <conditionalFormatting sqref="J856">
    <cfRule type="duplicateValues" dxfId="108" priority="18"/>
  </conditionalFormatting>
  <conditionalFormatting sqref="J1670:J1673">
    <cfRule type="duplicateValues" dxfId="107" priority="28"/>
  </conditionalFormatting>
  <conditionalFormatting sqref="J2327:J2902">
    <cfRule type="duplicateValues" dxfId="106" priority="30"/>
  </conditionalFormatting>
  <conditionalFormatting sqref="J2910:J2911">
    <cfRule type="duplicateValues" dxfId="105" priority="23"/>
  </conditionalFormatting>
  <conditionalFormatting sqref="J2912">
    <cfRule type="duplicateValues" dxfId="104" priority="27"/>
  </conditionalFormatting>
  <conditionalFormatting sqref="J2913">
    <cfRule type="duplicateValues" dxfId="103" priority="26"/>
  </conditionalFormatting>
  <conditionalFormatting sqref="J2995:J2996">
    <cfRule type="duplicateValues" dxfId="102" priority="22"/>
  </conditionalFormatting>
  <conditionalFormatting sqref="J3018 J3020:J3023">
    <cfRule type="duplicateValues" dxfId="101" priority="25"/>
  </conditionalFormatting>
  <conditionalFormatting sqref="J3019">
    <cfRule type="duplicateValues" dxfId="100" priority="24"/>
  </conditionalFormatting>
  <conditionalFormatting sqref="J3115">
    <cfRule type="duplicateValues" dxfId="99" priority="21"/>
  </conditionalFormatting>
  <conditionalFormatting sqref="J3148">
    <cfRule type="duplicateValues" dxfId="98" priority="20"/>
  </conditionalFormatting>
  <conditionalFormatting sqref="J3191:J3192">
    <cfRule type="duplicateValues" dxfId="97" priority="19"/>
  </conditionalFormatting>
  <conditionalFormatting sqref="J3196:J3201 J3203 J3205:J3213">
    <cfRule type="duplicateValues" dxfId="96" priority="17"/>
  </conditionalFormatting>
  <conditionalFormatting sqref="J3214:J3254 J2931:J3195 J2079:J2929 J2:J2077">
    <cfRule type="duplicateValues" dxfId="95" priority="29"/>
  </conditionalFormatting>
  <conditionalFormatting sqref="Z2:Z3254">
    <cfRule type="cellIs" dxfId="94" priority="16" operator="lessThanOrEqual">
      <formula>0</formula>
    </cfRule>
  </conditionalFormatting>
  <conditionalFormatting sqref="J3202">
    <cfRule type="duplicateValues" dxfId="93" priority="15"/>
  </conditionalFormatting>
  <conditionalFormatting sqref="J2930">
    <cfRule type="duplicateValues" dxfId="92" priority="14"/>
  </conditionalFormatting>
  <conditionalFormatting sqref="J3204">
    <cfRule type="duplicateValues" dxfId="91" priority="13"/>
  </conditionalFormatting>
  <conditionalFormatting sqref="J2078">
    <cfRule type="duplicateValues" dxfId="90" priority="12"/>
  </conditionalFormatting>
  <conditionalFormatting sqref="J3515">
    <cfRule type="duplicateValues" dxfId="89" priority="11"/>
  </conditionalFormatting>
  <conditionalFormatting sqref="J3501">
    <cfRule type="duplicateValues" dxfId="88" priority="9"/>
  </conditionalFormatting>
  <conditionalFormatting sqref="Z3501">
    <cfRule type="cellIs" dxfId="87" priority="8" operator="lessThanOrEqual">
      <formula>0</formula>
    </cfRule>
  </conditionalFormatting>
  <conditionalFormatting sqref="K3738:K3749">
    <cfRule type="duplicateValues" dxfId="86" priority="7"/>
  </conditionalFormatting>
  <conditionalFormatting sqref="Z3675">
    <cfRule type="cellIs" dxfId="85" priority="6" operator="lessThanOrEqual">
      <formula>0</formula>
    </cfRule>
  </conditionalFormatting>
  <conditionalFormatting sqref="Z3676">
    <cfRule type="cellIs" dxfId="84" priority="5" operator="lessThanOrEqual">
      <formula>0</formula>
    </cfRule>
  </conditionalFormatting>
  <conditionalFormatting sqref="J3998">
    <cfRule type="duplicateValues" dxfId="83" priority="4"/>
  </conditionalFormatting>
  <conditionalFormatting sqref="J3998">
    <cfRule type="duplicateValues" dxfId="82" priority="3"/>
  </conditionalFormatting>
  <conditionalFormatting sqref="J3964">
    <cfRule type="duplicateValues" dxfId="81" priority="2"/>
  </conditionalFormatting>
  <conditionalFormatting sqref="J3964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1" zoomScale="55" zoomScaleNormal="55" workbookViewId="0">
      <selection activeCell="AD13" sqref="AD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53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6" t="s">
        <v>3204</v>
      </c>
      <c r="Q3" s="177" t="s">
        <v>52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66"/>
      <c r="Q4" s="177" t="s">
        <v>51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66"/>
      <c r="Q5" s="178" t="s">
        <v>50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16817103.566371687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18049063.654867258</v>
      </c>
      <c r="AB13" s="150" t="s">
        <v>3173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855337.2831858407</v>
      </c>
      <c r="AF13" s="79">
        <f>IF(AD13="","",SUMIFS(raw_sheet!AB:AB,raw_sheet!A:A,list!AB13,raw_sheet!B:B,list!AC13,raw_sheet!C:C,list!AD13,raw_sheet!S:S,list!$AF$12))</f>
        <v>321044.24778761063</v>
      </c>
      <c r="AG13" s="79">
        <f>IF(AD13="","",SUMIFS(raw_sheet!AB:AB,raw_sheet!A:A,list!AB13,raw_sheet!B:B,list!AC13,raw_sheet!C:C,list!AD13,raw_sheet!S:S,list!$AG$12))</f>
        <v>472123.89380530978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1648505.4247787611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3696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939000</v>
      </c>
      <c r="AK18" s="124" cm="1">
        <f t="array" ref="AK18">IFERROR(SUMPRODUCT((AD21:AD150="EAST")*(AJ21:AJ150)),0)</f>
        <v>340000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500000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25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27">
        <v>0.12</v>
      </c>
    </row>
    <row r="22" spans="1:39" ht="16.2" thickBot="1">
      <c r="A22" s="167"/>
      <c r="B22" s="168"/>
      <c r="C22" s="252" t="s">
        <v>3227</v>
      </c>
      <c r="D22" s="253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C49SZX20240197SX</v>
      </c>
      <c r="T23" s="13" t="str">
        <v>嘉普达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357485</v>
      </c>
      <c r="Z23" s="227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C49SZX20240197SX</v>
      </c>
      <c r="T24" s="13" t="str">
        <v>嘉普达</v>
      </c>
      <c r="U24" s="13" t="str">
        <v>YSM10</v>
      </c>
      <c r="V24" s="13">
        <v>1</v>
      </c>
      <c r="W24" s="92" t="str">
        <v>JPY</v>
      </c>
      <c r="X24" s="97">
        <v>5.2999999999999999E-2</v>
      </c>
      <c r="Y24" s="92">
        <v>357485</v>
      </c>
      <c r="Z24" s="227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C49SZX20240197SX</v>
      </c>
      <c r="T25" s="13" t="str">
        <v>嘉普达</v>
      </c>
      <c r="U25" s="13" t="str">
        <v>YSM10</v>
      </c>
      <c r="V25" s="13">
        <v>1</v>
      </c>
      <c r="W25" s="92" t="str">
        <v>JPY</v>
      </c>
      <c r="X25" s="97">
        <v>5.2999999999999999E-2</v>
      </c>
      <c r="Y25" s="92">
        <v>357485</v>
      </c>
      <c r="Z25" s="227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C49SZX20240208MZ</v>
      </c>
      <c r="T26" s="13" t="str">
        <v>深圳卓昌(end user:惠州卓昌）</v>
      </c>
      <c r="U26" s="13" t="str">
        <v>YSM10</v>
      </c>
      <c r="V26" s="13">
        <v>1</v>
      </c>
      <c r="W26" s="92" t="str">
        <v>JPY</v>
      </c>
      <c r="X26" s="97">
        <v>5.2999999999999999E-2</v>
      </c>
      <c r="Y26" s="92">
        <v>424000</v>
      </c>
      <c r="Z26" s="227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27"/>
    </row>
    <row r="27" spans="1:39">
      <c r="A27" s="167"/>
      <c r="B27" s="168"/>
      <c r="P27" s="13">
        <v>2025</v>
      </c>
      <c r="Q27" s="13">
        <v>3</v>
      </c>
      <c r="R27" s="13" t="str">
        <v>EAST</v>
      </c>
      <c r="S27" s="13" t="str">
        <v>C49SHA20241203/HZY</v>
      </c>
      <c r="T27" s="13" t="str">
        <v>浙江德茵</v>
      </c>
      <c r="U27" s="13" t="str">
        <v>YSM10</v>
      </c>
      <c r="V27" s="13">
        <v>1</v>
      </c>
      <c r="W27" s="92" t="str">
        <v>RMB</v>
      </c>
      <c r="X27" s="97">
        <v>1.0669999999999999</v>
      </c>
      <c r="Y27" s="92">
        <v>585433.62831858417</v>
      </c>
      <c r="Z27" s="227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27"/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C49SZX20240219SX</v>
      </c>
      <c r="T28" s="13" t="str">
        <v>兴原星</v>
      </c>
      <c r="U28" s="13" t="str">
        <v>YSM20R</v>
      </c>
      <c r="V28" s="13">
        <v>1</v>
      </c>
      <c r="W28" s="92" t="str">
        <v>JPY</v>
      </c>
      <c r="X28" s="97">
        <v>5.2999999999999999E-2</v>
      </c>
      <c r="Y28" s="92">
        <v>771680</v>
      </c>
      <c r="Z28" s="227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27"/>
    </row>
    <row r="29" spans="1:39">
      <c r="A29" s="167"/>
      <c r="B29" s="168"/>
      <c r="P29" s="13">
        <v>2025</v>
      </c>
      <c r="Q29" s="13">
        <v>3</v>
      </c>
      <c r="R29" s="13" t="str">
        <v>SOUTH</v>
      </c>
      <c r="S29" s="13" t="str">
        <v>C28SZX20240213DX</v>
      </c>
      <c r="T29" s="13" t="str">
        <v>欧洋佳优</v>
      </c>
      <c r="U29" s="13" t="str">
        <v>DESEN DSP-10-YMH</v>
      </c>
      <c r="V29" s="13">
        <v>1</v>
      </c>
      <c r="W29" s="92" t="str">
        <v>RMB</v>
      </c>
      <c r="X29" s="97">
        <v>1.0669999999999999</v>
      </c>
      <c r="Y29" s="92">
        <v>174213.7168141593</v>
      </c>
      <c r="Z29" s="227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27"/>
    </row>
    <row r="30" spans="1:39">
      <c r="A30" s="167"/>
      <c r="B30" s="168"/>
      <c r="J30" s="17" t="s">
        <v>544</v>
      </c>
      <c r="P30" s="13">
        <v>2025</v>
      </c>
      <c r="Q30" s="13">
        <v>3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1.0669999999999999</v>
      </c>
      <c r="Y30" s="92">
        <v>793168.14159292041</v>
      </c>
      <c r="Z30" s="227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27"/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380531.85840707965</v>
      </c>
      <c r="Z31" s="227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7"/>
    </row>
    <row r="32" spans="1:39">
      <c r="A32" s="167"/>
      <c r="B32" s="168"/>
      <c r="P32" s="13">
        <v>2025</v>
      </c>
      <c r="Q32" s="13">
        <v>3</v>
      </c>
      <c r="R32" s="13" t="str">
        <v>EAST</v>
      </c>
      <c r="S32" s="13" t="str">
        <v>C49SHA20250103/TWB</v>
      </c>
      <c r="T32" s="13" t="str">
        <v>鹰潭鼎桥</v>
      </c>
      <c r="U32" s="13" t="str">
        <v>YSM20R</v>
      </c>
      <c r="V32" s="13">
        <v>1</v>
      </c>
      <c r="W32" s="92" t="str">
        <v>RMB</v>
      </c>
      <c r="X32" s="97">
        <v>1.0669999999999999</v>
      </c>
      <c r="Y32" s="92">
        <v>622297.06194690266</v>
      </c>
      <c r="Z32" s="227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7"/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C28SZX20240214LH</v>
      </c>
      <c r="T33" s="13" t="str">
        <v>中山得意</v>
      </c>
      <c r="U33" s="13" t="str">
        <v>Heller 1913MK5N2</v>
      </c>
      <c r="V33" s="13">
        <v>1</v>
      </c>
      <c r="W33" s="92" t="str">
        <v>RMB</v>
      </c>
      <c r="X33" s="97">
        <v>1.0669999999999999</v>
      </c>
      <c r="Y33" s="92">
        <v>590343.7168141593</v>
      </c>
      <c r="Z33" s="227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7"/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C49SZX20250012BH</v>
      </c>
      <c r="T34" s="13" t="str">
        <v>炬轩</v>
      </c>
      <c r="U34" s="13" t="str">
        <v>YSM20R</v>
      </c>
      <c r="V34" s="13">
        <v>1</v>
      </c>
      <c r="W34" s="92" t="str">
        <v>JPY</v>
      </c>
      <c r="X34" s="97">
        <v>5.2999999999999999E-2</v>
      </c>
      <c r="Y34" s="92">
        <v>662500</v>
      </c>
      <c r="Z34" s="227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7"/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C49SZX20250012BH</v>
      </c>
      <c r="T35" s="13" t="str">
        <v>炬轩</v>
      </c>
      <c r="U35" s="13" t="str">
        <v>YSM10</v>
      </c>
      <c r="V35" s="13">
        <v>1</v>
      </c>
      <c r="W35" s="92" t="str">
        <v>JPY</v>
      </c>
      <c r="X35" s="97">
        <v>5.2999999999999999E-2</v>
      </c>
      <c r="Y35" s="92">
        <v>406510</v>
      </c>
      <c r="Z35" s="227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7"/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C49BJS20250109ZX</v>
      </c>
      <c r="T36" s="13" t="str">
        <v>营口新山鹰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708185.84070796473</v>
      </c>
      <c r="Z36" s="227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7"/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C49BJS20250109ZX</v>
      </c>
      <c r="T37" s="13" t="str">
        <v>营口新山鹰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585433.62831858417</v>
      </c>
      <c r="Z37" s="227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7"/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C49SHA20250213/JXD</v>
      </c>
      <c r="T38" s="13" t="str">
        <v>丹阳市新欧普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400172.2123893805</v>
      </c>
      <c r="Z38" s="227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7"/>
    </row>
    <row r="39" spans="1:39">
      <c r="A39" s="167"/>
      <c r="B39" s="168"/>
      <c r="P39" s="13">
        <v>2025</v>
      </c>
      <c r="Q39" s="13">
        <v>3</v>
      </c>
      <c r="R39" s="13" t="str">
        <v>NORTH</v>
      </c>
      <c r="S39" s="13" t="str">
        <v>C49BJS20250220ZX</v>
      </c>
      <c r="T39" s="13" t="str">
        <v>北京星际智控</v>
      </c>
      <c r="U39" s="13" t="str">
        <v>YSM20R</v>
      </c>
      <c r="V39" s="13">
        <v>1</v>
      </c>
      <c r="W39" s="92" t="str">
        <v>RMB</v>
      </c>
      <c r="X39" s="97">
        <v>1.0669999999999999</v>
      </c>
      <c r="Y39" s="92">
        <v>769561.94690265495</v>
      </c>
      <c r="Z39" s="227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7"/>
    </row>
    <row r="40" spans="1:39">
      <c r="A40" s="103"/>
      <c r="B40" s="40"/>
      <c r="P40" s="13">
        <v>2025</v>
      </c>
      <c r="Q40" s="13">
        <v>3</v>
      </c>
      <c r="R40" s="13" t="str">
        <v>NORTH</v>
      </c>
      <c r="S40" s="13" t="str">
        <v>C49BJS20250220ZX</v>
      </c>
      <c r="T40" s="13" t="str">
        <v>北京星际智控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679858.40707964601</v>
      </c>
      <c r="Z40" s="227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7"/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C49SZX20250023JY</v>
      </c>
      <c r="T41" s="13" t="str">
        <v>晟锦威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369295.30973451328</v>
      </c>
      <c r="Z41" s="227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7"/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C49SZX20250023JY</v>
      </c>
      <c r="T42" s="13" t="str">
        <v>晟锦威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369295.30973451328</v>
      </c>
      <c r="Z42" s="227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7"/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C49SZX20250028EC</v>
      </c>
      <c r="T43" s="13" t="str">
        <v>圣亨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349371.68141592923</v>
      </c>
      <c r="Z43" s="227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7"/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C49SZX20250028EC</v>
      </c>
      <c r="T44" s="13" t="str">
        <v>圣亨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349371.68141592923</v>
      </c>
      <c r="Z44" s="227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7"/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C49SZX20250030SX</v>
      </c>
      <c r="T45" s="13" t="str">
        <v>锐诚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427980.30973451328</v>
      </c>
      <c r="Z45" s="227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7"/>
    </row>
    <row r="46" spans="1:39">
      <c r="A46" s="103"/>
      <c r="B46" s="40"/>
      <c r="P46" s="13">
        <v>2025</v>
      </c>
      <c r="Q46" s="13">
        <v>3</v>
      </c>
      <c r="R46" s="13" t="str">
        <v>SOUTH</v>
      </c>
      <c r="S46" s="13" t="str">
        <v>C49SZX20250030SX</v>
      </c>
      <c r="T46" s="13" t="str">
        <v>锐诚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427980.30973451328</v>
      </c>
      <c r="Z46" s="227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7"/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YSM20R</v>
      </c>
      <c r="V47" s="13">
        <v>1</v>
      </c>
      <c r="W47" s="92" t="str">
        <v>RMB</v>
      </c>
      <c r="X47" s="97">
        <v>1.0669999999999999</v>
      </c>
      <c r="Y47" s="92">
        <v>613761.06194690266</v>
      </c>
      <c r="Z47" s="227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7"/>
    </row>
    <row r="48" spans="1:39">
      <c r="A48" s="103"/>
      <c r="B48" s="40"/>
      <c r="P48" s="13">
        <v>2025</v>
      </c>
      <c r="Q48" s="13">
        <v>3</v>
      </c>
      <c r="R48" s="13" t="str">
        <v>EAST</v>
      </c>
      <c r="S48" s="13" t="str">
        <v>C49SHA20250221/TWB</v>
      </c>
      <c r="T48" s="13" t="str">
        <v>宁波朗能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27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7"/>
    </row>
    <row r="49" spans="1:39">
      <c r="A49" s="103"/>
      <c r="B49" s="40"/>
      <c r="P49" s="13">
        <v>2025</v>
      </c>
      <c r="Q49" s="13">
        <v>3</v>
      </c>
      <c r="R49" s="13" t="str">
        <v>EAST</v>
      </c>
      <c r="S49" s="13" t="str">
        <v>C49SHA20250221/TWB</v>
      </c>
      <c r="T49" s="13" t="str">
        <v>宁波朗能</v>
      </c>
      <c r="U49" s="13" t="str">
        <v>Feeder</v>
      </c>
      <c r="V49" s="13">
        <v>0</v>
      </c>
      <c r="W49" s="92" t="str">
        <v>RMB</v>
      </c>
      <c r="X49" s="97">
        <v>1.0669999999999999</v>
      </c>
      <c r="Y49" s="92">
        <v>152023.89380530975</v>
      </c>
      <c r="Z49" s="227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7"/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C49SZX20250029JY</v>
      </c>
      <c r="T50" s="13" t="str">
        <v>建航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380059.73451327439</v>
      </c>
      <c r="Z50" s="227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7"/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C49SZX20250029JY</v>
      </c>
      <c r="T51" s="13" t="str">
        <v>建航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380059.73451327439</v>
      </c>
      <c r="Z51" s="227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7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C49SZX20250026JY</v>
      </c>
      <c r="T52" s="13" t="str">
        <v>捷舜诚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354092.92035398236</v>
      </c>
      <c r="Z52" s="227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7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C49SZX20250032SX</v>
      </c>
      <c r="T53" s="13" t="str">
        <v>众一卓越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453238.93805309734</v>
      </c>
      <c r="Z53" s="227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7"/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C49SZX20250032SX</v>
      </c>
      <c r="T54" s="13" t="str">
        <v>众一卓越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453238.93805309734</v>
      </c>
      <c r="Z54" s="227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7"/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C49SZX20250033SX</v>
      </c>
      <c r="T55" s="13" t="str">
        <v>君泽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372977.87610619469</v>
      </c>
      <c r="Z55" s="227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7"/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C49SZX20250033SX</v>
      </c>
      <c r="T56" s="13" t="str">
        <v>君泽</v>
      </c>
      <c r="U56" s="13" t="str">
        <v>DESEN DSP-10-YMH</v>
      </c>
      <c r="V56" s="13">
        <v>1</v>
      </c>
      <c r="W56" s="92" t="str">
        <v>RMB</v>
      </c>
      <c r="X56" s="97">
        <v>1.0669999999999999</v>
      </c>
      <c r="Y56" s="92">
        <v>146358.40707964604</v>
      </c>
      <c r="Z56" s="227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7"/>
    </row>
    <row r="57" spans="1:39">
      <c r="A57" s="103"/>
      <c r="B57" s="40"/>
      <c r="P57" s="13">
        <v>2025</v>
      </c>
      <c r="Q57" s="13">
        <v>3</v>
      </c>
      <c r="R57" s="13" t="str">
        <v>EAST</v>
      </c>
      <c r="S57" s="13" t="str">
        <v>C49SHA20250228ZQR</v>
      </c>
      <c r="T57" s="13" t="str">
        <v>宁波月立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380531.85840707965</v>
      </c>
      <c r="Z57" s="227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7"/>
    </row>
    <row r="58" spans="1:39">
      <c r="A58" s="103"/>
      <c r="B58" s="40"/>
      <c r="P58" s="13">
        <v>2025</v>
      </c>
      <c r="Q58" s="13">
        <v>3</v>
      </c>
      <c r="R58" s="13" t="str">
        <v>EAST</v>
      </c>
      <c r="S58" s="13" t="str">
        <v>C28SHA20250228</v>
      </c>
      <c r="T58" s="13" t="str">
        <v>上海多越</v>
      </c>
      <c r="U58" s="13" t="str">
        <v>YSi-V</v>
      </c>
      <c r="V58" s="13">
        <v>1</v>
      </c>
      <c r="W58" s="92" t="str">
        <v>RMB</v>
      </c>
      <c r="X58" s="97">
        <v>1.0669999999999999</v>
      </c>
      <c r="Y58" s="92">
        <v>321044.24778761063</v>
      </c>
      <c r="Z58" s="227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7"/>
    </row>
    <row r="59" spans="1:39">
      <c r="A59" s="103"/>
      <c r="B59" s="40"/>
      <c r="P59" s="13">
        <v>2025</v>
      </c>
      <c r="Q59" s="13">
        <v>3</v>
      </c>
      <c r="R59" s="13" t="str">
        <v>WEST</v>
      </c>
      <c r="S59" s="13" t="str">
        <v>C49XIY20250228LJY</v>
      </c>
      <c r="T59" s="13" t="str">
        <v>西安康发</v>
      </c>
      <c r="U59" s="13" t="str">
        <v>YSM10</v>
      </c>
      <c r="V59" s="13">
        <v>1</v>
      </c>
      <c r="W59" s="92" t="str">
        <v>RMB</v>
      </c>
      <c r="X59" s="97">
        <v>1.0669999999999999</v>
      </c>
      <c r="Y59" s="92">
        <v>472123.89380530978</v>
      </c>
      <c r="Z59" s="227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7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7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7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2025-03-06T07:53:23Z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