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rket-share-historico\"/>
    </mc:Choice>
  </mc:AlternateContent>
  <bookViews>
    <workbookView xWindow="-120" yWindow="-120" windowWidth="20736" windowHeight="11160" tabRatio="830" firstSheet="1" activeTab="1"/>
  </bookViews>
  <sheets>
    <sheet name="POLÍTICA COMERCIAL Out24" sheetId="36" state="hidden" r:id="rId1"/>
    <sheet name="POLÍTICA COMERCIAL Nov24" sheetId="38" r:id="rId2"/>
    <sheet name="POLÍTICA COMERCIAL Out24 II" sheetId="37" r:id="rId3"/>
    <sheet name="POLÍTICA COMERCIAL Set24" sheetId="35" r:id="rId4"/>
    <sheet name="POLÍTICA COMERCIAL Agosto24" sheetId="34" r:id="rId5"/>
    <sheet name="POLÍTICA COMERCIAL Julho_24 " sheetId="33" r:id="rId6"/>
    <sheet name="POLÍTICA COMERCIAL Junho_24" sheetId="32" r:id="rId7"/>
    <sheet name="POLÍTICA COMERCIAL 2022" sheetId="8" r:id="rId8"/>
    <sheet name="POLÍTICA COMERCIAL 2023" sheetId="4" r:id="rId9"/>
    <sheet name="Comparativo JFA X Usina" sheetId="20" r:id="rId10"/>
    <sheet name="POLÍTICA COMERCIAL Maio_24" sheetId="31" r:id="rId11"/>
    <sheet name="POLÍTICA COMERCIAL Abril_24" sheetId="30" r:id="rId12"/>
    <sheet name="POLÍTICA COMERCIAL Mar24" sheetId="29" r:id="rId13"/>
    <sheet name="POLÍTICA COMERCIAL Fev24" sheetId="28" r:id="rId14"/>
    <sheet name="POLÍTICA COMERCIAL Jan24" sheetId="27" r:id="rId15"/>
    <sheet name="POLÍTICA COMERCIAL Dez03 Padrão" sheetId="26" r:id="rId16"/>
    <sheet name="POLÍTICA COMERCIAL Dez03" sheetId="25" r:id="rId17"/>
    <sheet name="POLÍTICA COMERCIAL NOV_23 " sheetId="24" r:id="rId18"/>
    <sheet name="POLÍTICA COMERCIAL OUT_23 " sheetId="23" r:id="rId19"/>
    <sheet name="POLÍTICA COMERCIAL SET_23" sheetId="22" r:id="rId20"/>
    <sheet name="PAINEL DE AÇÕES -Set3 " sheetId="21" r:id="rId21"/>
    <sheet name="POLÍTICA COMERCIAL AGOSTO_2003 " sheetId="19" r:id="rId22"/>
    <sheet name="POLÍTICA COMERCIAL JULHO_2023" sheetId="15" r:id="rId23"/>
    <sheet name="POLÍTICA COMERCIAL 2023_LITE" sheetId="10" r:id="rId24"/>
    <sheet name="PAINEL DE AÇÕES - Agosto23 " sheetId="18" r:id="rId25"/>
    <sheet name="PAINEL DE AÇÕES - Julho23 II" sheetId="17" r:id="rId26"/>
    <sheet name="PAINEL DE AÇÕES - Julho23" sheetId="16" r:id="rId27"/>
    <sheet name="PAINEL DE AÇÕES - Junho23" sheetId="14" r:id="rId28"/>
    <sheet name="PAINEL DE AÇÕES - Maio23" sheetId="13" r:id="rId29"/>
    <sheet name="PAINEL DE AÇÕES - ABR_23 " sheetId="12" r:id="rId30"/>
    <sheet name="PAINEL DE AÇÕES - MAR_23 - LITE" sheetId="11" r:id="rId31"/>
    <sheet name="PAINEL DE AÇÕES - MAR_23" sheetId="9" r:id="rId32"/>
    <sheet name="PAINEL DE AÇÕES - FEV_23" sheetId="7" r:id="rId33"/>
    <sheet name="PAINEL DE AÇÕES - OUTUBRO_22" sheetId="1" r:id="rId34"/>
    <sheet name="PAINEL DE AÇÕES - NOVEMBRO_ (2" sheetId="2" r:id="rId35"/>
    <sheet name="PAINEL DE AÇÕES - DEZEMBRO_ (2" sheetId="5" r:id="rId36"/>
    <sheet name="PAINEL DE AÇÕES - JAN_23" sheetId="3" r:id="rId37"/>
    <sheet name="Planilha2" sheetId="6" state="hidden" r:id="rId3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8" l="1"/>
  <c r="O67" i="38" s="1"/>
  <c r="M67" i="38"/>
  <c r="K67" i="38"/>
  <c r="L67" i="38" s="1"/>
  <c r="H67" i="38"/>
  <c r="I67" i="38" s="1"/>
  <c r="E67" i="38"/>
  <c r="F67" i="38" s="1"/>
  <c r="D67" i="38"/>
  <c r="C67" i="38"/>
  <c r="M66" i="38"/>
  <c r="L66" i="38"/>
  <c r="K66" i="38"/>
  <c r="H66" i="38"/>
  <c r="I66" i="38" s="1"/>
  <c r="E66" i="38"/>
  <c r="F66" i="38" s="1"/>
  <c r="D66" i="38"/>
  <c r="C66" i="38"/>
  <c r="M65" i="38"/>
  <c r="K65" i="38"/>
  <c r="L65" i="38" s="1"/>
  <c r="H65" i="38"/>
  <c r="I65" i="38" s="1"/>
  <c r="G65" i="38"/>
  <c r="E65" i="38"/>
  <c r="F65" i="38" s="1"/>
  <c r="C65" i="38"/>
  <c r="K64" i="38"/>
  <c r="L64" i="38" s="1"/>
  <c r="J64" i="38"/>
  <c r="H64" i="38"/>
  <c r="I64" i="38" s="1"/>
  <c r="F64" i="38"/>
  <c r="E64" i="38"/>
  <c r="C64" i="38"/>
  <c r="C62" i="38"/>
  <c r="I59" i="38"/>
  <c r="G59" i="38"/>
  <c r="C59" i="38"/>
  <c r="M57" i="38"/>
  <c r="O57" i="38" s="1"/>
  <c r="M56" i="38"/>
  <c r="J55" i="38"/>
  <c r="L55" i="38" s="1"/>
  <c r="D55" i="38"/>
  <c r="F55" i="38" s="1"/>
  <c r="L54" i="38"/>
  <c r="J54" i="38"/>
  <c r="G54" i="38"/>
  <c r="I54" i="38" s="1"/>
  <c r="M53" i="38"/>
  <c r="O53" i="38" s="1"/>
  <c r="M51" i="38"/>
  <c r="O51" i="38" s="1"/>
  <c r="J50" i="38"/>
  <c r="L50" i="38" s="1"/>
  <c r="D50" i="38"/>
  <c r="F50" i="38" s="1"/>
  <c r="G49" i="38"/>
  <c r="I49" i="38" s="1"/>
  <c r="M48" i="38"/>
  <c r="M60" i="38" s="1"/>
  <c r="O60" i="38" s="1"/>
  <c r="C48" i="38"/>
  <c r="C60" i="38" s="1"/>
  <c r="O46" i="38"/>
  <c r="M46" i="38"/>
  <c r="L46" i="38"/>
  <c r="J46" i="38"/>
  <c r="I46" i="38"/>
  <c r="G46" i="38"/>
  <c r="D46" i="38"/>
  <c r="F46" i="38" s="1"/>
  <c r="M45" i="38"/>
  <c r="O45" i="38" s="1"/>
  <c r="J45" i="38"/>
  <c r="L45" i="38" s="1"/>
  <c r="I45" i="38"/>
  <c r="G45" i="38"/>
  <c r="D45" i="38"/>
  <c r="F45" i="38" s="1"/>
  <c r="M44" i="38"/>
  <c r="O44" i="38" s="1"/>
  <c r="L44" i="38"/>
  <c r="J44" i="38"/>
  <c r="I44" i="38"/>
  <c r="G44" i="38"/>
  <c r="D44" i="38"/>
  <c r="F44" i="38" s="1"/>
  <c r="O43" i="38"/>
  <c r="M43" i="38"/>
  <c r="M59" i="38" s="1"/>
  <c r="O59" i="38" s="1"/>
  <c r="J43" i="38"/>
  <c r="L43" i="38" s="1"/>
  <c r="I43" i="38"/>
  <c r="G43" i="38"/>
  <c r="D43" i="38"/>
  <c r="H42" i="38"/>
  <c r="E42" i="38"/>
  <c r="I41" i="38"/>
  <c r="L41" i="38" s="1"/>
  <c r="O41" i="38" s="1"/>
  <c r="O39" i="38"/>
  <c r="M39" i="38"/>
  <c r="J39" i="38"/>
  <c r="L39" i="38" s="1"/>
  <c r="I39" i="38"/>
  <c r="F39" i="38" s="1"/>
  <c r="D39" i="38"/>
  <c r="N38" i="38"/>
  <c r="O38" i="38" s="1"/>
  <c r="M38" i="38"/>
  <c r="K38" i="38"/>
  <c r="L38" i="38" s="1"/>
  <c r="J38" i="38"/>
  <c r="G38" i="38"/>
  <c r="H38" i="38" s="1"/>
  <c r="I38" i="38" s="1"/>
  <c r="Q38" i="38" s="1"/>
  <c r="E38" i="38"/>
  <c r="F38" i="38" s="1"/>
  <c r="D38" i="38"/>
  <c r="M37" i="38"/>
  <c r="N37" i="38" s="1"/>
  <c r="O37" i="38" s="1"/>
  <c r="J37" i="38"/>
  <c r="K37" i="38" s="1"/>
  <c r="L37" i="38" s="1"/>
  <c r="H37" i="38"/>
  <c r="I37" i="38" s="1"/>
  <c r="Q37" i="38" s="1"/>
  <c r="G37" i="38"/>
  <c r="D37" i="38"/>
  <c r="E37" i="38" s="1"/>
  <c r="F37" i="38" s="1"/>
  <c r="N36" i="38"/>
  <c r="O36" i="38" s="1"/>
  <c r="M36" i="38"/>
  <c r="J36" i="38"/>
  <c r="K36" i="38" s="1"/>
  <c r="L36" i="38" s="1"/>
  <c r="G36" i="38"/>
  <c r="H36" i="38" s="1"/>
  <c r="I36" i="38" s="1"/>
  <c r="Q36" i="38" s="1"/>
  <c r="E36" i="38"/>
  <c r="F36" i="38" s="1"/>
  <c r="D36" i="38"/>
  <c r="N35" i="38"/>
  <c r="O35" i="38" s="1"/>
  <c r="M35" i="38"/>
  <c r="K35" i="38"/>
  <c r="L35" i="38" s="1"/>
  <c r="J35" i="38"/>
  <c r="G35" i="38"/>
  <c r="H35" i="38" s="1"/>
  <c r="I35" i="38" s="1"/>
  <c r="Q35" i="38" s="1"/>
  <c r="D35" i="38"/>
  <c r="E35" i="38" s="1"/>
  <c r="F35" i="38" s="1"/>
  <c r="M34" i="38"/>
  <c r="N34" i="38" s="1"/>
  <c r="O34" i="38" s="1"/>
  <c r="J34" i="38"/>
  <c r="K34" i="38" s="1"/>
  <c r="L34" i="38" s="1"/>
  <c r="H34" i="38"/>
  <c r="I34" i="38" s="1"/>
  <c r="Q34" i="38" s="1"/>
  <c r="G34" i="38"/>
  <c r="D34" i="38"/>
  <c r="E34" i="38" s="1"/>
  <c r="F34" i="38" s="1"/>
  <c r="C34" i="38"/>
  <c r="N33" i="38"/>
  <c r="O33" i="38" s="1"/>
  <c r="M33" i="38"/>
  <c r="M50" i="38" s="1"/>
  <c r="O50" i="38" s="1"/>
  <c r="J33" i="38"/>
  <c r="K33" i="38" s="1"/>
  <c r="L33" i="38" s="1"/>
  <c r="G33" i="38"/>
  <c r="H33" i="38" s="1"/>
  <c r="I33" i="38" s="1"/>
  <c r="Q33" i="38" s="1"/>
  <c r="E33" i="38"/>
  <c r="F33" i="38" s="1"/>
  <c r="D33" i="38"/>
  <c r="N32" i="38"/>
  <c r="O32" i="38" s="1"/>
  <c r="M32" i="38"/>
  <c r="M68" i="38" s="1"/>
  <c r="K32" i="38"/>
  <c r="L32" i="38" s="1"/>
  <c r="J32" i="38"/>
  <c r="J68" i="38" s="1"/>
  <c r="G32" i="38"/>
  <c r="H32" i="38" s="1"/>
  <c r="I32" i="38" s="1"/>
  <c r="Q32" i="38" s="1"/>
  <c r="D32" i="38"/>
  <c r="N68" i="38"/>
  <c r="O68" i="38" s="1"/>
  <c r="J67" i="38"/>
  <c r="H68" i="38"/>
  <c r="I68" i="38" s="1"/>
  <c r="G67" i="38"/>
  <c r="D31" i="38"/>
  <c r="C31" i="38"/>
  <c r="C68" i="38" s="1"/>
  <c r="Q30" i="38"/>
  <c r="N30" i="38"/>
  <c r="O30" i="38" s="1"/>
  <c r="M30" i="38"/>
  <c r="L30" i="38"/>
  <c r="J30" i="38"/>
  <c r="I30" i="38"/>
  <c r="G30" i="38"/>
  <c r="F30" i="38"/>
  <c r="D30" i="38"/>
  <c r="M29" i="38"/>
  <c r="N29" i="38" s="1"/>
  <c r="O29" i="38" s="1"/>
  <c r="J29" i="38"/>
  <c r="J66" i="38" s="1"/>
  <c r="G29" i="38"/>
  <c r="G66" i="38" s="1"/>
  <c r="D29" i="38"/>
  <c r="Q28" i="38"/>
  <c r="O28" i="38"/>
  <c r="N28" i="38"/>
  <c r="N66" i="38" s="1"/>
  <c r="O66" i="38" s="1"/>
  <c r="M28" i="38"/>
  <c r="L28" i="38"/>
  <c r="J28" i="38"/>
  <c r="I28" i="38"/>
  <c r="G28" i="38"/>
  <c r="F28" i="38"/>
  <c r="D28" i="38"/>
  <c r="O27" i="38"/>
  <c r="N27" i="38"/>
  <c r="M27" i="38"/>
  <c r="K27" i="38"/>
  <c r="L27" i="38" s="1"/>
  <c r="J27" i="38"/>
  <c r="J65" i="38" s="1"/>
  <c r="I27" i="38"/>
  <c r="Q27" i="38" s="1"/>
  <c r="H27" i="38"/>
  <c r="G27" i="38"/>
  <c r="G51" i="38" s="1"/>
  <c r="I51" i="38" s="1"/>
  <c r="D27" i="38"/>
  <c r="D65" i="38" s="1"/>
  <c r="Q26" i="38"/>
  <c r="O26" i="38"/>
  <c r="N26" i="38"/>
  <c r="N65" i="38" s="1"/>
  <c r="O65" i="38" s="1"/>
  <c r="M26" i="38"/>
  <c r="L26" i="38"/>
  <c r="J26" i="38"/>
  <c r="I26" i="38"/>
  <c r="G26" i="38"/>
  <c r="F26" i="38"/>
  <c r="D26" i="38"/>
  <c r="O25" i="38"/>
  <c r="N25" i="38"/>
  <c r="M25" i="38"/>
  <c r="M55" i="38" s="1"/>
  <c r="O55" i="38" s="1"/>
  <c r="J25" i="38"/>
  <c r="K25" i="38" s="1"/>
  <c r="L25" i="38" s="1"/>
  <c r="G25" i="38"/>
  <c r="H25" i="38" s="1"/>
  <c r="I25" i="38" s="1"/>
  <c r="Q25" i="38" s="1"/>
  <c r="E25" i="38"/>
  <c r="F25" i="38" s="1"/>
  <c r="D25" i="38"/>
  <c r="R24" i="38"/>
  <c r="O24" i="38"/>
  <c r="N24" i="38"/>
  <c r="N64" i="38" s="1"/>
  <c r="O64" i="38" s="1"/>
  <c r="M24" i="38"/>
  <c r="L24" i="38"/>
  <c r="J24" i="38"/>
  <c r="I24" i="38"/>
  <c r="G24" i="38"/>
  <c r="F24" i="38"/>
  <c r="D24" i="38"/>
  <c r="M23" i="38"/>
  <c r="M54" i="38" s="1"/>
  <c r="O54" i="38" s="1"/>
  <c r="K23" i="38"/>
  <c r="L23" i="38" s="1"/>
  <c r="J23" i="38"/>
  <c r="G23" i="38"/>
  <c r="G64" i="38" s="1"/>
  <c r="D23" i="38"/>
  <c r="D54" i="38" s="1"/>
  <c r="F54" i="38" s="1"/>
  <c r="M22" i="38"/>
  <c r="N22" i="38" s="1"/>
  <c r="O22" i="38" s="1"/>
  <c r="J22" i="38"/>
  <c r="J53" i="38" s="1"/>
  <c r="L53" i="38" s="1"/>
  <c r="G22" i="38"/>
  <c r="G53" i="38" s="1"/>
  <c r="I53" i="38" s="1"/>
  <c r="D22" i="38"/>
  <c r="N21" i="38"/>
  <c r="N42" i="38" s="1"/>
  <c r="M21" i="38"/>
  <c r="M42" i="38" s="1"/>
  <c r="K21" i="38"/>
  <c r="K42" i="38" s="1"/>
  <c r="H21" i="38"/>
  <c r="Q9" i="38"/>
  <c r="P9" i="38"/>
  <c r="M9" i="38"/>
  <c r="J9" i="38"/>
  <c r="G9" i="38"/>
  <c r="D9" i="38"/>
  <c r="D49" i="38" l="1"/>
  <c r="D68" i="38"/>
  <c r="G55" i="38"/>
  <c r="I55" i="38" s="1"/>
  <c r="D53" i="38"/>
  <c r="F53" i="38" s="1"/>
  <c r="E22" i="38"/>
  <c r="F22" i="38" s="1"/>
  <c r="D57" i="38"/>
  <c r="F57" i="38" s="1"/>
  <c r="E29" i="38"/>
  <c r="F29" i="38" s="1"/>
  <c r="Q31" i="38"/>
  <c r="E32" i="38"/>
  <c r="F32" i="38" s="1"/>
  <c r="O48" i="38"/>
  <c r="G50" i="38"/>
  <c r="I50" i="38" s="1"/>
  <c r="J51" i="38"/>
  <c r="L51" i="38" s="1"/>
  <c r="M61" i="38"/>
  <c r="O61" i="38" s="1"/>
  <c r="O56" i="38"/>
  <c r="G57" i="38"/>
  <c r="I57" i="38" s="1"/>
  <c r="N23" i="38"/>
  <c r="O23" i="38" s="1"/>
  <c r="J59" i="38"/>
  <c r="L59" i="38" s="1"/>
  <c r="G48" i="38"/>
  <c r="J49" i="38"/>
  <c r="J57" i="38"/>
  <c r="L57" i="38" s="1"/>
  <c r="G62" i="38"/>
  <c r="I62" i="38" s="1"/>
  <c r="H22" i="38"/>
  <c r="I22" i="38" s="1"/>
  <c r="G56" i="38"/>
  <c r="M64" i="38"/>
  <c r="E23" i="38"/>
  <c r="F23" i="38" s="1"/>
  <c r="H29" i="38"/>
  <c r="I29" i="38" s="1"/>
  <c r="Q29" i="38" s="1"/>
  <c r="K22" i="38"/>
  <c r="L22" i="38" s="1"/>
  <c r="H23" i="38"/>
  <c r="I23" i="38" s="1"/>
  <c r="K29" i="38"/>
  <c r="L29" i="38" s="1"/>
  <c r="D48" i="38"/>
  <c r="J48" i="38"/>
  <c r="M49" i="38"/>
  <c r="D64" i="38"/>
  <c r="G68" i="38"/>
  <c r="D59" i="38"/>
  <c r="F59" i="38" s="1"/>
  <c r="F43" i="38"/>
  <c r="J56" i="38"/>
  <c r="D51" i="38"/>
  <c r="F51" i="38" s="1"/>
  <c r="D56" i="38"/>
  <c r="E27" i="38"/>
  <c r="F27" i="38" s="1"/>
  <c r="E68" i="38" l="1"/>
  <c r="F68" i="38" s="1"/>
  <c r="I56" i="38"/>
  <c r="G61" i="38"/>
  <c r="I61" i="38" s="1"/>
  <c r="J61" i="38"/>
  <c r="L61" i="38" s="1"/>
  <c r="L56" i="38"/>
  <c r="J62" i="38"/>
  <c r="L62" i="38" s="1"/>
  <c r="L49" i="38"/>
  <c r="M62" i="38"/>
  <c r="O62" i="38" s="1"/>
  <c r="O49" i="38"/>
  <c r="G60" i="38"/>
  <c r="I60" i="38" s="1"/>
  <c r="I48" i="38"/>
  <c r="F48" i="38"/>
  <c r="D60" i="38"/>
  <c r="F60" i="38" s="1"/>
  <c r="F56" i="38"/>
  <c r="D61" i="38"/>
  <c r="F61" i="38" s="1"/>
  <c r="L48" i="38"/>
  <c r="J60" i="38"/>
  <c r="L60" i="38" s="1"/>
  <c r="K68" i="38"/>
  <c r="L68" i="38" s="1"/>
  <c r="F49" i="38"/>
  <c r="D62" i="38"/>
  <c r="F62" i="38" s="1"/>
  <c r="M68" i="37" l="1"/>
  <c r="G68" i="37"/>
  <c r="K67" i="37"/>
  <c r="L67" i="37" s="1"/>
  <c r="I67" i="37"/>
  <c r="H67" i="37"/>
  <c r="E67" i="37"/>
  <c r="F67" i="37" s="1"/>
  <c r="C67" i="37"/>
  <c r="K66" i="37"/>
  <c r="L66" i="37" s="1"/>
  <c r="H66" i="37"/>
  <c r="I66" i="37" s="1"/>
  <c r="G66" i="37"/>
  <c r="F66" i="37"/>
  <c r="E66" i="37"/>
  <c r="C66" i="37"/>
  <c r="M65" i="37"/>
  <c r="K65" i="37"/>
  <c r="L65" i="37" s="1"/>
  <c r="H65" i="37"/>
  <c r="I65" i="37" s="1"/>
  <c r="E65" i="37"/>
  <c r="F65" i="37" s="1"/>
  <c r="C65" i="37"/>
  <c r="K64" i="37"/>
  <c r="L64" i="37" s="1"/>
  <c r="J64" i="37"/>
  <c r="H64" i="37"/>
  <c r="I64" i="37" s="1"/>
  <c r="E64" i="37"/>
  <c r="F64" i="37" s="1"/>
  <c r="C64" i="37"/>
  <c r="C62" i="37"/>
  <c r="J59" i="37"/>
  <c r="L59" i="37" s="1"/>
  <c r="G59" i="37"/>
  <c r="I59" i="37" s="1"/>
  <c r="F59" i="37"/>
  <c r="D59" i="37"/>
  <c r="C59" i="37"/>
  <c r="G57" i="37"/>
  <c r="I57" i="37" s="1"/>
  <c r="D57" i="37"/>
  <c r="F57" i="37" s="1"/>
  <c r="G56" i="37"/>
  <c r="I56" i="37" s="1"/>
  <c r="D56" i="37"/>
  <c r="F56" i="37" s="1"/>
  <c r="D55" i="37"/>
  <c r="F55" i="37" s="1"/>
  <c r="G53" i="37"/>
  <c r="I53" i="37" s="1"/>
  <c r="D53" i="37"/>
  <c r="F53" i="37" s="1"/>
  <c r="G51" i="37"/>
  <c r="I51" i="37" s="1"/>
  <c r="D51" i="37"/>
  <c r="F51" i="37" s="1"/>
  <c r="G49" i="37"/>
  <c r="I49" i="37" s="1"/>
  <c r="D49" i="37"/>
  <c r="D62" i="37" s="1"/>
  <c r="F62" i="37" s="1"/>
  <c r="M46" i="37"/>
  <c r="O46" i="37" s="1"/>
  <c r="J46" i="37"/>
  <c r="L46" i="37" s="1"/>
  <c r="I46" i="37"/>
  <c r="G46" i="37"/>
  <c r="F46" i="37"/>
  <c r="D46" i="37"/>
  <c r="M45" i="37"/>
  <c r="O45" i="37" s="1"/>
  <c r="J45" i="37"/>
  <c r="L45" i="37" s="1"/>
  <c r="I45" i="37"/>
  <c r="G45" i="37"/>
  <c r="F45" i="37"/>
  <c r="D45" i="37"/>
  <c r="M44" i="37"/>
  <c r="O44" i="37" s="1"/>
  <c r="J44" i="37"/>
  <c r="L44" i="37" s="1"/>
  <c r="I44" i="37"/>
  <c r="G44" i="37"/>
  <c r="F44" i="37"/>
  <c r="D44" i="37"/>
  <c r="M43" i="37"/>
  <c r="M59" i="37" s="1"/>
  <c r="O59" i="37" s="1"/>
  <c r="J43" i="37"/>
  <c r="L43" i="37" s="1"/>
  <c r="I43" i="37"/>
  <c r="G43" i="37"/>
  <c r="F43" i="37"/>
  <c r="D43" i="37"/>
  <c r="E42" i="37"/>
  <c r="I41" i="37"/>
  <c r="L41" i="37" s="1"/>
  <c r="O41" i="37" s="1"/>
  <c r="M39" i="37"/>
  <c r="O39" i="37" s="1"/>
  <c r="J39" i="37"/>
  <c r="L39" i="37" s="1"/>
  <c r="I39" i="37"/>
  <c r="F39" i="37" s="1"/>
  <c r="D39" i="37"/>
  <c r="M38" i="37"/>
  <c r="N38" i="37" s="1"/>
  <c r="O38" i="37" s="1"/>
  <c r="J38" i="37"/>
  <c r="K38" i="37" s="1"/>
  <c r="L38" i="37" s="1"/>
  <c r="G38" i="37"/>
  <c r="H38" i="37" s="1"/>
  <c r="I38" i="37" s="1"/>
  <c r="E38" i="37"/>
  <c r="F38" i="37" s="1"/>
  <c r="D38" i="37"/>
  <c r="N37" i="37"/>
  <c r="O37" i="37" s="1"/>
  <c r="M37" i="37"/>
  <c r="K37" i="37"/>
  <c r="L37" i="37" s="1"/>
  <c r="J37" i="37"/>
  <c r="G37" i="37"/>
  <c r="H37" i="37" s="1"/>
  <c r="I37" i="37" s="1"/>
  <c r="D37" i="37"/>
  <c r="E37" i="37" s="1"/>
  <c r="F37" i="37" s="1"/>
  <c r="M36" i="37"/>
  <c r="N36" i="37" s="1"/>
  <c r="O36" i="37" s="1"/>
  <c r="J36" i="37"/>
  <c r="K36" i="37" s="1"/>
  <c r="L36" i="37" s="1"/>
  <c r="G36" i="37"/>
  <c r="H36" i="37" s="1"/>
  <c r="I36" i="37" s="1"/>
  <c r="E36" i="37"/>
  <c r="F36" i="37" s="1"/>
  <c r="D36" i="37"/>
  <c r="N35" i="37"/>
  <c r="O35" i="37" s="1"/>
  <c r="M35" i="37"/>
  <c r="K35" i="37"/>
  <c r="L35" i="37" s="1"/>
  <c r="J35" i="37"/>
  <c r="G35" i="37"/>
  <c r="H35" i="37" s="1"/>
  <c r="I35" i="37" s="1"/>
  <c r="D35" i="37"/>
  <c r="E35" i="37" s="1"/>
  <c r="F35" i="37" s="1"/>
  <c r="M34" i="37"/>
  <c r="N34" i="37" s="1"/>
  <c r="O34" i="37" s="1"/>
  <c r="J34" i="37"/>
  <c r="K34" i="37" s="1"/>
  <c r="L34" i="37" s="1"/>
  <c r="G34" i="37"/>
  <c r="H34" i="37" s="1"/>
  <c r="I34" i="37" s="1"/>
  <c r="E34" i="37"/>
  <c r="F34" i="37" s="1"/>
  <c r="D34" i="37"/>
  <c r="C34" i="37"/>
  <c r="M33" i="37"/>
  <c r="N33" i="37" s="1"/>
  <c r="O33" i="37" s="1"/>
  <c r="J33" i="37"/>
  <c r="K33" i="37" s="1"/>
  <c r="L33" i="37" s="1"/>
  <c r="G33" i="37"/>
  <c r="G50" i="37" s="1"/>
  <c r="I50" i="37" s="1"/>
  <c r="D33" i="37"/>
  <c r="D50" i="37" s="1"/>
  <c r="F50" i="37" s="1"/>
  <c r="N32" i="37"/>
  <c r="O32" i="37" s="1"/>
  <c r="M32" i="37"/>
  <c r="M49" i="37" s="1"/>
  <c r="K32" i="37"/>
  <c r="L32" i="37" s="1"/>
  <c r="J32" i="37"/>
  <c r="J68" i="37" s="1"/>
  <c r="H32" i="37"/>
  <c r="I32" i="37" s="1"/>
  <c r="G32" i="37"/>
  <c r="D32" i="37"/>
  <c r="D68" i="37" s="1"/>
  <c r="M31" i="37"/>
  <c r="N31" i="37" s="1"/>
  <c r="J31" i="37"/>
  <c r="J67" i="37" s="1"/>
  <c r="G31" i="37"/>
  <c r="G67" i="37" s="1"/>
  <c r="D31" i="37"/>
  <c r="D48" i="37" s="1"/>
  <c r="C31" i="37"/>
  <c r="C68" i="37" s="1"/>
  <c r="O30" i="37"/>
  <c r="N30" i="37"/>
  <c r="N67" i="37" s="1"/>
  <c r="O67" i="37" s="1"/>
  <c r="M30" i="37"/>
  <c r="L30" i="37"/>
  <c r="J30" i="37"/>
  <c r="I30" i="37"/>
  <c r="G30" i="37"/>
  <c r="F30" i="37"/>
  <c r="D30" i="37"/>
  <c r="M29" i="37"/>
  <c r="M66" i="37" s="1"/>
  <c r="J29" i="37"/>
  <c r="K29" i="37" s="1"/>
  <c r="L29" i="37" s="1"/>
  <c r="H29" i="37"/>
  <c r="I29" i="37" s="1"/>
  <c r="G29" i="37"/>
  <c r="E29" i="37"/>
  <c r="F29" i="37" s="1"/>
  <c r="D29" i="37"/>
  <c r="D66" i="37" s="1"/>
  <c r="O28" i="37"/>
  <c r="N28" i="37"/>
  <c r="N66" i="37" s="1"/>
  <c r="O66" i="37" s="1"/>
  <c r="M28" i="37"/>
  <c r="L28" i="37"/>
  <c r="J28" i="37"/>
  <c r="I28" i="37"/>
  <c r="G28" i="37"/>
  <c r="F28" i="37"/>
  <c r="D28" i="37"/>
  <c r="N27" i="37"/>
  <c r="O27" i="37" s="1"/>
  <c r="M27" i="37"/>
  <c r="M56" i="37" s="1"/>
  <c r="K27" i="37"/>
  <c r="L27" i="37" s="1"/>
  <c r="J27" i="37"/>
  <c r="J65" i="37" s="1"/>
  <c r="H27" i="37"/>
  <c r="I27" i="37" s="1"/>
  <c r="G27" i="37"/>
  <c r="G65" i="37" s="1"/>
  <c r="D27" i="37"/>
  <c r="D65" i="37" s="1"/>
  <c r="O26" i="37"/>
  <c r="N26" i="37"/>
  <c r="N65" i="37" s="1"/>
  <c r="O65" i="37" s="1"/>
  <c r="M26" i="37"/>
  <c r="L26" i="37"/>
  <c r="J26" i="37"/>
  <c r="I26" i="37"/>
  <c r="G26" i="37"/>
  <c r="F26" i="37"/>
  <c r="D26" i="37"/>
  <c r="N25" i="37"/>
  <c r="O25" i="37" s="1"/>
  <c r="M25" i="37"/>
  <c r="M55" i="37" s="1"/>
  <c r="O55" i="37" s="1"/>
  <c r="J25" i="37"/>
  <c r="J55" i="37" s="1"/>
  <c r="L55" i="37" s="1"/>
  <c r="G25" i="37"/>
  <c r="H25" i="37" s="1"/>
  <c r="I25" i="37" s="1"/>
  <c r="D25" i="37"/>
  <c r="E25" i="37" s="1"/>
  <c r="F25" i="37" s="1"/>
  <c r="N24" i="37"/>
  <c r="N64" i="37" s="1"/>
  <c r="O64" i="37" s="1"/>
  <c r="M24" i="37"/>
  <c r="L24" i="37"/>
  <c r="J24" i="37"/>
  <c r="I24" i="37"/>
  <c r="G24" i="37"/>
  <c r="F24" i="37"/>
  <c r="D24" i="37"/>
  <c r="M23" i="37"/>
  <c r="N23" i="37" s="1"/>
  <c r="O23" i="37" s="1"/>
  <c r="J23" i="37"/>
  <c r="K23" i="37" s="1"/>
  <c r="L23" i="37" s="1"/>
  <c r="G23" i="37"/>
  <c r="G64" i="37" s="1"/>
  <c r="D23" i="37"/>
  <c r="D64" i="37" s="1"/>
  <c r="N22" i="37"/>
  <c r="O22" i="37" s="1"/>
  <c r="M22" i="37"/>
  <c r="M53" i="37" s="1"/>
  <c r="O53" i="37" s="1"/>
  <c r="K22" i="37"/>
  <c r="L22" i="37" s="1"/>
  <c r="J22" i="37"/>
  <c r="J53" i="37" s="1"/>
  <c r="L53" i="37" s="1"/>
  <c r="H22" i="37"/>
  <c r="I22" i="37" s="1"/>
  <c r="G22" i="37"/>
  <c r="D22" i="37"/>
  <c r="E22" i="37" s="1"/>
  <c r="F22" i="37" s="1"/>
  <c r="M21" i="37"/>
  <c r="M42" i="37" s="1"/>
  <c r="K21" i="37"/>
  <c r="K42" i="37" s="1"/>
  <c r="H21" i="37"/>
  <c r="H42" i="37" s="1"/>
  <c r="Q9" i="37"/>
  <c r="P9" i="37"/>
  <c r="M9" i="37"/>
  <c r="J9" i="37"/>
  <c r="G9" i="37"/>
  <c r="D9" i="37"/>
  <c r="Q34" i="36"/>
  <c r="N32" i="36"/>
  <c r="K32" i="36"/>
  <c r="E32" i="36"/>
  <c r="H32" i="36"/>
  <c r="Q33" i="36"/>
  <c r="N29" i="36"/>
  <c r="K29" i="36"/>
  <c r="E29" i="36"/>
  <c r="H29" i="36"/>
  <c r="Q25" i="36"/>
  <c r="Q27" i="36"/>
  <c r="N25" i="36"/>
  <c r="K25" i="36"/>
  <c r="E25" i="36"/>
  <c r="H25" i="36"/>
  <c r="N31" i="36"/>
  <c r="K31" i="36"/>
  <c r="H31" i="36"/>
  <c r="E31" i="36"/>
  <c r="C66" i="36"/>
  <c r="C64" i="36"/>
  <c r="N65" i="36"/>
  <c r="M66" i="36"/>
  <c r="C62" i="36"/>
  <c r="J59" i="36"/>
  <c r="L59" i="36" s="1"/>
  <c r="C59" i="36"/>
  <c r="J57" i="36"/>
  <c r="L57" i="36" s="1"/>
  <c r="J49" i="36"/>
  <c r="L49" i="36" s="1"/>
  <c r="O46" i="36"/>
  <c r="M46" i="36"/>
  <c r="L46" i="36"/>
  <c r="J46" i="36"/>
  <c r="G46" i="36"/>
  <c r="I46" i="36" s="1"/>
  <c r="D46" i="36"/>
  <c r="F46" i="36" s="1"/>
  <c r="M45" i="36"/>
  <c r="O45" i="36" s="1"/>
  <c r="J45" i="36"/>
  <c r="L45" i="36" s="1"/>
  <c r="G45" i="36"/>
  <c r="I45" i="36" s="1"/>
  <c r="D45" i="36"/>
  <c r="F45" i="36" s="1"/>
  <c r="M44" i="36"/>
  <c r="O44" i="36" s="1"/>
  <c r="L44" i="36"/>
  <c r="J44" i="36"/>
  <c r="G44" i="36"/>
  <c r="I44" i="36" s="1"/>
  <c r="D44" i="36"/>
  <c r="F44" i="36" s="1"/>
  <c r="M43" i="36"/>
  <c r="O43" i="36" s="1"/>
  <c r="L43" i="36"/>
  <c r="J43" i="36"/>
  <c r="G43" i="36"/>
  <c r="F43" i="36"/>
  <c r="D43" i="36"/>
  <c r="D59" i="36" s="1"/>
  <c r="F59" i="36" s="1"/>
  <c r="I41" i="36"/>
  <c r="L41" i="36" s="1"/>
  <c r="O41" i="36" s="1"/>
  <c r="O39" i="36"/>
  <c r="M39" i="36"/>
  <c r="J39" i="36"/>
  <c r="L39" i="36" s="1"/>
  <c r="I39" i="36"/>
  <c r="F39" i="36" s="1"/>
  <c r="D39" i="36"/>
  <c r="M38" i="36"/>
  <c r="N38" i="36" s="1"/>
  <c r="O38" i="36" s="1"/>
  <c r="J38" i="36"/>
  <c r="K38" i="36" s="1"/>
  <c r="L38" i="36" s="1"/>
  <c r="G38" i="36"/>
  <c r="H38" i="36" s="1"/>
  <c r="I38" i="36" s="1"/>
  <c r="D38" i="36"/>
  <c r="E38" i="36" s="1"/>
  <c r="F38" i="36" s="1"/>
  <c r="M37" i="36"/>
  <c r="N37" i="36" s="1"/>
  <c r="O37" i="36" s="1"/>
  <c r="K37" i="36"/>
  <c r="L37" i="36" s="1"/>
  <c r="J37" i="36"/>
  <c r="H37" i="36"/>
  <c r="I37" i="36" s="1"/>
  <c r="G37" i="36"/>
  <c r="D37" i="36"/>
  <c r="E37" i="36" s="1"/>
  <c r="F37" i="36" s="1"/>
  <c r="M36" i="36"/>
  <c r="N36" i="36" s="1"/>
  <c r="O36" i="36" s="1"/>
  <c r="J36" i="36"/>
  <c r="K36" i="36" s="1"/>
  <c r="L36" i="36" s="1"/>
  <c r="G36" i="36"/>
  <c r="H36" i="36" s="1"/>
  <c r="I36" i="36" s="1"/>
  <c r="D36" i="36"/>
  <c r="E36" i="36" s="1"/>
  <c r="F36" i="36" s="1"/>
  <c r="M35" i="36"/>
  <c r="N35" i="36" s="1"/>
  <c r="O35" i="36" s="1"/>
  <c r="J35" i="36"/>
  <c r="K35" i="36" s="1"/>
  <c r="L35" i="36" s="1"/>
  <c r="G35" i="36"/>
  <c r="H35" i="36" s="1"/>
  <c r="I35" i="36" s="1"/>
  <c r="D35" i="36"/>
  <c r="E35" i="36" s="1"/>
  <c r="F35" i="36" s="1"/>
  <c r="M34" i="36"/>
  <c r="N34" i="36" s="1"/>
  <c r="O34" i="36" s="1"/>
  <c r="J34" i="36"/>
  <c r="K34" i="36" s="1"/>
  <c r="L34" i="36" s="1"/>
  <c r="G34" i="36"/>
  <c r="H34" i="36" s="1"/>
  <c r="I34" i="36" s="1"/>
  <c r="D34" i="36"/>
  <c r="E34" i="36" s="1"/>
  <c r="F34" i="36" s="1"/>
  <c r="C34" i="36"/>
  <c r="M33" i="36"/>
  <c r="M50" i="36" s="1"/>
  <c r="O50" i="36" s="1"/>
  <c r="J33" i="36"/>
  <c r="J50" i="36" s="1"/>
  <c r="L50" i="36" s="1"/>
  <c r="G33" i="36"/>
  <c r="H33" i="36" s="1"/>
  <c r="I33" i="36" s="1"/>
  <c r="D33" i="36"/>
  <c r="E33" i="36" s="1"/>
  <c r="F33" i="36" s="1"/>
  <c r="M32" i="36"/>
  <c r="J32" i="36"/>
  <c r="G32" i="36"/>
  <c r="D32" i="36"/>
  <c r="M31" i="36"/>
  <c r="J31" i="36"/>
  <c r="G31" i="36"/>
  <c r="D31" i="36"/>
  <c r="C31" i="36"/>
  <c r="C65" i="36" s="1"/>
  <c r="N30" i="36"/>
  <c r="M30" i="36"/>
  <c r="L30" i="36"/>
  <c r="J30" i="36"/>
  <c r="I30" i="36"/>
  <c r="G30" i="36"/>
  <c r="F30" i="36"/>
  <c r="D30" i="36"/>
  <c r="M29" i="36"/>
  <c r="J29" i="36"/>
  <c r="G29" i="36"/>
  <c r="D29" i="36"/>
  <c r="N28" i="36"/>
  <c r="M28" i="36"/>
  <c r="L28" i="36"/>
  <c r="J28" i="36"/>
  <c r="I28" i="36"/>
  <c r="G28" i="36"/>
  <c r="F28" i="36"/>
  <c r="D28" i="36"/>
  <c r="M27" i="36"/>
  <c r="M65" i="36" s="1"/>
  <c r="J27" i="36"/>
  <c r="K27" i="36" s="1"/>
  <c r="L27" i="36" s="1"/>
  <c r="G27" i="36"/>
  <c r="H27" i="36" s="1"/>
  <c r="I27" i="36" s="1"/>
  <c r="E27" i="36"/>
  <c r="F27" i="36" s="1"/>
  <c r="D27" i="36"/>
  <c r="D51" i="36" s="1"/>
  <c r="F51" i="36" s="1"/>
  <c r="N26" i="36"/>
  <c r="M26" i="36"/>
  <c r="L26" i="36"/>
  <c r="J26" i="36"/>
  <c r="I26" i="36"/>
  <c r="G26" i="36"/>
  <c r="F26" i="36"/>
  <c r="D26" i="36"/>
  <c r="M25" i="36"/>
  <c r="J25" i="36"/>
  <c r="G25" i="36"/>
  <c r="G55" i="36" s="1"/>
  <c r="I55" i="36" s="1"/>
  <c r="D25" i="36"/>
  <c r="O24" i="36"/>
  <c r="N24" i="36"/>
  <c r="M24" i="36"/>
  <c r="L24" i="36"/>
  <c r="J24" i="36"/>
  <c r="I24" i="36"/>
  <c r="G24" i="36"/>
  <c r="F24" i="36"/>
  <c r="D24" i="36"/>
  <c r="M23" i="36"/>
  <c r="N23" i="36" s="1"/>
  <c r="O23" i="36" s="1"/>
  <c r="J23" i="36"/>
  <c r="J64" i="36" s="1"/>
  <c r="G23" i="36"/>
  <c r="H23" i="36" s="1"/>
  <c r="I23" i="36" s="1"/>
  <c r="D23" i="36"/>
  <c r="E23" i="36" s="1"/>
  <c r="F23" i="36" s="1"/>
  <c r="M22" i="36"/>
  <c r="M53" i="36" s="1"/>
  <c r="O53" i="36" s="1"/>
  <c r="J22" i="36"/>
  <c r="K22" i="36" s="1"/>
  <c r="L22" i="36" s="1"/>
  <c r="G22" i="36"/>
  <c r="G53" i="36" s="1"/>
  <c r="I53" i="36" s="1"/>
  <c r="E22" i="36"/>
  <c r="F22" i="36" s="1"/>
  <c r="D22" i="36"/>
  <c r="D53" i="36" s="1"/>
  <c r="F53" i="36" s="1"/>
  <c r="M21" i="36"/>
  <c r="N21" i="36" s="1"/>
  <c r="N42" i="36" s="1"/>
  <c r="K21" i="36"/>
  <c r="K42" i="36" s="1"/>
  <c r="H21" i="36"/>
  <c r="H42" i="36" s="1"/>
  <c r="E21" i="36"/>
  <c r="E42" i="36" s="1"/>
  <c r="Q9" i="36"/>
  <c r="P9" i="36"/>
  <c r="M9" i="36"/>
  <c r="J9" i="36"/>
  <c r="G9" i="36"/>
  <c r="D9" i="36"/>
  <c r="O56" i="37" l="1"/>
  <c r="M61" i="37"/>
  <c r="O61" i="37" s="1"/>
  <c r="F48" i="37"/>
  <c r="D60" i="37"/>
  <c r="F60" i="37" s="1"/>
  <c r="M62" i="37"/>
  <c r="O62" i="37" s="1"/>
  <c r="O49" i="37"/>
  <c r="N68" i="37"/>
  <c r="O68" i="37" s="1"/>
  <c r="O31" i="37"/>
  <c r="E23" i="37"/>
  <c r="F23" i="37" s="1"/>
  <c r="E31" i="37"/>
  <c r="D54" i="37"/>
  <c r="F54" i="37" s="1"/>
  <c r="H23" i="37"/>
  <c r="I23" i="37" s="1"/>
  <c r="N29" i="37"/>
  <c r="O29" i="37" s="1"/>
  <c r="H31" i="37"/>
  <c r="H33" i="37"/>
  <c r="I33" i="37" s="1"/>
  <c r="D67" i="37"/>
  <c r="O24" i="37"/>
  <c r="K25" i="37"/>
  <c r="L25" i="37" s="1"/>
  <c r="E27" i="37"/>
  <c r="F27" i="37" s="1"/>
  <c r="E32" i="37"/>
  <c r="F32" i="37" s="1"/>
  <c r="J48" i="37"/>
  <c r="J49" i="37"/>
  <c r="J50" i="37"/>
  <c r="L50" i="37" s="1"/>
  <c r="J51" i="37"/>
  <c r="L51" i="37" s="1"/>
  <c r="J54" i="37"/>
  <c r="L54" i="37" s="1"/>
  <c r="J56" i="37"/>
  <c r="J57" i="37"/>
  <c r="L57" i="37" s="1"/>
  <c r="G61" i="37"/>
  <c r="I61" i="37" s="1"/>
  <c r="J66" i="37"/>
  <c r="M67" i="37"/>
  <c r="E33" i="37"/>
  <c r="F33" i="37" s="1"/>
  <c r="N21" i="37"/>
  <c r="N42" i="37" s="1"/>
  <c r="G48" i="37"/>
  <c r="G54" i="37"/>
  <c r="I54" i="37" s="1"/>
  <c r="G55" i="37"/>
  <c r="I55" i="37" s="1"/>
  <c r="G62" i="37"/>
  <c r="I62" i="37" s="1"/>
  <c r="M64" i="37"/>
  <c r="D61" i="37"/>
  <c r="F61" i="37" s="1"/>
  <c r="K31" i="37"/>
  <c r="O43" i="37"/>
  <c r="M48" i="37"/>
  <c r="M50" i="37"/>
  <c r="O50" i="37" s="1"/>
  <c r="M51" i="37"/>
  <c r="O51" i="37" s="1"/>
  <c r="M54" i="37"/>
  <c r="O54" i="37" s="1"/>
  <c r="M57" i="37"/>
  <c r="O57" i="37" s="1"/>
  <c r="C48" i="37"/>
  <c r="C60" i="37" s="1"/>
  <c r="F49" i="37"/>
  <c r="N66" i="36"/>
  <c r="O66" i="36" s="1"/>
  <c r="K66" i="36"/>
  <c r="L66" i="36" s="1"/>
  <c r="H66" i="36"/>
  <c r="I66" i="36" s="1"/>
  <c r="O29" i="36"/>
  <c r="L29" i="36"/>
  <c r="F29" i="36"/>
  <c r="I29" i="36"/>
  <c r="Q29" i="36" s="1"/>
  <c r="O25" i="36"/>
  <c r="L25" i="36"/>
  <c r="F25" i="36"/>
  <c r="K65" i="36"/>
  <c r="L65" i="36" s="1"/>
  <c r="E65" i="36"/>
  <c r="F65" i="36" s="1"/>
  <c r="F32" i="36"/>
  <c r="E66" i="36"/>
  <c r="F66" i="36" s="1"/>
  <c r="I31" i="36"/>
  <c r="H65" i="36"/>
  <c r="I65" i="36" s="1"/>
  <c r="N27" i="36"/>
  <c r="O27" i="36" s="1"/>
  <c r="K33" i="36"/>
  <c r="L33" i="36" s="1"/>
  <c r="H22" i="36"/>
  <c r="I22" i="36" s="1"/>
  <c r="J55" i="36"/>
  <c r="L55" i="36" s="1"/>
  <c r="G64" i="36"/>
  <c r="M42" i="36"/>
  <c r="D48" i="36"/>
  <c r="D60" i="36" s="1"/>
  <c r="F60" i="36" s="1"/>
  <c r="M55" i="36"/>
  <c r="O55" i="36" s="1"/>
  <c r="D65" i="36"/>
  <c r="D49" i="36"/>
  <c r="D62" i="36" s="1"/>
  <c r="F62" i="36" s="1"/>
  <c r="D56" i="36"/>
  <c r="E64" i="36"/>
  <c r="F64" i="36" s="1"/>
  <c r="H64" i="36"/>
  <c r="I64" i="36" s="1"/>
  <c r="M57" i="36"/>
  <c r="O57" i="36" s="1"/>
  <c r="N64" i="36"/>
  <c r="O64" i="36" s="1"/>
  <c r="J54" i="36"/>
  <c r="L54" i="36" s="1"/>
  <c r="J48" i="36"/>
  <c r="M49" i="36"/>
  <c r="J53" i="36"/>
  <c r="L53" i="36" s="1"/>
  <c r="M54" i="36"/>
  <c r="O54" i="36" s="1"/>
  <c r="D61" i="36"/>
  <c r="F61" i="36" s="1"/>
  <c r="F56" i="36"/>
  <c r="M64" i="36"/>
  <c r="J66" i="36"/>
  <c r="M59" i="36"/>
  <c r="O59" i="36" s="1"/>
  <c r="G49" i="36"/>
  <c r="O30" i="36"/>
  <c r="I32" i="36"/>
  <c r="Q32" i="36" s="1"/>
  <c r="J56" i="36"/>
  <c r="D64" i="36"/>
  <c r="J65" i="36"/>
  <c r="G65" i="36"/>
  <c r="N33" i="36"/>
  <c r="O33" i="36" s="1"/>
  <c r="N22" i="36"/>
  <c r="O22" i="36" s="1"/>
  <c r="K23" i="36"/>
  <c r="O65" i="36"/>
  <c r="O26" i="36"/>
  <c r="L32" i="36"/>
  <c r="M48" i="36"/>
  <c r="D50" i="36"/>
  <c r="F50" i="36" s="1"/>
  <c r="J51" i="36"/>
  <c r="L51" i="36" s="1"/>
  <c r="D55" i="36"/>
  <c r="F55" i="36" s="1"/>
  <c r="J62" i="36"/>
  <c r="L62" i="36" s="1"/>
  <c r="F48" i="36"/>
  <c r="G57" i="36"/>
  <c r="I57" i="36" s="1"/>
  <c r="G66" i="36"/>
  <c r="I25" i="36"/>
  <c r="O31" i="36"/>
  <c r="G59" i="36"/>
  <c r="I59" i="36" s="1"/>
  <c r="I43" i="36"/>
  <c r="M56" i="36"/>
  <c r="F31" i="36"/>
  <c r="O32" i="36"/>
  <c r="M51" i="36"/>
  <c r="O51" i="36" s="1"/>
  <c r="D54" i="36"/>
  <c r="F54" i="36" s="1"/>
  <c r="G56" i="36"/>
  <c r="G51" i="36"/>
  <c r="I51" i="36" s="1"/>
  <c r="O28" i="36"/>
  <c r="C48" i="36"/>
  <c r="C60" i="36" s="1"/>
  <c r="F49" i="36"/>
  <c r="D57" i="36"/>
  <c r="F57" i="36" s="1"/>
  <c r="D66" i="36"/>
  <c r="G48" i="36"/>
  <c r="G50" i="36"/>
  <c r="I50" i="36" s="1"/>
  <c r="G54" i="36"/>
  <c r="I54" i="36" s="1"/>
  <c r="K68" i="37" l="1"/>
  <c r="L68" i="37" s="1"/>
  <c r="L31" i="37"/>
  <c r="J62" i="37"/>
  <c r="L62" i="37" s="1"/>
  <c r="L49" i="37"/>
  <c r="H68" i="37"/>
  <c r="I68" i="37" s="1"/>
  <c r="I31" i="37"/>
  <c r="J60" i="37"/>
  <c r="L60" i="37" s="1"/>
  <c r="L48" i="37"/>
  <c r="J61" i="37"/>
  <c r="L61" i="37" s="1"/>
  <c r="L56" i="37"/>
  <c r="E68" i="37"/>
  <c r="F68" i="37" s="1"/>
  <c r="F31" i="37"/>
  <c r="O48" i="37"/>
  <c r="M60" i="37"/>
  <c r="O60" i="37" s="1"/>
  <c r="I48" i="37"/>
  <c r="G60" i="37"/>
  <c r="I60" i="37" s="1"/>
  <c r="L23" i="36"/>
  <c r="K64" i="36"/>
  <c r="L64" i="36" s="1"/>
  <c r="O56" i="36"/>
  <c r="M61" i="36"/>
  <c r="O61" i="36" s="1"/>
  <c r="J61" i="36"/>
  <c r="L61" i="36" s="1"/>
  <c r="L56" i="36"/>
  <c r="L31" i="36"/>
  <c r="I56" i="36"/>
  <c r="G61" i="36"/>
  <c r="I61" i="36" s="1"/>
  <c r="I48" i="36"/>
  <c r="G60" i="36"/>
  <c r="I60" i="36" s="1"/>
  <c r="I49" i="36"/>
  <c r="G62" i="36"/>
  <c r="I62" i="36" s="1"/>
  <c r="M60" i="36"/>
  <c r="O60" i="36" s="1"/>
  <c r="O48" i="36"/>
  <c r="M62" i="36"/>
  <c r="O62" i="36" s="1"/>
  <c r="O49" i="36"/>
  <c r="J60" i="36"/>
  <c r="L60" i="36" s="1"/>
  <c r="L48" i="36"/>
  <c r="K67" i="35" l="1"/>
  <c r="H67" i="35"/>
  <c r="E67" i="35"/>
  <c r="C67" i="35"/>
  <c r="K66" i="35"/>
  <c r="H66" i="35"/>
  <c r="E66" i="35"/>
  <c r="C66" i="35"/>
  <c r="K65" i="35"/>
  <c r="H65" i="35"/>
  <c r="E65" i="35"/>
  <c r="C65" i="35"/>
  <c r="K64" i="35"/>
  <c r="H64" i="35"/>
  <c r="E64" i="35"/>
  <c r="C64" i="35"/>
  <c r="H42" i="35" l="1"/>
  <c r="E42" i="35"/>
  <c r="O67" i="35"/>
  <c r="L67" i="35"/>
  <c r="L66" i="35"/>
  <c r="L65" i="35"/>
  <c r="L64" i="35"/>
  <c r="I67" i="35"/>
  <c r="I66" i="35"/>
  <c r="I65" i="35"/>
  <c r="I64" i="35"/>
  <c r="F67" i="35"/>
  <c r="F66" i="35"/>
  <c r="F65" i="35"/>
  <c r="F64" i="35"/>
  <c r="N30" i="35"/>
  <c r="N67" i="35" s="1"/>
  <c r="N28" i="35"/>
  <c r="N66" i="35" s="1"/>
  <c r="O66" i="35" s="1"/>
  <c r="N26" i="35"/>
  <c r="N65" i="35" s="1"/>
  <c r="O65" i="35" s="1"/>
  <c r="N24" i="35"/>
  <c r="N64" i="35" s="1"/>
  <c r="O64" i="35" s="1"/>
  <c r="O30" i="35"/>
  <c r="L30" i="35"/>
  <c r="I30" i="35"/>
  <c r="F24" i="35"/>
  <c r="I24" i="35"/>
  <c r="O36" i="35"/>
  <c r="O34" i="35"/>
  <c r="O29" i="35"/>
  <c r="O28" i="35"/>
  <c r="O27" i="35"/>
  <c r="O26" i="35"/>
  <c r="O25" i="35"/>
  <c r="L28" i="35"/>
  <c r="L26" i="35"/>
  <c r="L24" i="35"/>
  <c r="I28" i="35"/>
  <c r="I26" i="35"/>
  <c r="I25" i="35"/>
  <c r="Q25" i="35" s="1"/>
  <c r="Q28" i="35" s="1"/>
  <c r="N36" i="35"/>
  <c r="N34" i="35"/>
  <c r="N29" i="35"/>
  <c r="N27" i="35"/>
  <c r="N25" i="35"/>
  <c r="N23" i="35"/>
  <c r="O23" i="35" s="1"/>
  <c r="N22" i="35"/>
  <c r="O22" i="35" s="1"/>
  <c r="K38" i="35"/>
  <c r="L38" i="35" s="1"/>
  <c r="K33" i="35"/>
  <c r="L33" i="35" s="1"/>
  <c r="K32" i="35"/>
  <c r="L32" i="35" s="1"/>
  <c r="K31" i="35"/>
  <c r="K68" i="35" s="1"/>
  <c r="L68" i="35" s="1"/>
  <c r="K29" i="35"/>
  <c r="L29" i="35" s="1"/>
  <c r="K23" i="35"/>
  <c r="L23" i="35" s="1"/>
  <c r="H37" i="35"/>
  <c r="I37" i="35" s="1"/>
  <c r="H36" i="35"/>
  <c r="I36" i="35" s="1"/>
  <c r="H35" i="35"/>
  <c r="I35" i="35" s="1"/>
  <c r="H31" i="35"/>
  <c r="H68" i="35" s="1"/>
  <c r="I68" i="35" s="1"/>
  <c r="H29" i="35"/>
  <c r="I29" i="35" s="1"/>
  <c r="H27" i="35"/>
  <c r="I27" i="35" s="1"/>
  <c r="H25" i="35"/>
  <c r="H23" i="35"/>
  <c r="I23" i="35" s="1"/>
  <c r="Q23" i="35" s="1"/>
  <c r="F30" i="35"/>
  <c r="F28" i="35"/>
  <c r="F26" i="35"/>
  <c r="F23" i="35"/>
  <c r="E37" i="35"/>
  <c r="F37" i="35" s="1"/>
  <c r="E35" i="35"/>
  <c r="F35" i="35" s="1"/>
  <c r="E33" i="35"/>
  <c r="F33" i="35" s="1"/>
  <c r="E32" i="35"/>
  <c r="F32" i="35" s="1"/>
  <c r="E23" i="35"/>
  <c r="N21" i="35"/>
  <c r="N42" i="35" s="1"/>
  <c r="K21" i="35"/>
  <c r="K42" i="35" s="1"/>
  <c r="H21" i="35"/>
  <c r="E21" i="35"/>
  <c r="C62" i="35"/>
  <c r="C59" i="35"/>
  <c r="G56" i="35"/>
  <c r="G61" i="35" s="1"/>
  <c r="I61" i="35" s="1"/>
  <c r="M46" i="35"/>
  <c r="O46" i="35" s="1"/>
  <c r="J46" i="35"/>
  <c r="L46" i="35" s="1"/>
  <c r="G46" i="35"/>
  <c r="I46" i="35" s="1"/>
  <c r="D46" i="35"/>
  <c r="F46" i="35" s="1"/>
  <c r="M45" i="35"/>
  <c r="O45" i="35" s="1"/>
  <c r="J45" i="35"/>
  <c r="L45" i="35" s="1"/>
  <c r="G45" i="35"/>
  <c r="I45" i="35" s="1"/>
  <c r="D45" i="35"/>
  <c r="F45" i="35" s="1"/>
  <c r="M44" i="35"/>
  <c r="O44" i="35" s="1"/>
  <c r="J44" i="35"/>
  <c r="L44" i="35" s="1"/>
  <c r="G44" i="35"/>
  <c r="I44" i="35" s="1"/>
  <c r="D44" i="35"/>
  <c r="F44" i="35" s="1"/>
  <c r="M43" i="35"/>
  <c r="M59" i="35" s="1"/>
  <c r="O59" i="35" s="1"/>
  <c r="J43" i="35"/>
  <c r="L43" i="35" s="1"/>
  <c r="G43" i="35"/>
  <c r="I43" i="35" s="1"/>
  <c r="D43" i="35"/>
  <c r="F43" i="35" s="1"/>
  <c r="I41" i="35"/>
  <c r="L41" i="35" s="1"/>
  <c r="O41" i="35" s="1"/>
  <c r="M39" i="35"/>
  <c r="O39" i="35" s="1"/>
  <c r="J39" i="35"/>
  <c r="L39" i="35" s="1"/>
  <c r="I39" i="35"/>
  <c r="F39" i="35" s="1"/>
  <c r="D39" i="35"/>
  <c r="M38" i="35"/>
  <c r="N38" i="35" s="1"/>
  <c r="O38" i="35" s="1"/>
  <c r="J38" i="35"/>
  <c r="G38" i="35"/>
  <c r="H38" i="35" s="1"/>
  <c r="I38" i="35" s="1"/>
  <c r="D38" i="35"/>
  <c r="E38" i="35" s="1"/>
  <c r="F38" i="35" s="1"/>
  <c r="M37" i="35"/>
  <c r="N37" i="35" s="1"/>
  <c r="O37" i="35" s="1"/>
  <c r="J37" i="35"/>
  <c r="K37" i="35" s="1"/>
  <c r="L37" i="35" s="1"/>
  <c r="G37" i="35"/>
  <c r="D37" i="35"/>
  <c r="M36" i="35"/>
  <c r="J36" i="35"/>
  <c r="K36" i="35" s="1"/>
  <c r="L36" i="35" s="1"/>
  <c r="G36" i="35"/>
  <c r="D36" i="35"/>
  <c r="E36" i="35" s="1"/>
  <c r="F36" i="35" s="1"/>
  <c r="M35" i="35"/>
  <c r="N35" i="35" s="1"/>
  <c r="O35" i="35" s="1"/>
  <c r="J35" i="35"/>
  <c r="K35" i="35" s="1"/>
  <c r="L35" i="35" s="1"/>
  <c r="G35" i="35"/>
  <c r="D35" i="35"/>
  <c r="M34" i="35"/>
  <c r="J34" i="35"/>
  <c r="K34" i="35" s="1"/>
  <c r="L34" i="35" s="1"/>
  <c r="G34" i="35"/>
  <c r="H34" i="35" s="1"/>
  <c r="I34" i="35" s="1"/>
  <c r="D34" i="35"/>
  <c r="E34" i="35" s="1"/>
  <c r="F34" i="35" s="1"/>
  <c r="C34" i="35"/>
  <c r="M33" i="35"/>
  <c r="N33" i="35" s="1"/>
  <c r="O33" i="35" s="1"/>
  <c r="J33" i="35"/>
  <c r="G33" i="35"/>
  <c r="H33" i="35" s="1"/>
  <c r="I33" i="35" s="1"/>
  <c r="D33" i="35"/>
  <c r="D50" i="35" s="1"/>
  <c r="F50" i="35" s="1"/>
  <c r="M32" i="35"/>
  <c r="M68" i="35" s="1"/>
  <c r="J32" i="35"/>
  <c r="G32" i="35"/>
  <c r="H32" i="35" s="1"/>
  <c r="I32" i="35" s="1"/>
  <c r="D32" i="35"/>
  <c r="D68" i="35" s="1"/>
  <c r="M31" i="35"/>
  <c r="M67" i="35" s="1"/>
  <c r="J31" i="35"/>
  <c r="G31" i="35"/>
  <c r="D31" i="35"/>
  <c r="D48" i="35" s="1"/>
  <c r="C31" i="35"/>
  <c r="M30" i="35"/>
  <c r="J30" i="35"/>
  <c r="G30" i="35"/>
  <c r="D30" i="35"/>
  <c r="M29" i="35"/>
  <c r="M57" i="35" s="1"/>
  <c r="O57" i="35" s="1"/>
  <c r="J29" i="35"/>
  <c r="G29" i="35"/>
  <c r="G66" i="35" s="1"/>
  <c r="D29" i="35"/>
  <c r="D57" i="35" s="1"/>
  <c r="F57" i="35" s="1"/>
  <c r="M28" i="35"/>
  <c r="J28" i="35"/>
  <c r="G28" i="35"/>
  <c r="D28" i="35"/>
  <c r="M27" i="35"/>
  <c r="M56" i="35" s="1"/>
  <c r="J27" i="35"/>
  <c r="K27" i="35" s="1"/>
  <c r="L27" i="35" s="1"/>
  <c r="G27" i="35"/>
  <c r="G65" i="35" s="1"/>
  <c r="D27" i="35"/>
  <c r="D56" i="35" s="1"/>
  <c r="M26" i="35"/>
  <c r="J26" i="35"/>
  <c r="G26" i="35"/>
  <c r="D26" i="35"/>
  <c r="M25" i="35"/>
  <c r="M55" i="35" s="1"/>
  <c r="O55" i="35" s="1"/>
  <c r="J25" i="35"/>
  <c r="J55" i="35" s="1"/>
  <c r="L55" i="35" s="1"/>
  <c r="G25" i="35"/>
  <c r="D25" i="35"/>
  <c r="D55" i="35" s="1"/>
  <c r="F55" i="35" s="1"/>
  <c r="M24" i="35"/>
  <c r="J24" i="35"/>
  <c r="G24" i="35"/>
  <c r="D24" i="35"/>
  <c r="M23" i="35"/>
  <c r="M54" i="35" s="1"/>
  <c r="O54" i="35" s="1"/>
  <c r="J23" i="35"/>
  <c r="J64" i="35" s="1"/>
  <c r="G23" i="35"/>
  <c r="G64" i="35" s="1"/>
  <c r="D23" i="35"/>
  <c r="D54" i="35" s="1"/>
  <c r="F54" i="35" s="1"/>
  <c r="M22" i="35"/>
  <c r="M53" i="35" s="1"/>
  <c r="O53" i="35" s="1"/>
  <c r="J22" i="35"/>
  <c r="K22" i="35" s="1"/>
  <c r="L22" i="35" s="1"/>
  <c r="G22" i="35"/>
  <c r="H22" i="35" s="1"/>
  <c r="I22" i="35" s="1"/>
  <c r="D22" i="35"/>
  <c r="D53" i="35" s="1"/>
  <c r="F53" i="35" s="1"/>
  <c r="M21" i="35"/>
  <c r="M42" i="35" s="1"/>
  <c r="Q9" i="35"/>
  <c r="P9" i="35"/>
  <c r="M9" i="35"/>
  <c r="J9" i="35"/>
  <c r="G9" i="35"/>
  <c r="D9" i="35"/>
  <c r="J69" i="34"/>
  <c r="K69" i="34" s="1"/>
  <c r="I69" i="34"/>
  <c r="H69" i="34"/>
  <c r="F69" i="34"/>
  <c r="G69" i="34" s="1"/>
  <c r="E69" i="34"/>
  <c r="D69" i="34"/>
  <c r="C69" i="34"/>
  <c r="J68" i="34"/>
  <c r="K68" i="34" s="1"/>
  <c r="H68" i="34"/>
  <c r="I68" i="34" s="1"/>
  <c r="F68" i="34"/>
  <c r="G68" i="34" s="1"/>
  <c r="E68" i="34"/>
  <c r="D68" i="34"/>
  <c r="C68" i="34"/>
  <c r="E22" i="35" l="1"/>
  <c r="F22" i="35" s="1"/>
  <c r="E25" i="35"/>
  <c r="F25" i="35" s="1"/>
  <c r="E29" i="35"/>
  <c r="F29" i="35" s="1"/>
  <c r="K25" i="35"/>
  <c r="L25" i="35" s="1"/>
  <c r="N31" i="35"/>
  <c r="C48" i="35"/>
  <c r="C60" i="35" s="1"/>
  <c r="C68" i="35"/>
  <c r="E27" i="35"/>
  <c r="F27" i="35" s="1"/>
  <c r="I31" i="35"/>
  <c r="L31" i="35"/>
  <c r="E31" i="35"/>
  <c r="N32" i="35"/>
  <c r="O32" i="35" s="1"/>
  <c r="O24" i="35"/>
  <c r="J67" i="35"/>
  <c r="J56" i="35"/>
  <c r="J61" i="35" s="1"/>
  <c r="L61" i="35" s="1"/>
  <c r="M65" i="35"/>
  <c r="G68" i="35"/>
  <c r="G49" i="35"/>
  <c r="I49" i="35" s="1"/>
  <c r="G57" i="35"/>
  <c r="I57" i="35" s="1"/>
  <c r="G51" i="35"/>
  <c r="I51" i="35" s="1"/>
  <c r="J51" i="35"/>
  <c r="L51" i="35" s="1"/>
  <c r="G53" i="35"/>
  <c r="I53" i="35" s="1"/>
  <c r="J68" i="35"/>
  <c r="J57" i="35"/>
  <c r="L57" i="35" s="1"/>
  <c r="J53" i="35"/>
  <c r="L53" i="35" s="1"/>
  <c r="M64" i="35"/>
  <c r="G54" i="35"/>
  <c r="I54" i="35" s="1"/>
  <c r="J49" i="35"/>
  <c r="J62" i="35" s="1"/>
  <c r="L62" i="35" s="1"/>
  <c r="J54" i="35"/>
  <c r="L54" i="35" s="1"/>
  <c r="D59" i="35"/>
  <c r="F59" i="35" s="1"/>
  <c r="J66" i="35"/>
  <c r="G48" i="35"/>
  <c r="G60" i="35" s="1"/>
  <c r="I60" i="35" s="1"/>
  <c r="J65" i="35"/>
  <c r="J48" i="35"/>
  <c r="J60" i="35" s="1"/>
  <c r="L60" i="35" s="1"/>
  <c r="G50" i="35"/>
  <c r="I50" i="35" s="1"/>
  <c r="G55" i="35"/>
  <c r="I55" i="35" s="1"/>
  <c r="M66" i="35"/>
  <c r="J50" i="35"/>
  <c r="L50" i="35" s="1"/>
  <c r="G67" i="35"/>
  <c r="F48" i="35"/>
  <c r="D60" i="35"/>
  <c r="F60" i="35" s="1"/>
  <c r="M61" i="35"/>
  <c r="O61" i="35" s="1"/>
  <c r="O56" i="35"/>
  <c r="D61" i="35"/>
  <c r="F61" i="35" s="1"/>
  <c r="F56" i="35"/>
  <c r="J59" i="35"/>
  <c r="L59" i="35" s="1"/>
  <c r="D65" i="35"/>
  <c r="O43" i="35"/>
  <c r="M48" i="35"/>
  <c r="M49" i="35"/>
  <c r="M50" i="35"/>
  <c r="O50" i="35" s="1"/>
  <c r="M51" i="35"/>
  <c r="O51" i="35" s="1"/>
  <c r="D66" i="35"/>
  <c r="G59" i="35"/>
  <c r="I59" i="35" s="1"/>
  <c r="D67" i="35"/>
  <c r="I56" i="35"/>
  <c r="D64" i="35"/>
  <c r="D49" i="35"/>
  <c r="D51" i="35"/>
  <c r="F51" i="35" s="1"/>
  <c r="N68" i="35" l="1"/>
  <c r="O68" i="35" s="1"/>
  <c r="O31" i="35"/>
  <c r="E68" i="35"/>
  <c r="F68" i="35" s="1"/>
  <c r="F31" i="35"/>
  <c r="L56" i="35"/>
  <c r="G62" i="35"/>
  <c r="I62" i="35" s="1"/>
  <c r="L49" i="35"/>
  <c r="L48" i="35"/>
  <c r="I48" i="35"/>
  <c r="D62" i="35"/>
  <c r="F62" i="35" s="1"/>
  <c r="F49" i="35"/>
  <c r="M62" i="35"/>
  <c r="O62" i="35" s="1"/>
  <c r="O49" i="35"/>
  <c r="M60" i="35"/>
  <c r="O60" i="35" s="1"/>
  <c r="O48" i="35"/>
  <c r="C66" i="34" l="1"/>
  <c r="C65" i="34"/>
  <c r="C64" i="34"/>
  <c r="C62" i="34" l="1"/>
  <c r="C59" i="34"/>
  <c r="J46" i="34"/>
  <c r="K46" i="34" s="1"/>
  <c r="H46" i="34"/>
  <c r="I46" i="34" s="1"/>
  <c r="F46" i="34"/>
  <c r="G46" i="34" s="1"/>
  <c r="D46" i="34"/>
  <c r="E46" i="34" s="1"/>
  <c r="J45" i="34"/>
  <c r="K45" i="34" s="1"/>
  <c r="H45" i="34"/>
  <c r="I45" i="34" s="1"/>
  <c r="F45" i="34"/>
  <c r="G45" i="34" s="1"/>
  <c r="D45" i="34"/>
  <c r="E45" i="34" s="1"/>
  <c r="J44" i="34"/>
  <c r="K44" i="34" s="1"/>
  <c r="H44" i="34"/>
  <c r="F44" i="34"/>
  <c r="G44" i="34" s="1"/>
  <c r="D44" i="34"/>
  <c r="E44" i="34" s="1"/>
  <c r="J43" i="34"/>
  <c r="K43" i="34" s="1"/>
  <c r="H43" i="34"/>
  <c r="H59" i="34" s="1"/>
  <c r="I59" i="34" s="1"/>
  <c r="F43" i="34"/>
  <c r="F59" i="34" s="1"/>
  <c r="G59" i="34" s="1"/>
  <c r="D43" i="34"/>
  <c r="G41" i="34"/>
  <c r="I41" i="34" s="1"/>
  <c r="K41" i="34" s="1"/>
  <c r="J39" i="34"/>
  <c r="K39" i="34" s="1"/>
  <c r="H39" i="34"/>
  <c r="I39" i="34" s="1"/>
  <c r="G39" i="34"/>
  <c r="E39" i="34"/>
  <c r="D39" i="34"/>
  <c r="H38" i="34"/>
  <c r="I38" i="34" s="1"/>
  <c r="F38" i="34"/>
  <c r="G38" i="34" s="1"/>
  <c r="C34" i="34"/>
  <c r="H33" i="34"/>
  <c r="I33" i="34" s="1"/>
  <c r="F33" i="34"/>
  <c r="F50" i="34" s="1"/>
  <c r="G50" i="34" s="1"/>
  <c r="H32" i="34"/>
  <c r="F32" i="34"/>
  <c r="H31" i="34"/>
  <c r="F31" i="34"/>
  <c r="C31" i="34"/>
  <c r="J30" i="34"/>
  <c r="K30" i="34" s="1"/>
  <c r="H30" i="34"/>
  <c r="I30" i="34" s="1"/>
  <c r="F30" i="34"/>
  <c r="G30" i="34" s="1"/>
  <c r="D30" i="34"/>
  <c r="E30" i="34" s="1"/>
  <c r="H29" i="34"/>
  <c r="F29" i="34"/>
  <c r="J28" i="34"/>
  <c r="K28" i="34" s="1"/>
  <c r="H28" i="34"/>
  <c r="I28" i="34" s="1"/>
  <c r="F28" i="34"/>
  <c r="G28" i="34" s="1"/>
  <c r="D28" i="34"/>
  <c r="E28" i="34" s="1"/>
  <c r="H27" i="34"/>
  <c r="H65" i="34" s="1"/>
  <c r="F27" i="34"/>
  <c r="F65" i="34" s="1"/>
  <c r="J26" i="34"/>
  <c r="K26" i="34" s="1"/>
  <c r="H26" i="34"/>
  <c r="I26" i="34" s="1"/>
  <c r="F26" i="34"/>
  <c r="G26" i="34" s="1"/>
  <c r="D26" i="34"/>
  <c r="E26" i="34" s="1"/>
  <c r="H25" i="34"/>
  <c r="I25" i="34" s="1"/>
  <c r="F25" i="34"/>
  <c r="F55" i="34" s="1"/>
  <c r="G55" i="34" s="1"/>
  <c r="J24" i="34"/>
  <c r="K24" i="34" s="1"/>
  <c r="H24" i="34"/>
  <c r="I24" i="34" s="1"/>
  <c r="F24" i="34"/>
  <c r="G24" i="34" s="1"/>
  <c r="D24" i="34"/>
  <c r="E24" i="34" s="1"/>
  <c r="H23" i="34"/>
  <c r="F23" i="34"/>
  <c r="H22" i="34"/>
  <c r="I22" i="34" s="1"/>
  <c r="F22" i="34"/>
  <c r="F53" i="34" s="1"/>
  <c r="G53" i="34" s="1"/>
  <c r="J21" i="34"/>
  <c r="J42" i="34" s="1"/>
  <c r="M9" i="34"/>
  <c r="L9" i="34"/>
  <c r="J9" i="34"/>
  <c r="H9" i="34"/>
  <c r="F9" i="34"/>
  <c r="D9" i="34"/>
  <c r="F49" i="34" l="1"/>
  <c r="G49" i="34" s="1"/>
  <c r="I32" i="34"/>
  <c r="I31" i="34"/>
  <c r="H67" i="34"/>
  <c r="I67" i="34" s="1"/>
  <c r="F48" i="34"/>
  <c r="G48" i="34" s="1"/>
  <c r="F67" i="34"/>
  <c r="G67" i="34" s="1"/>
  <c r="F57" i="34"/>
  <c r="G57" i="34" s="1"/>
  <c r="F66" i="34"/>
  <c r="H57" i="34"/>
  <c r="I57" i="34" s="1"/>
  <c r="H66" i="34"/>
  <c r="C48" i="34"/>
  <c r="C60" i="34" s="1"/>
  <c r="C67" i="34"/>
  <c r="H54" i="34"/>
  <c r="I54" i="34" s="1"/>
  <c r="H64" i="34"/>
  <c r="I64" i="34" s="1"/>
  <c r="I65" i="34"/>
  <c r="I44" i="34"/>
  <c r="F54" i="34"/>
  <c r="G54" i="34" s="1"/>
  <c r="F64" i="34"/>
  <c r="G64" i="34" s="1"/>
  <c r="I43" i="34"/>
  <c r="I66" i="34"/>
  <c r="F56" i="34"/>
  <c r="G56" i="34" s="1"/>
  <c r="F51" i="34"/>
  <c r="G51" i="34" s="1"/>
  <c r="G66" i="34"/>
  <c r="H56" i="34"/>
  <c r="H61" i="34" s="1"/>
  <c r="I61" i="34" s="1"/>
  <c r="H51" i="34"/>
  <c r="I51" i="34" s="1"/>
  <c r="G65" i="34"/>
  <c r="H50" i="34"/>
  <c r="I50" i="34" s="1"/>
  <c r="H53" i="34"/>
  <c r="I53" i="34" s="1"/>
  <c r="J59" i="34"/>
  <c r="K59" i="34" s="1"/>
  <c r="G22" i="34"/>
  <c r="I23" i="34"/>
  <c r="I27" i="34"/>
  <c r="G31" i="34"/>
  <c r="H48" i="34"/>
  <c r="G25" i="34"/>
  <c r="G29" i="34"/>
  <c r="H55" i="34"/>
  <c r="I55" i="34" s="1"/>
  <c r="I29" i="34"/>
  <c r="G23" i="34"/>
  <c r="G27" i="34"/>
  <c r="G32" i="34"/>
  <c r="H49" i="34"/>
  <c r="D59" i="34"/>
  <c r="E59" i="34" s="1"/>
  <c r="E43" i="34"/>
  <c r="F62" i="34"/>
  <c r="G62" i="34" s="1"/>
  <c r="G33" i="34"/>
  <c r="G43" i="34"/>
  <c r="F61" i="34" l="1"/>
  <c r="G61" i="34" s="1"/>
  <c r="F60" i="34"/>
  <c r="G60" i="34" s="1"/>
  <c r="I56" i="34"/>
  <c r="H60" i="34"/>
  <c r="I60" i="34" s="1"/>
  <c r="I48" i="34"/>
  <c r="H62" i="34"/>
  <c r="I62" i="34" s="1"/>
  <c r="I49" i="34"/>
  <c r="C61" i="33" l="1"/>
  <c r="C58" i="33" l="1"/>
  <c r="H48" i="33"/>
  <c r="H59" i="33" s="1"/>
  <c r="I59" i="33" s="1"/>
  <c r="J46" i="33"/>
  <c r="K46" i="33" s="1"/>
  <c r="H46" i="33"/>
  <c r="I46" i="33" s="1"/>
  <c r="F46" i="33"/>
  <c r="G46" i="33" s="1"/>
  <c r="D46" i="33"/>
  <c r="E46" i="33" s="1"/>
  <c r="J45" i="33"/>
  <c r="K45" i="33" s="1"/>
  <c r="I45" i="33"/>
  <c r="H45" i="33"/>
  <c r="F45" i="33"/>
  <c r="G45" i="33" s="1"/>
  <c r="D45" i="33"/>
  <c r="E45" i="33" s="1"/>
  <c r="J44" i="33"/>
  <c r="K44" i="33" s="1"/>
  <c r="H44" i="33"/>
  <c r="I44" i="33" s="1"/>
  <c r="F44" i="33"/>
  <c r="G44" i="33" s="1"/>
  <c r="D44" i="33"/>
  <c r="E44" i="33" s="1"/>
  <c r="J43" i="33"/>
  <c r="J58" i="33" s="1"/>
  <c r="K58" i="33" s="1"/>
  <c r="I43" i="33"/>
  <c r="H43" i="33"/>
  <c r="H58" i="33" s="1"/>
  <c r="I58" i="33" s="1"/>
  <c r="F43" i="33"/>
  <c r="G43" i="33" s="1"/>
  <c r="D43" i="33"/>
  <c r="D58" i="33" s="1"/>
  <c r="E58" i="33" s="1"/>
  <c r="I41" i="33"/>
  <c r="K41" i="33" s="1"/>
  <c r="G41" i="33"/>
  <c r="J39" i="33"/>
  <c r="K39" i="33" s="1"/>
  <c r="H39" i="33"/>
  <c r="I39" i="33" s="1"/>
  <c r="G39" i="33"/>
  <c r="E39" i="33" s="1"/>
  <c r="D39" i="33"/>
  <c r="H38" i="33"/>
  <c r="I38" i="33" s="1"/>
  <c r="F38" i="33"/>
  <c r="G38" i="33" s="1"/>
  <c r="C34" i="33"/>
  <c r="H33" i="33"/>
  <c r="I33" i="33" s="1"/>
  <c r="F33" i="33"/>
  <c r="F50" i="33" s="1"/>
  <c r="G50" i="33" s="1"/>
  <c r="H32" i="33"/>
  <c r="I32" i="33" s="1"/>
  <c r="F32" i="33"/>
  <c r="F49" i="33" s="1"/>
  <c r="H31" i="33"/>
  <c r="I31" i="33" s="1"/>
  <c r="F31" i="33"/>
  <c r="F48" i="33" s="1"/>
  <c r="G48" i="33" s="1"/>
  <c r="C31" i="33"/>
  <c r="C48" i="33" s="1"/>
  <c r="C59" i="33" s="1"/>
  <c r="J30" i="33"/>
  <c r="K30" i="33" s="1"/>
  <c r="H30" i="33"/>
  <c r="I30" i="33" s="1"/>
  <c r="G30" i="33"/>
  <c r="F30" i="33"/>
  <c r="D30" i="33"/>
  <c r="E30" i="33" s="1"/>
  <c r="H29" i="33"/>
  <c r="I29" i="33" s="1"/>
  <c r="F29" i="33"/>
  <c r="F56" i="33" s="1"/>
  <c r="G56" i="33" s="1"/>
  <c r="J28" i="33"/>
  <c r="K28" i="33" s="1"/>
  <c r="H28" i="33"/>
  <c r="I28" i="33" s="1"/>
  <c r="G28" i="33"/>
  <c r="F28" i="33"/>
  <c r="D28" i="33"/>
  <c r="E28" i="33" s="1"/>
  <c r="H27" i="33"/>
  <c r="I27" i="33" s="1"/>
  <c r="F27" i="33"/>
  <c r="F55" i="33" s="1"/>
  <c r="G55" i="33" s="1"/>
  <c r="J26" i="33"/>
  <c r="K26" i="33" s="1"/>
  <c r="H26" i="33"/>
  <c r="I26" i="33" s="1"/>
  <c r="G26" i="33"/>
  <c r="F26" i="33"/>
  <c r="D26" i="33"/>
  <c r="E26" i="33" s="1"/>
  <c r="H25" i="33"/>
  <c r="I25" i="33" s="1"/>
  <c r="G25" i="33"/>
  <c r="F25" i="33"/>
  <c r="F54" i="33" s="1"/>
  <c r="G54" i="33" s="1"/>
  <c r="J24" i="33"/>
  <c r="K24" i="33" s="1"/>
  <c r="H24" i="33"/>
  <c r="I24" i="33" s="1"/>
  <c r="F24" i="33"/>
  <c r="G24" i="33" s="1"/>
  <c r="E24" i="33"/>
  <c r="D24" i="33"/>
  <c r="H23" i="33"/>
  <c r="I23" i="33" s="1"/>
  <c r="F23" i="33"/>
  <c r="F53" i="33" s="1"/>
  <c r="G53" i="33" s="1"/>
  <c r="I22" i="33"/>
  <c r="H22" i="33"/>
  <c r="H52" i="33" s="1"/>
  <c r="I52" i="33" s="1"/>
  <c r="F22" i="33"/>
  <c r="F52" i="33" s="1"/>
  <c r="G52" i="33" s="1"/>
  <c r="J21" i="33"/>
  <c r="J42" i="33" s="1"/>
  <c r="M9" i="33"/>
  <c r="L9" i="33"/>
  <c r="J9" i="33"/>
  <c r="H9" i="33"/>
  <c r="F9" i="33"/>
  <c r="D9" i="33"/>
  <c r="I48" i="33" l="1"/>
  <c r="G23" i="33"/>
  <c r="H49" i="33"/>
  <c r="F58" i="33"/>
  <c r="G58" i="33" s="1"/>
  <c r="G49" i="33"/>
  <c r="F61" i="33"/>
  <c r="G61" i="33" s="1"/>
  <c r="H50" i="33"/>
  <c r="I50" i="33" s="1"/>
  <c r="G29" i="33"/>
  <c r="H55" i="33"/>
  <c r="H60" i="33" s="1"/>
  <c r="I60" i="33" s="1"/>
  <c r="F60" i="33"/>
  <c r="G60" i="33" s="1"/>
  <c r="G32" i="33"/>
  <c r="H53" i="33"/>
  <c r="I53" i="33" s="1"/>
  <c r="G22" i="33"/>
  <c r="G27" i="33"/>
  <c r="I55" i="33"/>
  <c r="G31" i="33"/>
  <c r="H54" i="33"/>
  <c r="I54" i="33" s="1"/>
  <c r="H56" i="33"/>
  <c r="I56" i="33" s="1"/>
  <c r="F59" i="33"/>
  <c r="G59" i="33" s="1"/>
  <c r="G33" i="33"/>
  <c r="K43" i="33"/>
  <c r="E43" i="33"/>
  <c r="I49" i="33" l="1"/>
  <c r="H61" i="33"/>
  <c r="I61" i="33" s="1"/>
  <c r="C58" i="32"/>
  <c r="J46" i="32" l="1"/>
  <c r="K46" i="32" s="1"/>
  <c r="H46" i="32"/>
  <c r="I46" i="32" s="1"/>
  <c r="F46" i="32"/>
  <c r="G46" i="32" s="1"/>
  <c r="D46" i="32"/>
  <c r="E46" i="32" s="1"/>
  <c r="J45" i="32"/>
  <c r="K45" i="32" s="1"/>
  <c r="H45" i="32"/>
  <c r="I45" i="32" s="1"/>
  <c r="F45" i="32"/>
  <c r="G45" i="32" s="1"/>
  <c r="D45" i="32"/>
  <c r="E45" i="32" s="1"/>
  <c r="J44" i="32"/>
  <c r="K44" i="32" s="1"/>
  <c r="H44" i="32"/>
  <c r="I44" i="32" s="1"/>
  <c r="F44" i="32"/>
  <c r="G44" i="32" s="1"/>
  <c r="D44" i="32"/>
  <c r="E44" i="32" s="1"/>
  <c r="J43" i="32"/>
  <c r="H43" i="32"/>
  <c r="F43" i="32"/>
  <c r="D43" i="32"/>
  <c r="G41" i="32"/>
  <c r="I41" i="32" s="1"/>
  <c r="K41" i="32" s="1"/>
  <c r="J39" i="32"/>
  <c r="K39" i="32" s="1"/>
  <c r="H39" i="32"/>
  <c r="I39" i="32" s="1"/>
  <c r="G39" i="32"/>
  <c r="E39" i="32" s="1"/>
  <c r="D39" i="32"/>
  <c r="H38" i="32"/>
  <c r="I38" i="32" s="1"/>
  <c r="F38" i="32"/>
  <c r="G38" i="32" s="1"/>
  <c r="C34" i="32"/>
  <c r="H33" i="32"/>
  <c r="I33" i="32" s="1"/>
  <c r="F33" i="32"/>
  <c r="G33" i="32" s="1"/>
  <c r="H32" i="32"/>
  <c r="I32" i="32" s="1"/>
  <c r="F32" i="32"/>
  <c r="G32" i="32" s="1"/>
  <c r="H31" i="32"/>
  <c r="I31" i="32" s="1"/>
  <c r="F31" i="32"/>
  <c r="G31" i="32" s="1"/>
  <c r="C31" i="32"/>
  <c r="C48" i="32" s="1"/>
  <c r="C59" i="32" s="1"/>
  <c r="J30" i="32"/>
  <c r="K30" i="32" s="1"/>
  <c r="H30" i="32"/>
  <c r="I30" i="32" s="1"/>
  <c r="F30" i="32"/>
  <c r="G30" i="32" s="1"/>
  <c r="D30" i="32"/>
  <c r="E30" i="32" s="1"/>
  <c r="H29" i="32"/>
  <c r="I29" i="32" s="1"/>
  <c r="F29" i="32"/>
  <c r="G29" i="32" s="1"/>
  <c r="J28" i="32"/>
  <c r="K28" i="32" s="1"/>
  <c r="H28" i="32"/>
  <c r="I28" i="32" s="1"/>
  <c r="F28" i="32"/>
  <c r="G28" i="32" s="1"/>
  <c r="D28" i="32"/>
  <c r="E28" i="32" s="1"/>
  <c r="H27" i="32"/>
  <c r="I27" i="32" s="1"/>
  <c r="F27" i="32"/>
  <c r="G27" i="32" s="1"/>
  <c r="J26" i="32"/>
  <c r="K26" i="32" s="1"/>
  <c r="H26" i="32"/>
  <c r="I26" i="32" s="1"/>
  <c r="F26" i="32"/>
  <c r="G26" i="32" s="1"/>
  <c r="D26" i="32"/>
  <c r="E26" i="32" s="1"/>
  <c r="H25" i="32"/>
  <c r="I25" i="32" s="1"/>
  <c r="F25" i="32"/>
  <c r="G25" i="32" s="1"/>
  <c r="J24" i="32"/>
  <c r="K24" i="32" s="1"/>
  <c r="H24" i="32"/>
  <c r="I24" i="32" s="1"/>
  <c r="F24" i="32"/>
  <c r="G24" i="32" s="1"/>
  <c r="D24" i="32"/>
  <c r="E24" i="32" s="1"/>
  <c r="H23" i="32"/>
  <c r="I23" i="32" s="1"/>
  <c r="F23" i="32"/>
  <c r="G23" i="32" s="1"/>
  <c r="H22" i="32"/>
  <c r="F22" i="32"/>
  <c r="J21" i="32"/>
  <c r="J42" i="32" s="1"/>
  <c r="M9" i="32"/>
  <c r="L9" i="32"/>
  <c r="J9" i="32"/>
  <c r="H9" i="32"/>
  <c r="F9" i="32"/>
  <c r="D9" i="32"/>
  <c r="G22" i="32" l="1"/>
  <c r="F52" i="32"/>
  <c r="G52" i="32" s="1"/>
  <c r="E43" i="32"/>
  <c r="D58" i="32"/>
  <c r="E58" i="32" s="1"/>
  <c r="G43" i="32"/>
  <c r="F58" i="32"/>
  <c r="G58" i="32" s="1"/>
  <c r="I43" i="32"/>
  <c r="H58" i="32"/>
  <c r="I58" i="32" s="1"/>
  <c r="I22" i="32"/>
  <c r="H52" i="32"/>
  <c r="I52" i="32" s="1"/>
  <c r="K43" i="32"/>
  <c r="J58" i="32"/>
  <c r="K58" i="32" s="1"/>
  <c r="H50" i="32"/>
  <c r="I50" i="32" s="1"/>
  <c r="H53" i="32"/>
  <c r="I53" i="32" s="1"/>
  <c r="H54" i="32"/>
  <c r="I54" i="32" s="1"/>
  <c r="H55" i="32"/>
  <c r="I55" i="32" s="1"/>
  <c r="F48" i="32"/>
  <c r="G48" i="32" s="1"/>
  <c r="H56" i="32"/>
  <c r="I56" i="32" s="1"/>
  <c r="F49" i="32"/>
  <c r="G49" i="32" s="1"/>
  <c r="F53" i="32"/>
  <c r="G53" i="32" s="1"/>
  <c r="F50" i="32"/>
  <c r="G50" i="32" s="1"/>
  <c r="F54" i="32"/>
  <c r="G54" i="32" s="1"/>
  <c r="H48" i="32"/>
  <c r="I48" i="32" s="1"/>
  <c r="F55" i="32"/>
  <c r="G55" i="32" s="1"/>
  <c r="H49" i="32"/>
  <c r="I49" i="32" s="1"/>
  <c r="F56" i="32"/>
  <c r="G56" i="32" s="1"/>
  <c r="F59" i="32" l="1"/>
  <c r="G59" i="32" s="1"/>
  <c r="H60" i="32"/>
  <c r="I60" i="32" s="1"/>
  <c r="F60" i="32"/>
  <c r="G60" i="32" s="1"/>
  <c r="H59" i="32"/>
  <c r="I59" i="32" s="1"/>
  <c r="K45" i="31" l="1"/>
  <c r="K44" i="31"/>
  <c r="I45" i="31"/>
  <c r="I44" i="31"/>
  <c r="J47" i="31"/>
  <c r="K47" i="31" s="1"/>
  <c r="H47" i="31"/>
  <c r="I47" i="31" s="1"/>
  <c r="F47" i="31"/>
  <c r="G47" i="31" s="1"/>
  <c r="D47" i="31"/>
  <c r="E47" i="31" s="1"/>
  <c r="J46" i="31"/>
  <c r="K46" i="31" s="1"/>
  <c r="H46" i="31"/>
  <c r="I46" i="31" s="1"/>
  <c r="F46" i="31"/>
  <c r="G46" i="31" s="1"/>
  <c r="D46" i="31"/>
  <c r="E46" i="31" s="1"/>
  <c r="J45" i="31"/>
  <c r="H45" i="31"/>
  <c r="F45" i="31"/>
  <c r="G45" i="31" s="1"/>
  <c r="D45" i="31"/>
  <c r="E45" i="31" s="1"/>
  <c r="J44" i="31"/>
  <c r="H44" i="31"/>
  <c r="F44" i="31"/>
  <c r="G44" i="31" s="1"/>
  <c r="G49" i="31" s="1"/>
  <c r="D44" i="31"/>
  <c r="E44" i="31" s="1"/>
  <c r="G42" i="31"/>
  <c r="I42" i="31" s="1"/>
  <c r="K42" i="31" s="1"/>
  <c r="G20" i="31" l="1"/>
  <c r="J40" i="31"/>
  <c r="K40" i="31" s="1"/>
  <c r="H40" i="31"/>
  <c r="I40" i="31" s="1"/>
  <c r="G40" i="31"/>
  <c r="E40" i="31" s="1"/>
  <c r="D40" i="31"/>
  <c r="H39" i="31"/>
  <c r="I39" i="31" s="1"/>
  <c r="F39" i="31"/>
  <c r="G39" i="31" s="1"/>
  <c r="C35" i="31"/>
  <c r="H34" i="31"/>
  <c r="I34" i="31" s="1"/>
  <c r="F34" i="31"/>
  <c r="G34" i="31" s="1"/>
  <c r="H33" i="31"/>
  <c r="I33" i="31" s="1"/>
  <c r="F33" i="31"/>
  <c r="G33" i="31" s="1"/>
  <c r="H32" i="31"/>
  <c r="I32" i="31" s="1"/>
  <c r="F32" i="31"/>
  <c r="G32" i="31" s="1"/>
  <c r="C32" i="31"/>
  <c r="J31" i="31"/>
  <c r="K31" i="31" s="1"/>
  <c r="H31" i="31"/>
  <c r="I31" i="31" s="1"/>
  <c r="F31" i="31"/>
  <c r="G31" i="31" s="1"/>
  <c r="D31" i="31"/>
  <c r="E31" i="31" s="1"/>
  <c r="H30" i="31"/>
  <c r="I30" i="31" s="1"/>
  <c r="F30" i="31"/>
  <c r="G30" i="31" s="1"/>
  <c r="H29" i="31"/>
  <c r="I29" i="31" s="1"/>
  <c r="F29" i="31"/>
  <c r="G29" i="31" s="1"/>
  <c r="D29" i="31"/>
  <c r="E29" i="31" s="1"/>
  <c r="J28" i="31"/>
  <c r="K28" i="31" s="1"/>
  <c r="H28" i="31"/>
  <c r="I28" i="31" s="1"/>
  <c r="F28" i="31"/>
  <c r="G28" i="31" s="1"/>
  <c r="D28" i="31"/>
  <c r="E28" i="31" s="1"/>
  <c r="H27" i="31"/>
  <c r="I27" i="31" s="1"/>
  <c r="F27" i="31"/>
  <c r="G27" i="31" s="1"/>
  <c r="J26" i="31"/>
  <c r="K26" i="31" s="1"/>
  <c r="H26" i="31"/>
  <c r="I26" i="31" s="1"/>
  <c r="F26" i="31"/>
  <c r="G26" i="31" s="1"/>
  <c r="D26" i="31"/>
  <c r="E26" i="31" s="1"/>
  <c r="H25" i="31"/>
  <c r="I25" i="31" s="1"/>
  <c r="F25" i="31"/>
  <c r="G25" i="31" s="1"/>
  <c r="J24" i="31"/>
  <c r="K24" i="31" s="1"/>
  <c r="H24" i="31"/>
  <c r="I24" i="31" s="1"/>
  <c r="F24" i="31"/>
  <c r="G24" i="31" s="1"/>
  <c r="D24" i="31"/>
  <c r="E24" i="31" s="1"/>
  <c r="H23" i="31"/>
  <c r="I23" i="31" s="1"/>
  <c r="F23" i="31"/>
  <c r="G23" i="31" s="1"/>
  <c r="H22" i="31"/>
  <c r="I22" i="31" s="1"/>
  <c r="F22" i="31"/>
  <c r="G22" i="31" s="1"/>
  <c r="J21" i="31"/>
  <c r="J43" i="31" s="1"/>
  <c r="I20" i="31"/>
  <c r="K20" i="31" s="1"/>
  <c r="M9" i="31"/>
  <c r="L9" i="31"/>
  <c r="J9" i="31"/>
  <c r="H9" i="31"/>
  <c r="F9" i="31"/>
  <c r="D9" i="31"/>
  <c r="J31" i="30" l="1"/>
  <c r="J28" i="30"/>
  <c r="L31" i="30"/>
  <c r="H31" i="30"/>
  <c r="F31" i="30"/>
  <c r="D31" i="30"/>
  <c r="L28" i="30"/>
  <c r="H28" i="30"/>
  <c r="F28" i="30"/>
  <c r="D28" i="30"/>
  <c r="L24" i="30" l="1"/>
  <c r="J24" i="30"/>
  <c r="H24" i="30"/>
  <c r="F24" i="30"/>
  <c r="D24" i="30"/>
  <c r="L26" i="30"/>
  <c r="J26" i="30"/>
  <c r="H26" i="30"/>
  <c r="F26" i="30"/>
  <c r="D26" i="30"/>
  <c r="M28" i="30" l="1"/>
  <c r="M31" i="30"/>
  <c r="K31" i="30"/>
  <c r="I31" i="30"/>
  <c r="G31" i="30"/>
  <c r="E31" i="30"/>
  <c r="I28" i="30"/>
  <c r="G28" i="30"/>
  <c r="I26" i="30"/>
  <c r="G26" i="30"/>
  <c r="M24" i="30"/>
  <c r="K24" i="30"/>
  <c r="I24" i="30"/>
  <c r="G24" i="30"/>
  <c r="E24" i="30"/>
  <c r="L40" i="30"/>
  <c r="M40" i="30" s="1"/>
  <c r="J40" i="30"/>
  <c r="K40" i="30" s="1"/>
  <c r="G40" i="30" s="1"/>
  <c r="I40" i="30"/>
  <c r="E40" i="30" s="1"/>
  <c r="F40" i="30"/>
  <c r="D40" i="30"/>
  <c r="J39" i="30"/>
  <c r="K39" i="30" s="1"/>
  <c r="H39" i="30"/>
  <c r="I39" i="30" s="1"/>
  <c r="C35" i="30"/>
  <c r="J34" i="30"/>
  <c r="K34" i="30" s="1"/>
  <c r="H34" i="30"/>
  <c r="I34" i="30" s="1"/>
  <c r="J33" i="30"/>
  <c r="K33" i="30" s="1"/>
  <c r="H33" i="30"/>
  <c r="I33" i="30" s="1"/>
  <c r="J32" i="30"/>
  <c r="K32" i="30" s="1"/>
  <c r="H32" i="30"/>
  <c r="I32" i="30" s="1"/>
  <c r="C32" i="30"/>
  <c r="J30" i="30"/>
  <c r="K30" i="30" s="1"/>
  <c r="I30" i="30"/>
  <c r="H30" i="30"/>
  <c r="J29" i="30"/>
  <c r="K29" i="30" s="1"/>
  <c r="H29" i="30"/>
  <c r="I29" i="30" s="1"/>
  <c r="F29" i="30"/>
  <c r="G29" i="30" s="1"/>
  <c r="D29" i="30"/>
  <c r="E29" i="30" s="1"/>
  <c r="K28" i="30"/>
  <c r="E28" i="30"/>
  <c r="J27" i="30"/>
  <c r="K27" i="30" s="1"/>
  <c r="H27" i="30"/>
  <c r="I27" i="30" s="1"/>
  <c r="M26" i="30"/>
  <c r="K26" i="30"/>
  <c r="E26" i="30"/>
  <c r="J25" i="30"/>
  <c r="K25" i="30" s="1"/>
  <c r="H25" i="30"/>
  <c r="I25" i="30" s="1"/>
  <c r="J23" i="30"/>
  <c r="K23" i="30" s="1"/>
  <c r="H23" i="30"/>
  <c r="I23" i="30" s="1"/>
  <c r="J22" i="30"/>
  <c r="K22" i="30" s="1"/>
  <c r="H22" i="30"/>
  <c r="I22" i="30" s="1"/>
  <c r="L21" i="30"/>
  <c r="G20" i="30"/>
  <c r="I20" i="30" s="1"/>
  <c r="K20" i="30" s="1"/>
  <c r="M20" i="30" s="1"/>
  <c r="M9" i="30"/>
  <c r="L9" i="30"/>
  <c r="J9" i="30"/>
  <c r="H9" i="30"/>
  <c r="F9" i="30"/>
  <c r="D9" i="30"/>
  <c r="I42" i="30" l="1"/>
  <c r="I45" i="30"/>
  <c r="K45" i="30"/>
  <c r="K43" i="30"/>
  <c r="K44" i="30"/>
  <c r="I43" i="30"/>
  <c r="I44" i="30"/>
  <c r="K42" i="30"/>
  <c r="F40" i="29" l="1"/>
  <c r="D40" i="29"/>
  <c r="L40" i="29"/>
  <c r="J40" i="29"/>
  <c r="H47" i="29"/>
  <c r="M40" i="29" l="1"/>
  <c r="K40" i="29"/>
  <c r="G40" i="29" s="1"/>
  <c r="I40" i="29"/>
  <c r="E40" i="29" s="1"/>
  <c r="J39" i="29"/>
  <c r="K39" i="29" s="1"/>
  <c r="H39" i="29"/>
  <c r="I39" i="29" s="1"/>
  <c r="C35" i="29"/>
  <c r="K34" i="29"/>
  <c r="J34" i="29"/>
  <c r="H34" i="29"/>
  <c r="I34" i="29" s="1"/>
  <c r="J33" i="29"/>
  <c r="K33" i="29" s="1"/>
  <c r="H33" i="29"/>
  <c r="I33" i="29" s="1"/>
  <c r="J32" i="29"/>
  <c r="K32" i="29" s="1"/>
  <c r="H32" i="29"/>
  <c r="I32" i="29" s="1"/>
  <c r="C32" i="29"/>
  <c r="J30" i="29"/>
  <c r="K30" i="29" s="1"/>
  <c r="H30" i="29"/>
  <c r="I30" i="29" s="1"/>
  <c r="J29" i="29"/>
  <c r="K29" i="29" s="1"/>
  <c r="H29" i="29"/>
  <c r="I29" i="29" s="1"/>
  <c r="F29" i="29"/>
  <c r="G29" i="29" s="1"/>
  <c r="D29" i="29"/>
  <c r="E29" i="29" s="1"/>
  <c r="J27" i="29"/>
  <c r="K27" i="29" s="1"/>
  <c r="H27" i="29"/>
  <c r="I27" i="29" s="1"/>
  <c r="J25" i="29"/>
  <c r="K25" i="29" s="1"/>
  <c r="H25" i="29"/>
  <c r="I25" i="29" s="1"/>
  <c r="J23" i="29"/>
  <c r="K23" i="29" s="1"/>
  <c r="H23" i="29"/>
  <c r="I23" i="29" s="1"/>
  <c r="J22" i="29"/>
  <c r="K22" i="29" s="1"/>
  <c r="H22" i="29"/>
  <c r="I22" i="29" s="1"/>
  <c r="L21" i="29"/>
  <c r="G20" i="29"/>
  <c r="I20" i="29" s="1"/>
  <c r="K20" i="29" s="1"/>
  <c r="M20" i="29" s="1"/>
  <c r="M9" i="29"/>
  <c r="L9" i="29"/>
  <c r="J9" i="29"/>
  <c r="H9" i="29"/>
  <c r="F9" i="29"/>
  <c r="D9" i="29"/>
  <c r="I41" i="28" l="1"/>
  <c r="J41" i="28" s="1"/>
  <c r="I35" i="28"/>
  <c r="I34" i="28"/>
  <c r="J34" i="28" s="1"/>
  <c r="I33" i="28"/>
  <c r="I31" i="28"/>
  <c r="I30" i="28"/>
  <c r="J30" i="28" s="1"/>
  <c r="I28" i="28"/>
  <c r="J28" i="28" s="1"/>
  <c r="I26" i="28"/>
  <c r="J26" i="28" s="1"/>
  <c r="I24" i="28"/>
  <c r="I22" i="28"/>
  <c r="J22" i="28" s="1"/>
  <c r="G41" i="28"/>
  <c r="H41" i="28" s="1"/>
  <c r="G35" i="28"/>
  <c r="H35" i="28" s="1"/>
  <c r="G34" i="28"/>
  <c r="G33" i="28"/>
  <c r="H33" i="28" s="1"/>
  <c r="G31" i="28"/>
  <c r="H31" i="28" s="1"/>
  <c r="G30" i="28"/>
  <c r="H30" i="28" s="1"/>
  <c r="G28" i="28"/>
  <c r="G26" i="28"/>
  <c r="H26" i="28" s="1"/>
  <c r="G24" i="28"/>
  <c r="H24" i="28" s="1"/>
  <c r="G22" i="28"/>
  <c r="H22" i="28" s="1"/>
  <c r="E30" i="28"/>
  <c r="F30" i="28" s="1"/>
  <c r="C30" i="28"/>
  <c r="D30" i="28" s="1"/>
  <c r="B36" i="28"/>
  <c r="J35" i="28"/>
  <c r="H34" i="28"/>
  <c r="J33" i="28"/>
  <c r="B33" i="28"/>
  <c r="J31" i="28"/>
  <c r="H28" i="28"/>
  <c r="J24" i="28"/>
  <c r="K21" i="28"/>
  <c r="F20" i="28"/>
  <c r="H20" i="28" s="1"/>
  <c r="J20" i="28" s="1"/>
  <c r="L20" i="28" s="1"/>
  <c r="L9" i="28"/>
  <c r="K9" i="28"/>
  <c r="I9" i="28"/>
  <c r="G9" i="28"/>
  <c r="E9" i="28"/>
  <c r="C9" i="28"/>
  <c r="K41" i="27" l="1"/>
  <c r="K36" i="27"/>
  <c r="K35" i="27"/>
  <c r="K34" i="27"/>
  <c r="K33" i="27"/>
  <c r="K31" i="27"/>
  <c r="K30" i="27"/>
  <c r="K29" i="27"/>
  <c r="K28" i="27"/>
  <c r="K26" i="27"/>
  <c r="L26" i="27" s="1"/>
  <c r="K24" i="27"/>
  <c r="K22" i="27"/>
  <c r="I27" i="27"/>
  <c r="G29" i="27"/>
  <c r="G27" i="27"/>
  <c r="G25" i="27"/>
  <c r="E29" i="27"/>
  <c r="E27" i="27"/>
  <c r="C32" i="27"/>
  <c r="C29" i="27"/>
  <c r="C27" i="27"/>
  <c r="E25" i="27"/>
  <c r="C25" i="27"/>
  <c r="I29" i="27"/>
  <c r="I25" i="27"/>
  <c r="J41" i="27"/>
  <c r="H41" i="27"/>
  <c r="E41" i="27"/>
  <c r="C41" i="27"/>
  <c r="I40" i="27"/>
  <c r="G40" i="27"/>
  <c r="E40" i="27"/>
  <c r="C40" i="27"/>
  <c r="I38" i="27"/>
  <c r="G38" i="27"/>
  <c r="E38" i="27"/>
  <c r="E39" i="27" s="1"/>
  <c r="C38" i="27"/>
  <c r="I36" i="27"/>
  <c r="G36" i="27"/>
  <c r="E36" i="27" s="1"/>
  <c r="B36" i="27"/>
  <c r="L35" i="27"/>
  <c r="J35" i="27"/>
  <c r="H35" i="27"/>
  <c r="E35" i="27"/>
  <c r="L34" i="27"/>
  <c r="J34" i="27"/>
  <c r="H34" i="27"/>
  <c r="E34" i="27"/>
  <c r="L33" i="27"/>
  <c r="J33" i="27"/>
  <c r="H33" i="27"/>
  <c r="E33" i="27"/>
  <c r="B33" i="27"/>
  <c r="I32" i="27"/>
  <c r="G32" i="27"/>
  <c r="E32" i="27"/>
  <c r="L31" i="27"/>
  <c r="J31" i="27"/>
  <c r="H31" i="27"/>
  <c r="E31" i="27"/>
  <c r="C31" i="27" s="1"/>
  <c r="J30" i="27"/>
  <c r="H30" i="27"/>
  <c r="F30" i="27"/>
  <c r="D30" i="27"/>
  <c r="J28" i="27"/>
  <c r="H28" i="27"/>
  <c r="E28" i="27"/>
  <c r="J26" i="27"/>
  <c r="H26" i="27"/>
  <c r="E26" i="27"/>
  <c r="J24" i="27"/>
  <c r="H24" i="27"/>
  <c r="E24" i="27"/>
  <c r="C24" i="27"/>
  <c r="I23" i="27"/>
  <c r="G23" i="27"/>
  <c r="J22" i="27"/>
  <c r="H22" i="27"/>
  <c r="E22" i="27"/>
  <c r="C22" i="27" s="1"/>
  <c r="K21" i="27"/>
  <c r="F20" i="27"/>
  <c r="H20" i="27" s="1"/>
  <c r="J20" i="27" s="1"/>
  <c r="L20" i="27" s="1"/>
  <c r="L9" i="27"/>
  <c r="K9" i="27"/>
  <c r="I9" i="27"/>
  <c r="G9" i="27"/>
  <c r="E9" i="27"/>
  <c r="C9" i="27"/>
  <c r="D22" i="27" l="1"/>
  <c r="D22" i="34"/>
  <c r="D22" i="33"/>
  <c r="D22" i="32"/>
  <c r="D22" i="31"/>
  <c r="E22" i="31" s="1"/>
  <c r="D22" i="30"/>
  <c r="E22" i="30" s="1"/>
  <c r="D22" i="29"/>
  <c r="E22" i="29" s="1"/>
  <c r="C22" i="28"/>
  <c r="D22" i="28" s="1"/>
  <c r="C36" i="27"/>
  <c r="F35" i="30"/>
  <c r="G35" i="30" s="1"/>
  <c r="F35" i="29"/>
  <c r="G35" i="29" s="1"/>
  <c r="E36" i="28"/>
  <c r="F36" i="28" s="1"/>
  <c r="D31" i="27"/>
  <c r="D29" i="34"/>
  <c r="D66" i="34" s="1"/>
  <c r="E66" i="34" s="1"/>
  <c r="D29" i="33"/>
  <c r="D29" i="32"/>
  <c r="D30" i="31"/>
  <c r="E30" i="31" s="1"/>
  <c r="D30" i="30"/>
  <c r="E30" i="30" s="1"/>
  <c r="E45" i="30" s="1"/>
  <c r="D30" i="29"/>
  <c r="E30" i="29" s="1"/>
  <c r="C31" i="28"/>
  <c r="D31" i="28" s="1"/>
  <c r="F39" i="27"/>
  <c r="F37" i="30"/>
  <c r="G37" i="30" s="1"/>
  <c r="F37" i="29"/>
  <c r="G37" i="29" s="1"/>
  <c r="E39" i="28"/>
  <c r="F39" i="28" s="1"/>
  <c r="J33" i="34"/>
  <c r="J33" i="33"/>
  <c r="J33" i="32"/>
  <c r="J34" i="31"/>
  <c r="K34" i="31" s="1"/>
  <c r="L34" i="30"/>
  <c r="M34" i="30" s="1"/>
  <c r="L34" i="29"/>
  <c r="M34" i="29" s="1"/>
  <c r="K35" i="28"/>
  <c r="L35" i="28" s="1"/>
  <c r="H32" i="27"/>
  <c r="H47" i="27" s="1"/>
  <c r="H31" i="29"/>
  <c r="I31" i="29" s="1"/>
  <c r="I45" i="29" s="1"/>
  <c r="G32" i="28"/>
  <c r="H32" i="28" s="1"/>
  <c r="H47" i="28" s="1"/>
  <c r="H38" i="27"/>
  <c r="F35" i="34"/>
  <c r="G35" i="34" s="1"/>
  <c r="F35" i="33"/>
  <c r="G35" i="33" s="1"/>
  <c r="F35" i="32"/>
  <c r="G35" i="32" s="1"/>
  <c r="F36" i="31"/>
  <c r="G36" i="31" s="1"/>
  <c r="H36" i="30"/>
  <c r="I36" i="30" s="1"/>
  <c r="H36" i="29"/>
  <c r="I36" i="29" s="1"/>
  <c r="G38" i="28"/>
  <c r="H38" i="28" s="1"/>
  <c r="H23" i="27"/>
  <c r="G23" i="28"/>
  <c r="H23" i="28" s="1"/>
  <c r="J32" i="27"/>
  <c r="J31" i="29"/>
  <c r="K31" i="29" s="1"/>
  <c r="K45" i="29" s="1"/>
  <c r="I32" i="28"/>
  <c r="J32" i="28" s="1"/>
  <c r="J47" i="28" s="1"/>
  <c r="I39" i="27"/>
  <c r="H35" i="34"/>
  <c r="I35" i="34" s="1"/>
  <c r="H35" i="33"/>
  <c r="I35" i="33" s="1"/>
  <c r="H35" i="32"/>
  <c r="I35" i="32" s="1"/>
  <c r="H36" i="31"/>
  <c r="I36" i="31" s="1"/>
  <c r="J36" i="30"/>
  <c r="K36" i="30" s="1"/>
  <c r="J36" i="29"/>
  <c r="K36" i="29" s="1"/>
  <c r="I38" i="28"/>
  <c r="J38" i="28" s="1"/>
  <c r="F41" i="27"/>
  <c r="F39" i="30"/>
  <c r="G39" i="30" s="1"/>
  <c r="F39" i="29"/>
  <c r="G39" i="29" s="1"/>
  <c r="E41" i="28"/>
  <c r="F41" i="28" s="1"/>
  <c r="F29" i="27"/>
  <c r="F28" i="29"/>
  <c r="G28" i="29" s="1"/>
  <c r="E29" i="28"/>
  <c r="F29" i="28" s="1"/>
  <c r="L28" i="27"/>
  <c r="J27" i="34"/>
  <c r="J65" i="34" s="1"/>
  <c r="K65" i="34" s="1"/>
  <c r="J27" i="33"/>
  <c r="J27" i="32"/>
  <c r="J27" i="31"/>
  <c r="K27" i="31" s="1"/>
  <c r="L27" i="30"/>
  <c r="M27" i="30" s="1"/>
  <c r="M44" i="30" s="1"/>
  <c r="L27" i="29"/>
  <c r="M27" i="29" s="1"/>
  <c r="K28" i="28"/>
  <c r="L28" i="28" s="1"/>
  <c r="L41" i="27"/>
  <c r="J38" i="34"/>
  <c r="K38" i="34" s="1"/>
  <c r="J38" i="33"/>
  <c r="K38" i="33" s="1"/>
  <c r="J38" i="32"/>
  <c r="K38" i="32" s="1"/>
  <c r="J39" i="31"/>
  <c r="K39" i="31" s="1"/>
  <c r="L39" i="30"/>
  <c r="M39" i="30" s="1"/>
  <c r="L39" i="29"/>
  <c r="M39" i="29" s="1"/>
  <c r="K41" i="28"/>
  <c r="L41" i="28" s="1"/>
  <c r="J23" i="27"/>
  <c r="I23" i="28"/>
  <c r="J23" i="28" s="1"/>
  <c r="G37" i="27"/>
  <c r="F34" i="34"/>
  <c r="G34" i="34" s="1"/>
  <c r="F34" i="33"/>
  <c r="G34" i="33" s="1"/>
  <c r="F34" i="32"/>
  <c r="G34" i="32" s="1"/>
  <c r="F35" i="31"/>
  <c r="G35" i="31" s="1"/>
  <c r="H35" i="30"/>
  <c r="I35" i="30" s="1"/>
  <c r="H35" i="29"/>
  <c r="I35" i="29" s="1"/>
  <c r="G36" i="28"/>
  <c r="H36" i="28" s="1"/>
  <c r="D25" i="27"/>
  <c r="D24" i="29"/>
  <c r="E24" i="29" s="1"/>
  <c r="C25" i="28"/>
  <c r="D25" i="28" s="1"/>
  <c r="H25" i="27"/>
  <c r="H24" i="29"/>
  <c r="I24" i="29" s="1"/>
  <c r="I42" i="29" s="1"/>
  <c r="G25" i="28"/>
  <c r="H25" i="28" s="1"/>
  <c r="H44" i="28" s="1"/>
  <c r="L28" i="29"/>
  <c r="M28" i="29" s="1"/>
  <c r="K29" i="28"/>
  <c r="L29" i="28" s="1"/>
  <c r="F38" i="27"/>
  <c r="F36" i="30"/>
  <c r="G36" i="30" s="1"/>
  <c r="F36" i="29"/>
  <c r="G36" i="29" s="1"/>
  <c r="E38" i="28"/>
  <c r="F38" i="28" s="1"/>
  <c r="D32" i="27"/>
  <c r="D31" i="29"/>
  <c r="E31" i="29" s="1"/>
  <c r="C32" i="28"/>
  <c r="D32" i="28" s="1"/>
  <c r="F26" i="29"/>
  <c r="G26" i="29" s="1"/>
  <c r="E27" i="28"/>
  <c r="F27" i="28" s="1"/>
  <c r="C28" i="27"/>
  <c r="F27" i="30"/>
  <c r="G27" i="30" s="1"/>
  <c r="G44" i="30" s="1"/>
  <c r="F27" i="29"/>
  <c r="G27" i="29" s="1"/>
  <c r="G44" i="29" s="1"/>
  <c r="E28" i="28"/>
  <c r="F28" i="28" s="1"/>
  <c r="F46" i="28" s="1"/>
  <c r="F31" i="27"/>
  <c r="F30" i="30"/>
  <c r="G30" i="30" s="1"/>
  <c r="G45" i="30" s="1"/>
  <c r="F30" i="29"/>
  <c r="G30" i="29" s="1"/>
  <c r="G45" i="29" s="1"/>
  <c r="E31" i="28"/>
  <c r="F31" i="28" s="1"/>
  <c r="C35" i="27"/>
  <c r="F34" i="30"/>
  <c r="G34" i="30" s="1"/>
  <c r="F34" i="29"/>
  <c r="G34" i="29" s="1"/>
  <c r="E35" i="28"/>
  <c r="F35" i="28" s="1"/>
  <c r="J36" i="27"/>
  <c r="H34" i="34"/>
  <c r="I34" i="34" s="1"/>
  <c r="H34" i="33"/>
  <c r="I34" i="33" s="1"/>
  <c r="H34" i="32"/>
  <c r="I34" i="32" s="1"/>
  <c r="H35" i="31"/>
  <c r="I35" i="31" s="1"/>
  <c r="J35" i="30"/>
  <c r="K35" i="30" s="1"/>
  <c r="J35" i="29"/>
  <c r="K35" i="29" s="1"/>
  <c r="I36" i="28"/>
  <c r="J36" i="28" s="1"/>
  <c r="G39" i="27"/>
  <c r="F25" i="27"/>
  <c r="F44" i="27" s="1"/>
  <c r="F24" i="29"/>
  <c r="G24" i="29" s="1"/>
  <c r="E25" i="28"/>
  <c r="F25" i="28" s="1"/>
  <c r="K27" i="27"/>
  <c r="H26" i="29"/>
  <c r="I26" i="29" s="1"/>
  <c r="I43" i="29" s="1"/>
  <c r="G27" i="28"/>
  <c r="H27" i="28" s="1"/>
  <c r="H45" i="28" s="1"/>
  <c r="L30" i="27"/>
  <c r="J29" i="31"/>
  <c r="K29" i="31" s="1"/>
  <c r="L29" i="30"/>
  <c r="M29" i="30" s="1"/>
  <c r="L29" i="29"/>
  <c r="M29" i="29" s="1"/>
  <c r="K30" i="28"/>
  <c r="L30" i="28" s="1"/>
  <c r="J34" i="34"/>
  <c r="K34" i="34" s="1"/>
  <c r="J34" i="33"/>
  <c r="K34" i="33" s="1"/>
  <c r="J34" i="32"/>
  <c r="K34" i="32" s="1"/>
  <c r="J35" i="31"/>
  <c r="K35" i="31" s="1"/>
  <c r="L35" i="30"/>
  <c r="M35" i="30" s="1"/>
  <c r="L35" i="29"/>
  <c r="M35" i="29" s="1"/>
  <c r="K36" i="28"/>
  <c r="L36" i="28" s="1"/>
  <c r="D24" i="27"/>
  <c r="D23" i="34"/>
  <c r="D64" i="34" s="1"/>
  <c r="E64" i="34" s="1"/>
  <c r="D23" i="33"/>
  <c r="D23" i="32"/>
  <c r="D23" i="31"/>
  <c r="E23" i="31" s="1"/>
  <c r="D23" i="30"/>
  <c r="E23" i="30" s="1"/>
  <c r="E42" i="30" s="1"/>
  <c r="D23" i="29"/>
  <c r="E23" i="29" s="1"/>
  <c r="E42" i="29" s="1"/>
  <c r="C24" i="28"/>
  <c r="D24" i="28" s="1"/>
  <c r="D44" i="28" s="1"/>
  <c r="C33" i="27"/>
  <c r="F32" i="30"/>
  <c r="G32" i="30" s="1"/>
  <c r="F32" i="29"/>
  <c r="G32" i="29" s="1"/>
  <c r="E33" i="28"/>
  <c r="F33" i="28" s="1"/>
  <c r="F35" i="27"/>
  <c r="L36" i="27"/>
  <c r="D40" i="27"/>
  <c r="D37" i="34"/>
  <c r="E37" i="34" s="1"/>
  <c r="D37" i="33"/>
  <c r="E37" i="33" s="1"/>
  <c r="D37" i="32"/>
  <c r="E37" i="32" s="1"/>
  <c r="D38" i="31"/>
  <c r="E38" i="31" s="1"/>
  <c r="D38" i="30"/>
  <c r="E38" i="30" s="1"/>
  <c r="D38" i="29"/>
  <c r="E38" i="29" s="1"/>
  <c r="C40" i="28"/>
  <c r="D40" i="28" s="1"/>
  <c r="J25" i="27"/>
  <c r="J44" i="27" s="1"/>
  <c r="J24" i="29"/>
  <c r="K24" i="29" s="1"/>
  <c r="K42" i="29" s="1"/>
  <c r="I25" i="28"/>
  <c r="J25" i="28" s="1"/>
  <c r="J44" i="28" s="1"/>
  <c r="F27" i="27"/>
  <c r="H29" i="27"/>
  <c r="H46" i="27" s="1"/>
  <c r="H28" i="29"/>
  <c r="I28" i="29" s="1"/>
  <c r="I44" i="29" s="1"/>
  <c r="G29" i="28"/>
  <c r="H29" i="28" s="1"/>
  <c r="H46" i="28" s="1"/>
  <c r="J29" i="34"/>
  <c r="J66" i="34" s="1"/>
  <c r="K66" i="34" s="1"/>
  <c r="J29" i="33"/>
  <c r="J29" i="32"/>
  <c r="J30" i="31"/>
  <c r="K30" i="31" s="1"/>
  <c r="L30" i="30"/>
  <c r="M30" i="30" s="1"/>
  <c r="M45" i="30" s="1"/>
  <c r="L30" i="29"/>
  <c r="M30" i="29" s="1"/>
  <c r="K31" i="28"/>
  <c r="L31" i="28" s="1"/>
  <c r="D41" i="27"/>
  <c r="D38" i="34"/>
  <c r="E38" i="34" s="1"/>
  <c r="D38" i="33"/>
  <c r="E38" i="33" s="1"/>
  <c r="D38" i="32"/>
  <c r="E38" i="32" s="1"/>
  <c r="D39" i="31"/>
  <c r="E39" i="31" s="1"/>
  <c r="D39" i="30"/>
  <c r="E39" i="30" s="1"/>
  <c r="D39" i="29"/>
  <c r="E39" i="29" s="1"/>
  <c r="C41" i="28"/>
  <c r="D41" i="28" s="1"/>
  <c r="F24" i="27"/>
  <c r="F23" i="30"/>
  <c r="G23" i="30" s="1"/>
  <c r="G42" i="30" s="1"/>
  <c r="F23" i="29"/>
  <c r="G23" i="29" s="1"/>
  <c r="G42" i="29" s="1"/>
  <c r="E24" i="28"/>
  <c r="F24" i="28" s="1"/>
  <c r="F44" i="28" s="1"/>
  <c r="J47" i="27"/>
  <c r="I37" i="27"/>
  <c r="F40" i="27"/>
  <c r="F38" i="30"/>
  <c r="G38" i="30" s="1"/>
  <c r="F38" i="29"/>
  <c r="G38" i="29" s="1"/>
  <c r="E40" i="28"/>
  <c r="F40" i="28" s="1"/>
  <c r="J29" i="27"/>
  <c r="J46" i="27" s="1"/>
  <c r="J28" i="29"/>
  <c r="K28" i="29" s="1"/>
  <c r="K44" i="29" s="1"/>
  <c r="I29" i="28"/>
  <c r="J29" i="28" s="1"/>
  <c r="J46" i="28" s="1"/>
  <c r="D27" i="27"/>
  <c r="D26" i="29"/>
  <c r="E26" i="29" s="1"/>
  <c r="C27" i="28"/>
  <c r="D27" i="28" s="1"/>
  <c r="J27" i="27"/>
  <c r="J26" i="29"/>
  <c r="K26" i="29" s="1"/>
  <c r="K43" i="29" s="1"/>
  <c r="I27" i="28"/>
  <c r="J27" i="28" s="1"/>
  <c r="J45" i="28" s="1"/>
  <c r="J31" i="34"/>
  <c r="J67" i="34" s="1"/>
  <c r="K67" i="34" s="1"/>
  <c r="J31" i="33"/>
  <c r="J31" i="32"/>
  <c r="J32" i="31"/>
  <c r="K32" i="31" s="1"/>
  <c r="L32" i="30"/>
  <c r="M32" i="30" s="1"/>
  <c r="L32" i="29"/>
  <c r="M32" i="29" s="1"/>
  <c r="K33" i="28"/>
  <c r="L33" i="28" s="1"/>
  <c r="F26" i="27"/>
  <c r="F45" i="27" s="1"/>
  <c r="F25" i="30"/>
  <c r="G25" i="30" s="1"/>
  <c r="G43" i="30" s="1"/>
  <c r="F25" i="29"/>
  <c r="G25" i="29" s="1"/>
  <c r="E26" i="28"/>
  <c r="F26" i="28" s="1"/>
  <c r="F45" i="28" s="1"/>
  <c r="F32" i="27"/>
  <c r="F31" i="29"/>
  <c r="G31" i="29" s="1"/>
  <c r="E32" i="28"/>
  <c r="F32" i="28" s="1"/>
  <c r="C34" i="27"/>
  <c r="F33" i="30"/>
  <c r="G33" i="30" s="1"/>
  <c r="F33" i="29"/>
  <c r="G33" i="29" s="1"/>
  <c r="E34" i="28"/>
  <c r="F34" i="28" s="1"/>
  <c r="J40" i="27"/>
  <c r="H37" i="34"/>
  <c r="I37" i="34" s="1"/>
  <c r="H37" i="33"/>
  <c r="I37" i="33" s="1"/>
  <c r="H37" i="32"/>
  <c r="I37" i="32" s="1"/>
  <c r="H38" i="31"/>
  <c r="I38" i="31" s="1"/>
  <c r="J38" i="30"/>
  <c r="K38" i="30" s="1"/>
  <c r="J38" i="29"/>
  <c r="K38" i="29" s="1"/>
  <c r="I40" i="28"/>
  <c r="J40" i="28" s="1"/>
  <c r="L24" i="27"/>
  <c r="J23" i="34"/>
  <c r="J64" i="34" s="1"/>
  <c r="K64" i="34" s="1"/>
  <c r="J23" i="33"/>
  <c r="J23" i="32"/>
  <c r="J23" i="31"/>
  <c r="K23" i="31" s="1"/>
  <c r="L23" i="30"/>
  <c r="M23" i="30" s="1"/>
  <c r="M42" i="30" s="1"/>
  <c r="L23" i="29"/>
  <c r="M23" i="29" s="1"/>
  <c r="K24" i="28"/>
  <c r="L24" i="28" s="1"/>
  <c r="J25" i="34"/>
  <c r="J25" i="33"/>
  <c r="J25" i="32"/>
  <c r="J25" i="31"/>
  <c r="K25" i="31" s="1"/>
  <c r="L25" i="30"/>
  <c r="M25" i="30" s="1"/>
  <c r="M43" i="30" s="1"/>
  <c r="L25" i="29"/>
  <c r="M25" i="29" s="1"/>
  <c r="K26" i="28"/>
  <c r="L26" i="28" s="1"/>
  <c r="F22" i="27"/>
  <c r="F22" i="30"/>
  <c r="G22" i="30" s="1"/>
  <c r="F22" i="29"/>
  <c r="G22" i="29" s="1"/>
  <c r="E22" i="28"/>
  <c r="F22" i="28" s="1"/>
  <c r="C39" i="27"/>
  <c r="D35" i="34"/>
  <c r="E35" i="34" s="1"/>
  <c r="D35" i="33"/>
  <c r="E35" i="33" s="1"/>
  <c r="D35" i="32"/>
  <c r="E35" i="32" s="1"/>
  <c r="D36" i="31"/>
  <c r="E36" i="31" s="1"/>
  <c r="D36" i="30"/>
  <c r="E36" i="30" s="1"/>
  <c r="D36" i="29"/>
  <c r="E36" i="29" s="1"/>
  <c r="C38" i="28"/>
  <c r="D38" i="28" s="1"/>
  <c r="K40" i="27"/>
  <c r="F37" i="34"/>
  <c r="G37" i="34" s="1"/>
  <c r="F37" i="33"/>
  <c r="G37" i="33" s="1"/>
  <c r="F37" i="32"/>
  <c r="G37" i="32" s="1"/>
  <c r="F38" i="31"/>
  <c r="G38" i="31" s="1"/>
  <c r="H38" i="30"/>
  <c r="I38" i="30" s="1"/>
  <c r="H38" i="29"/>
  <c r="I38" i="29" s="1"/>
  <c r="G40" i="28"/>
  <c r="H40" i="28" s="1"/>
  <c r="D29" i="27"/>
  <c r="D28" i="29"/>
  <c r="E28" i="29" s="1"/>
  <c r="C29" i="28"/>
  <c r="D29" i="28" s="1"/>
  <c r="L22" i="27"/>
  <c r="J22" i="34"/>
  <c r="J22" i="33"/>
  <c r="J22" i="32"/>
  <c r="J22" i="31"/>
  <c r="K22" i="31" s="1"/>
  <c r="L22" i="30"/>
  <c r="M22" i="30" s="1"/>
  <c r="L22" i="29"/>
  <c r="M22" i="29" s="1"/>
  <c r="K22" i="28"/>
  <c r="L22" i="28" s="1"/>
  <c r="J32" i="34"/>
  <c r="J32" i="33"/>
  <c r="J32" i="32"/>
  <c r="J33" i="31"/>
  <c r="K33" i="31" s="1"/>
  <c r="L33" i="30"/>
  <c r="M33" i="30" s="1"/>
  <c r="L33" i="29"/>
  <c r="M33" i="29" s="1"/>
  <c r="K34" i="28"/>
  <c r="L34" i="28" s="1"/>
  <c r="F34" i="27"/>
  <c r="E23" i="27"/>
  <c r="C26" i="27"/>
  <c r="H44" i="27"/>
  <c r="K37" i="27"/>
  <c r="K38" i="27"/>
  <c r="L27" i="27"/>
  <c r="J45" i="27"/>
  <c r="D47" i="27"/>
  <c r="K23" i="27"/>
  <c r="K39" i="27"/>
  <c r="F28" i="27"/>
  <c r="F46" i="27" s="1"/>
  <c r="H40" i="27"/>
  <c r="K32" i="27"/>
  <c r="C23" i="27"/>
  <c r="F33" i="27"/>
  <c r="D44" i="27"/>
  <c r="K25" i="27"/>
  <c r="L45" i="27"/>
  <c r="H27" i="27"/>
  <c r="H45" i="27" s="1"/>
  <c r="D36" i="27"/>
  <c r="C37" i="27"/>
  <c r="F36" i="27"/>
  <c r="J38" i="27"/>
  <c r="L32" i="27"/>
  <c r="L47" i="27" s="1"/>
  <c r="E37" i="27"/>
  <c r="L29" i="27"/>
  <c r="H36" i="27"/>
  <c r="D38" i="27"/>
  <c r="L29" i="26"/>
  <c r="L23" i="26"/>
  <c r="L21" i="26"/>
  <c r="J40" i="26"/>
  <c r="J35" i="26"/>
  <c r="J34" i="26"/>
  <c r="J33" i="26"/>
  <c r="J32" i="26"/>
  <c r="J30" i="26"/>
  <c r="J29" i="26"/>
  <c r="J27" i="26"/>
  <c r="J25" i="26"/>
  <c r="J23" i="26"/>
  <c r="J22" i="26"/>
  <c r="J21" i="26"/>
  <c r="H40" i="26"/>
  <c r="H34" i="26"/>
  <c r="H33" i="26"/>
  <c r="H32" i="26"/>
  <c r="H31" i="26"/>
  <c r="H30" i="26"/>
  <c r="H46" i="26" s="1"/>
  <c r="H29" i="26"/>
  <c r="H27" i="26"/>
  <c r="H45" i="26" s="1"/>
  <c r="H25" i="26"/>
  <c r="H44" i="26" s="1"/>
  <c r="H24" i="26"/>
  <c r="H23" i="26"/>
  <c r="H21" i="26"/>
  <c r="F40" i="26"/>
  <c r="F39" i="26"/>
  <c r="F30" i="26"/>
  <c r="F29" i="26"/>
  <c r="F27" i="26"/>
  <c r="F45" i="26" s="1"/>
  <c r="D39" i="26"/>
  <c r="D29" i="26"/>
  <c r="H19" i="26"/>
  <c r="J19" i="26" s="1"/>
  <c r="L19" i="26" s="1"/>
  <c r="F19" i="26"/>
  <c r="L9" i="26"/>
  <c r="K40" i="26"/>
  <c r="L40" i="26" s="1"/>
  <c r="E40" i="26"/>
  <c r="C40" i="26"/>
  <c r="D40" i="26" s="1"/>
  <c r="K39" i="26"/>
  <c r="L39" i="26" s="1"/>
  <c r="I39" i="26"/>
  <c r="J39" i="26" s="1"/>
  <c r="G39" i="26"/>
  <c r="H39" i="26" s="1"/>
  <c r="E39" i="26"/>
  <c r="C39" i="26"/>
  <c r="K38" i="26"/>
  <c r="L38" i="26" s="1"/>
  <c r="K37" i="26"/>
  <c r="L37" i="26" s="1"/>
  <c r="I37" i="26"/>
  <c r="I38" i="26" s="1"/>
  <c r="J38" i="26" s="1"/>
  <c r="G37" i="26"/>
  <c r="H37" i="26" s="1"/>
  <c r="E37" i="26"/>
  <c r="F37" i="26" s="1"/>
  <c r="C37" i="26"/>
  <c r="D37" i="26" s="1"/>
  <c r="I35" i="26"/>
  <c r="G35" i="26"/>
  <c r="E35" i="26" s="1"/>
  <c r="B35" i="26"/>
  <c r="K34" i="26"/>
  <c r="L34" i="26" s="1"/>
  <c r="E34" i="26"/>
  <c r="F34" i="26" s="1"/>
  <c r="C34" i="26"/>
  <c r="D34" i="26" s="1"/>
  <c r="K33" i="26"/>
  <c r="L33" i="26" s="1"/>
  <c r="E33" i="26"/>
  <c r="F33" i="26" s="1"/>
  <c r="K32" i="26"/>
  <c r="L32" i="26" s="1"/>
  <c r="E32" i="26"/>
  <c r="F32" i="26" s="1"/>
  <c r="B32" i="26"/>
  <c r="K31" i="26"/>
  <c r="L31" i="26" s="1"/>
  <c r="I31" i="26"/>
  <c r="J31" i="26" s="1"/>
  <c r="G31" i="26"/>
  <c r="E31" i="26"/>
  <c r="F31" i="26" s="1"/>
  <c r="C31" i="26"/>
  <c r="D31" i="26" s="1"/>
  <c r="K30" i="26"/>
  <c r="L30" i="26" s="1"/>
  <c r="E30" i="26"/>
  <c r="C30" i="26" s="1"/>
  <c r="D30" i="26" s="1"/>
  <c r="D46" i="26" s="1"/>
  <c r="K28" i="26"/>
  <c r="L28" i="26" s="1"/>
  <c r="I28" i="26"/>
  <c r="J28" i="26" s="1"/>
  <c r="G28" i="26"/>
  <c r="H28" i="26" s="1"/>
  <c r="E28" i="26"/>
  <c r="F28" i="26" s="1"/>
  <c r="C28" i="26"/>
  <c r="D28" i="26" s="1"/>
  <c r="K27" i="26"/>
  <c r="L27" i="26" s="1"/>
  <c r="L45" i="26" s="1"/>
  <c r="E27" i="26"/>
  <c r="C27" i="26" s="1"/>
  <c r="D27" i="26" s="1"/>
  <c r="D45" i="26" s="1"/>
  <c r="K26" i="26"/>
  <c r="L26" i="26" s="1"/>
  <c r="I26" i="26"/>
  <c r="J26" i="26" s="1"/>
  <c r="G26" i="26"/>
  <c r="H26" i="26" s="1"/>
  <c r="E26" i="26"/>
  <c r="F26" i="26" s="1"/>
  <c r="C26" i="26"/>
  <c r="D26" i="26" s="1"/>
  <c r="K25" i="26"/>
  <c r="L25" i="26" s="1"/>
  <c r="L44" i="26" s="1"/>
  <c r="E25" i="26"/>
  <c r="F25" i="26" s="1"/>
  <c r="K24" i="26"/>
  <c r="L24" i="26" s="1"/>
  <c r="I24" i="26"/>
  <c r="J24" i="26" s="1"/>
  <c r="G24" i="26"/>
  <c r="E24" i="26"/>
  <c r="F24" i="26" s="1"/>
  <c r="C24" i="26"/>
  <c r="D24" i="26" s="1"/>
  <c r="E23" i="26"/>
  <c r="F23" i="26" s="1"/>
  <c r="F43" i="26" s="1"/>
  <c r="K22" i="26"/>
  <c r="L22" i="26" s="1"/>
  <c r="I22" i="26"/>
  <c r="G22" i="26"/>
  <c r="H22" i="26" s="1"/>
  <c r="E22" i="26"/>
  <c r="F22" i="26" s="1"/>
  <c r="E21" i="26"/>
  <c r="F21" i="26" s="1"/>
  <c r="C21" i="26"/>
  <c r="D21" i="26" s="1"/>
  <c r="K20" i="26"/>
  <c r="K9" i="26"/>
  <c r="I9" i="26"/>
  <c r="G9" i="26"/>
  <c r="E9" i="26"/>
  <c r="C9" i="26"/>
  <c r="F63" i="25"/>
  <c r="E63" i="25"/>
  <c r="B61" i="25"/>
  <c r="D60" i="25"/>
  <c r="D61" i="25" s="1"/>
  <c r="B59" i="25"/>
  <c r="F57" i="25"/>
  <c r="E57" i="25"/>
  <c r="F56" i="25"/>
  <c r="E56" i="25"/>
  <c r="F55" i="25"/>
  <c r="E55" i="25"/>
  <c r="F53" i="25"/>
  <c r="E53" i="25"/>
  <c r="G52" i="25"/>
  <c r="F52" i="25"/>
  <c r="E52" i="25"/>
  <c r="D52" i="25"/>
  <c r="C52" i="25"/>
  <c r="D51" i="25"/>
  <c r="F50" i="25"/>
  <c r="E50" i="25"/>
  <c r="F49" i="25"/>
  <c r="F48" i="25"/>
  <c r="E48" i="25"/>
  <c r="G46" i="25"/>
  <c r="F46" i="25"/>
  <c r="E46" i="25"/>
  <c r="C46" i="25"/>
  <c r="B45" i="25"/>
  <c r="G44" i="25"/>
  <c r="F44" i="25"/>
  <c r="E44" i="25"/>
  <c r="G39" i="25"/>
  <c r="G63" i="25" s="1"/>
  <c r="D39" i="25"/>
  <c r="D63" i="25" s="1"/>
  <c r="C39" i="25"/>
  <c r="C63" i="25" s="1"/>
  <c r="G38" i="25"/>
  <c r="G62" i="25" s="1"/>
  <c r="F38" i="25"/>
  <c r="F62" i="25" s="1"/>
  <c r="E38" i="25"/>
  <c r="E62" i="25" s="1"/>
  <c r="D38" i="25"/>
  <c r="C38" i="25"/>
  <c r="F37" i="25"/>
  <c r="E37" i="25"/>
  <c r="G36" i="25"/>
  <c r="G60" i="25" s="1"/>
  <c r="G61" i="25" s="1"/>
  <c r="F36" i="25"/>
  <c r="F60" i="25" s="1"/>
  <c r="F61" i="25" s="1"/>
  <c r="E36" i="25"/>
  <c r="E60" i="25" s="1"/>
  <c r="E61" i="25" s="1"/>
  <c r="D36" i="25"/>
  <c r="D37" i="25" s="1"/>
  <c r="C36" i="25"/>
  <c r="C60" i="25" s="1"/>
  <c r="C61" i="25" s="1"/>
  <c r="F34" i="25"/>
  <c r="F58" i="25" s="1"/>
  <c r="E34" i="25"/>
  <c r="D34" i="25" s="1"/>
  <c r="B34" i="25"/>
  <c r="B58" i="25" s="1"/>
  <c r="G33" i="25"/>
  <c r="G57" i="25" s="1"/>
  <c r="D33" i="25"/>
  <c r="D57" i="25" s="1"/>
  <c r="G32" i="25"/>
  <c r="G56" i="25" s="1"/>
  <c r="D32" i="25"/>
  <c r="C32" i="25" s="1"/>
  <c r="C56" i="25" s="1"/>
  <c r="G31" i="25"/>
  <c r="G55" i="25" s="1"/>
  <c r="D31" i="25"/>
  <c r="D55" i="25" s="1"/>
  <c r="B31" i="25"/>
  <c r="B55" i="25" s="1"/>
  <c r="F30" i="25"/>
  <c r="F54" i="25" s="1"/>
  <c r="E30" i="25"/>
  <c r="E54" i="25" s="1"/>
  <c r="D30" i="25"/>
  <c r="D54" i="25" s="1"/>
  <c r="C30" i="25"/>
  <c r="C54" i="25" s="1"/>
  <c r="G29" i="25"/>
  <c r="G53" i="25" s="1"/>
  <c r="D29" i="25"/>
  <c r="C29" i="25" s="1"/>
  <c r="C53" i="25" s="1"/>
  <c r="F27" i="25"/>
  <c r="F51" i="25" s="1"/>
  <c r="E27" i="25"/>
  <c r="E51" i="25" s="1"/>
  <c r="D27" i="25"/>
  <c r="C27" i="25"/>
  <c r="C51" i="25" s="1"/>
  <c r="G26" i="25"/>
  <c r="G50" i="25" s="1"/>
  <c r="D26" i="25"/>
  <c r="D50" i="25" s="1"/>
  <c r="F25" i="25"/>
  <c r="E25" i="25"/>
  <c r="E49" i="25" s="1"/>
  <c r="D25" i="25"/>
  <c r="D49" i="25" s="1"/>
  <c r="C25" i="25"/>
  <c r="C49" i="25" s="1"/>
  <c r="G24" i="25"/>
  <c r="G48" i="25" s="1"/>
  <c r="D24" i="25"/>
  <c r="D48" i="25" s="1"/>
  <c r="F23" i="25"/>
  <c r="F47" i="25" s="1"/>
  <c r="E23" i="25"/>
  <c r="E47" i="25" s="1"/>
  <c r="D23" i="25"/>
  <c r="D47" i="25" s="1"/>
  <c r="C23" i="25"/>
  <c r="C47" i="25" s="1"/>
  <c r="D22" i="25"/>
  <c r="D46" i="25" s="1"/>
  <c r="C22" i="25"/>
  <c r="G21" i="25"/>
  <c r="G45" i="25" s="1"/>
  <c r="F21" i="25"/>
  <c r="F45" i="25" s="1"/>
  <c r="E21" i="25"/>
  <c r="E45" i="25" s="1"/>
  <c r="D20" i="25"/>
  <c r="C20" i="25" s="1"/>
  <c r="G19" i="25"/>
  <c r="G43" i="25" s="1"/>
  <c r="G9" i="25"/>
  <c r="F9" i="25"/>
  <c r="E9" i="25"/>
  <c r="D9" i="25"/>
  <c r="C9" i="25"/>
  <c r="F35" i="25" l="1"/>
  <c r="F59" i="25" s="1"/>
  <c r="F23" i="27"/>
  <c r="E23" i="28"/>
  <c r="F23" i="28" s="1"/>
  <c r="E29" i="33"/>
  <c r="D56" i="33"/>
  <c r="E56" i="33" s="1"/>
  <c r="D21" i="25"/>
  <c r="D45" i="25" s="1"/>
  <c r="G37" i="25"/>
  <c r="C25" i="26"/>
  <c r="D25" i="26" s="1"/>
  <c r="D44" i="26" s="1"/>
  <c r="J44" i="26"/>
  <c r="D23" i="27"/>
  <c r="C23" i="28"/>
  <c r="D23" i="28" s="1"/>
  <c r="L40" i="27"/>
  <c r="J37" i="34"/>
  <c r="K37" i="34" s="1"/>
  <c r="J37" i="33"/>
  <c r="K37" i="33" s="1"/>
  <c r="J37" i="32"/>
  <c r="K37" i="32" s="1"/>
  <c r="J38" i="31"/>
  <c r="K38" i="31" s="1"/>
  <c r="L38" i="30"/>
  <c r="M38" i="30" s="1"/>
  <c r="L38" i="29"/>
  <c r="M38" i="29" s="1"/>
  <c r="K40" i="28"/>
  <c r="L40" i="28" s="1"/>
  <c r="D39" i="27"/>
  <c r="D36" i="34"/>
  <c r="E36" i="34" s="1"/>
  <c r="D36" i="33"/>
  <c r="E36" i="33" s="1"/>
  <c r="D36" i="32"/>
  <c r="E36" i="32" s="1"/>
  <c r="D37" i="31"/>
  <c r="E37" i="31" s="1"/>
  <c r="D37" i="30"/>
  <c r="E37" i="30" s="1"/>
  <c r="D37" i="29"/>
  <c r="E37" i="29" s="1"/>
  <c r="C39" i="28"/>
  <c r="D39" i="28" s="1"/>
  <c r="K23" i="32"/>
  <c r="J53" i="32"/>
  <c r="K53" i="32" s="1"/>
  <c r="H39" i="27"/>
  <c r="F36" i="34"/>
  <c r="G36" i="34" s="1"/>
  <c r="F36" i="33"/>
  <c r="G36" i="33" s="1"/>
  <c r="F36" i="32"/>
  <c r="G36" i="32" s="1"/>
  <c r="F37" i="31"/>
  <c r="G37" i="31" s="1"/>
  <c r="H37" i="30"/>
  <c r="I37" i="30" s="1"/>
  <c r="H37" i="29"/>
  <c r="I37" i="29" s="1"/>
  <c r="G39" i="28"/>
  <c r="H39" i="28" s="1"/>
  <c r="F47" i="27"/>
  <c r="L46" i="28"/>
  <c r="E29" i="34"/>
  <c r="D57" i="34"/>
  <c r="E57" i="34" s="1"/>
  <c r="K29" i="33"/>
  <c r="J56" i="33"/>
  <c r="K56" i="33" s="1"/>
  <c r="F44" i="26"/>
  <c r="H43" i="26"/>
  <c r="J45" i="26"/>
  <c r="D37" i="27"/>
  <c r="C37" i="28"/>
  <c r="D37" i="28" s="1"/>
  <c r="L31" i="29"/>
  <c r="M31" i="29" s="1"/>
  <c r="K32" i="28"/>
  <c r="L32" i="28" s="1"/>
  <c r="K25" i="32"/>
  <c r="J54" i="32"/>
  <c r="K54" i="32" s="1"/>
  <c r="K23" i="33"/>
  <c r="J53" i="33"/>
  <c r="K53" i="33" s="1"/>
  <c r="L47" i="28"/>
  <c r="M44" i="29"/>
  <c r="D26" i="27"/>
  <c r="D45" i="27" s="1"/>
  <c r="D25" i="34"/>
  <c r="D25" i="33"/>
  <c r="D25" i="32"/>
  <c r="D25" i="31"/>
  <c r="E25" i="31" s="1"/>
  <c r="D25" i="30"/>
  <c r="E25" i="30" s="1"/>
  <c r="E43" i="30" s="1"/>
  <c r="D25" i="29"/>
  <c r="E25" i="29" s="1"/>
  <c r="E43" i="29" s="1"/>
  <c r="C26" i="28"/>
  <c r="D26" i="28" s="1"/>
  <c r="D45" i="28" s="1"/>
  <c r="J39" i="27"/>
  <c r="H36" i="34"/>
  <c r="I36" i="34" s="1"/>
  <c r="H36" i="33"/>
  <c r="I36" i="33" s="1"/>
  <c r="H36" i="32"/>
  <c r="I36" i="32" s="1"/>
  <c r="H37" i="31"/>
  <c r="I37" i="31" s="1"/>
  <c r="J37" i="30"/>
  <c r="K37" i="30" s="1"/>
  <c r="J37" i="29"/>
  <c r="K37" i="29" s="1"/>
  <c r="I39" i="28"/>
  <c r="J39" i="28" s="1"/>
  <c r="L38" i="27"/>
  <c r="J35" i="34"/>
  <c r="K35" i="34" s="1"/>
  <c r="J35" i="33"/>
  <c r="K35" i="33" s="1"/>
  <c r="J35" i="32"/>
  <c r="K35" i="32" s="1"/>
  <c r="J36" i="31"/>
  <c r="K36" i="31" s="1"/>
  <c r="L36" i="30"/>
  <c r="M36" i="30" s="1"/>
  <c r="L36" i="29"/>
  <c r="M36" i="29" s="1"/>
  <c r="K38" i="28"/>
  <c r="L38" i="28" s="1"/>
  <c r="K22" i="32"/>
  <c r="J52" i="32"/>
  <c r="K52" i="32" s="1"/>
  <c r="K25" i="33"/>
  <c r="J54" i="33"/>
  <c r="K54" i="33" s="1"/>
  <c r="K23" i="34"/>
  <c r="J54" i="34"/>
  <c r="K54" i="34" s="1"/>
  <c r="M45" i="29"/>
  <c r="E23" i="32"/>
  <c r="D53" i="32"/>
  <c r="E53" i="32" s="1"/>
  <c r="D47" i="28"/>
  <c r="E22" i="32"/>
  <c r="D52" i="32"/>
  <c r="E52" i="32" s="1"/>
  <c r="K27" i="34"/>
  <c r="J51" i="34"/>
  <c r="K51" i="34" s="1"/>
  <c r="J56" i="34"/>
  <c r="D34" i="27"/>
  <c r="D32" i="34"/>
  <c r="D32" i="33"/>
  <c r="D32" i="32"/>
  <c r="D33" i="31"/>
  <c r="E33" i="31" s="1"/>
  <c r="D33" i="30"/>
  <c r="E33" i="30" s="1"/>
  <c r="D33" i="29"/>
  <c r="E33" i="29" s="1"/>
  <c r="C34" i="28"/>
  <c r="D34" i="28" s="1"/>
  <c r="C33" i="26"/>
  <c r="D33" i="26" s="1"/>
  <c r="J46" i="26"/>
  <c r="L43" i="26"/>
  <c r="L37" i="27"/>
  <c r="K37" i="28"/>
  <c r="L37" i="28" s="1"/>
  <c r="K32" i="32"/>
  <c r="J49" i="32"/>
  <c r="K49" i="32" s="1"/>
  <c r="K22" i="33"/>
  <c r="J52" i="33"/>
  <c r="K52" i="33" s="1"/>
  <c r="K25" i="34"/>
  <c r="J55" i="34"/>
  <c r="K55" i="34" s="1"/>
  <c r="K31" i="32"/>
  <c r="J48" i="32"/>
  <c r="J37" i="27"/>
  <c r="I37" i="28"/>
  <c r="J37" i="28" s="1"/>
  <c r="E23" i="33"/>
  <c r="D53" i="33"/>
  <c r="E53" i="33" s="1"/>
  <c r="K33" i="32"/>
  <c r="J50" i="32"/>
  <c r="K50" i="32" s="1"/>
  <c r="E45" i="29"/>
  <c r="E22" i="33"/>
  <c r="D52" i="33"/>
  <c r="E52" i="33" s="1"/>
  <c r="L23" i="27"/>
  <c r="K23" i="28"/>
  <c r="L23" i="28" s="1"/>
  <c r="J43" i="26"/>
  <c r="L46" i="26"/>
  <c r="L46" i="27"/>
  <c r="K32" i="33"/>
  <c r="J49" i="33"/>
  <c r="K22" i="34"/>
  <c r="J53" i="34"/>
  <c r="K53" i="34" s="1"/>
  <c r="G43" i="29"/>
  <c r="K31" i="33"/>
  <c r="J48" i="33"/>
  <c r="E23" i="34"/>
  <c r="D54" i="34"/>
  <c r="E54" i="34" s="1"/>
  <c r="L26" i="29"/>
  <c r="M26" i="29" s="1"/>
  <c r="K27" i="28"/>
  <c r="L27" i="28" s="1"/>
  <c r="L45" i="28" s="1"/>
  <c r="D35" i="27"/>
  <c r="D33" i="34"/>
  <c r="D33" i="33"/>
  <c r="D33" i="32"/>
  <c r="D34" i="31"/>
  <c r="E34" i="31" s="1"/>
  <c r="D34" i="30"/>
  <c r="E34" i="30" s="1"/>
  <c r="D34" i="29"/>
  <c r="E34" i="29" s="1"/>
  <c r="C35" i="28"/>
  <c r="D35" i="28" s="1"/>
  <c r="D28" i="27"/>
  <c r="D46" i="27" s="1"/>
  <c r="D27" i="34"/>
  <c r="D27" i="33"/>
  <c r="D27" i="32"/>
  <c r="D27" i="31"/>
  <c r="E27" i="31" s="1"/>
  <c r="D27" i="30"/>
  <c r="E27" i="30" s="1"/>
  <c r="E44" i="30" s="1"/>
  <c r="D27" i="29"/>
  <c r="E27" i="29" s="1"/>
  <c r="E44" i="29" s="1"/>
  <c r="C28" i="28"/>
  <c r="D28" i="28" s="1"/>
  <c r="D46" i="28" s="1"/>
  <c r="K27" i="32"/>
  <c r="J55" i="32"/>
  <c r="K33" i="33"/>
  <c r="J50" i="33"/>
  <c r="K50" i="33" s="1"/>
  <c r="E22" i="34"/>
  <c r="D53" i="34"/>
  <c r="E53" i="34" s="1"/>
  <c r="M43" i="29"/>
  <c r="E29" i="32"/>
  <c r="D56" i="32"/>
  <c r="E56" i="32" s="1"/>
  <c r="K29" i="34"/>
  <c r="J57" i="34"/>
  <c r="K57" i="34" s="1"/>
  <c r="F46" i="26"/>
  <c r="C31" i="25"/>
  <c r="C55" i="25" s="1"/>
  <c r="F37" i="27"/>
  <c r="E37" i="28"/>
  <c r="F37" i="28" s="1"/>
  <c r="L24" i="29"/>
  <c r="M24" i="29" s="1"/>
  <c r="M42" i="29" s="1"/>
  <c r="K25" i="28"/>
  <c r="L25" i="28" s="1"/>
  <c r="L44" i="28" s="1"/>
  <c r="L39" i="27"/>
  <c r="J36" i="34"/>
  <c r="K36" i="34" s="1"/>
  <c r="J36" i="33"/>
  <c r="K36" i="33" s="1"/>
  <c r="J36" i="32"/>
  <c r="K36" i="32" s="1"/>
  <c r="J37" i="31"/>
  <c r="K37" i="31" s="1"/>
  <c r="L37" i="30"/>
  <c r="M37" i="30" s="1"/>
  <c r="L37" i="29"/>
  <c r="M37" i="29" s="1"/>
  <c r="K39" i="28"/>
  <c r="L39" i="28" s="1"/>
  <c r="K32" i="34"/>
  <c r="J49" i="34"/>
  <c r="K31" i="34"/>
  <c r="J48" i="34"/>
  <c r="K29" i="32"/>
  <c r="J56" i="32"/>
  <c r="K56" i="32" s="1"/>
  <c r="D33" i="27"/>
  <c r="D31" i="34"/>
  <c r="D67" i="34" s="1"/>
  <c r="E67" i="34" s="1"/>
  <c r="D31" i="33"/>
  <c r="D31" i="32"/>
  <c r="D32" i="31"/>
  <c r="E32" i="31" s="1"/>
  <c r="D32" i="30"/>
  <c r="E32" i="30" s="1"/>
  <c r="D32" i="29"/>
  <c r="E32" i="29" s="1"/>
  <c r="C33" i="28"/>
  <c r="D33" i="28" s="1"/>
  <c r="F47" i="28"/>
  <c r="H37" i="27"/>
  <c r="G37" i="28"/>
  <c r="H37" i="28" s="1"/>
  <c r="K27" i="33"/>
  <c r="J55" i="33"/>
  <c r="K33" i="34"/>
  <c r="J50" i="34"/>
  <c r="K50" i="34" s="1"/>
  <c r="D34" i="34"/>
  <c r="E34" i="34" s="1"/>
  <c r="D34" i="33"/>
  <c r="E34" i="33" s="1"/>
  <c r="D34" i="32"/>
  <c r="E34" i="32" s="1"/>
  <c r="D35" i="31"/>
  <c r="E35" i="31" s="1"/>
  <c r="D35" i="30"/>
  <c r="E35" i="30" s="1"/>
  <c r="D35" i="29"/>
  <c r="E35" i="29" s="1"/>
  <c r="C36" i="28"/>
  <c r="D36" i="28" s="1"/>
  <c r="L25" i="27"/>
  <c r="L44" i="27" s="1"/>
  <c r="C35" i="26"/>
  <c r="D35" i="26" s="1"/>
  <c r="F35" i="26"/>
  <c r="C22" i="26"/>
  <c r="D22" i="26" s="1"/>
  <c r="K35" i="26"/>
  <c r="L35" i="26" s="1"/>
  <c r="J37" i="26"/>
  <c r="H35" i="26"/>
  <c r="C23" i="26"/>
  <c r="D23" i="26" s="1"/>
  <c r="D43" i="26" s="1"/>
  <c r="C32" i="26"/>
  <c r="D32" i="26" s="1"/>
  <c r="E36" i="26"/>
  <c r="F36" i="26" s="1"/>
  <c r="G36" i="26"/>
  <c r="H36" i="26" s="1"/>
  <c r="C38" i="26"/>
  <c r="D38" i="26" s="1"/>
  <c r="I36" i="26"/>
  <c r="J36" i="26" s="1"/>
  <c r="E38" i="26"/>
  <c r="F38" i="26" s="1"/>
  <c r="G38" i="26"/>
  <c r="H38" i="26" s="1"/>
  <c r="C21" i="25"/>
  <c r="C45" i="25" s="1"/>
  <c r="C44" i="25"/>
  <c r="C34" i="25"/>
  <c r="D58" i="25"/>
  <c r="D35" i="25"/>
  <c r="D59" i="25" s="1"/>
  <c r="G23" i="25"/>
  <c r="G47" i="25" s="1"/>
  <c r="G25" i="25"/>
  <c r="G49" i="25" s="1"/>
  <c r="G27" i="25"/>
  <c r="G51" i="25" s="1"/>
  <c r="G30" i="25"/>
  <c r="G54" i="25" s="1"/>
  <c r="C33" i="25"/>
  <c r="C57" i="25" s="1"/>
  <c r="G34" i="25"/>
  <c r="D53" i="25"/>
  <c r="D56" i="25"/>
  <c r="C24" i="25"/>
  <c r="C48" i="25" s="1"/>
  <c r="C26" i="25"/>
  <c r="C50" i="25" s="1"/>
  <c r="D44" i="25"/>
  <c r="E35" i="25"/>
  <c r="E59" i="25" s="1"/>
  <c r="C37" i="25"/>
  <c r="E58" i="25"/>
  <c r="D65" i="34" l="1"/>
  <c r="E65" i="34" s="1"/>
  <c r="K36" i="26"/>
  <c r="L36" i="26" s="1"/>
  <c r="C36" i="26"/>
  <c r="D36" i="26" s="1"/>
  <c r="J60" i="34"/>
  <c r="K60" i="34" s="1"/>
  <c r="K48" i="34"/>
  <c r="K56" i="34"/>
  <c r="J61" i="34"/>
  <c r="K61" i="34" s="1"/>
  <c r="J60" i="33"/>
  <c r="K60" i="33" s="1"/>
  <c r="K55" i="33"/>
  <c r="K49" i="33"/>
  <c r="J61" i="33"/>
  <c r="K61" i="33" s="1"/>
  <c r="J59" i="32"/>
  <c r="K59" i="32" s="1"/>
  <c r="K48" i="32"/>
  <c r="E25" i="32"/>
  <c r="D54" i="32"/>
  <c r="E54" i="32" s="1"/>
  <c r="E31" i="32"/>
  <c r="D48" i="32"/>
  <c r="E32" i="32"/>
  <c r="D49" i="32"/>
  <c r="E49" i="32" s="1"/>
  <c r="E25" i="33"/>
  <c r="D54" i="33"/>
  <c r="E54" i="33" s="1"/>
  <c r="E27" i="32"/>
  <c r="D55" i="32"/>
  <c r="E33" i="32"/>
  <c r="D50" i="32"/>
  <c r="E50" i="32" s="1"/>
  <c r="K48" i="33"/>
  <c r="J59" i="33"/>
  <c r="K59" i="33" s="1"/>
  <c r="D49" i="33"/>
  <c r="E32" i="33"/>
  <c r="E25" i="34"/>
  <c r="D55" i="34"/>
  <c r="E55" i="34" s="1"/>
  <c r="D48" i="33"/>
  <c r="E31" i="33"/>
  <c r="D48" i="34"/>
  <c r="E31" i="34"/>
  <c r="J62" i="34"/>
  <c r="K62" i="34" s="1"/>
  <c r="K49" i="34"/>
  <c r="D55" i="33"/>
  <c r="E27" i="33"/>
  <c r="D50" i="33"/>
  <c r="E50" i="33" s="1"/>
  <c r="E33" i="33"/>
  <c r="D49" i="34"/>
  <c r="E32" i="34"/>
  <c r="K55" i="32"/>
  <c r="J60" i="32"/>
  <c r="K60" i="32" s="1"/>
  <c r="E27" i="34"/>
  <c r="D51" i="34"/>
  <c r="E51" i="34" s="1"/>
  <c r="D56" i="34"/>
  <c r="E33" i="34"/>
  <c r="D50" i="34"/>
  <c r="E50" i="34" s="1"/>
  <c r="G58" i="25"/>
  <c r="G35" i="25"/>
  <c r="G59" i="25" s="1"/>
  <c r="C58" i="25"/>
  <c r="C35" i="25"/>
  <c r="C59" i="25" s="1"/>
  <c r="D61" i="34" l="1"/>
  <c r="E61" i="34" s="1"/>
  <c r="E56" i="34"/>
  <c r="E55" i="32"/>
  <c r="D60" i="32"/>
  <c r="E60" i="32" s="1"/>
  <c r="E48" i="32"/>
  <c r="D59" i="32"/>
  <c r="E59" i="32" s="1"/>
  <c r="D60" i="33"/>
  <c r="E60" i="33" s="1"/>
  <c r="E55" i="33"/>
  <c r="D59" i="33"/>
  <c r="E59" i="33" s="1"/>
  <c r="E48" i="33"/>
  <c r="E49" i="33"/>
  <c r="D61" i="33"/>
  <c r="E61" i="33" s="1"/>
  <c r="D62" i="34"/>
  <c r="E62" i="34" s="1"/>
  <c r="E49" i="34"/>
  <c r="D60" i="34"/>
  <c r="E60" i="34" s="1"/>
  <c r="E48" i="34"/>
  <c r="F35" i="24"/>
  <c r="F34" i="24"/>
  <c r="F58" i="24" s="1"/>
  <c r="E34" i="24"/>
  <c r="D34" i="24" s="1"/>
  <c r="D35" i="24" s="1"/>
  <c r="G34" i="24" l="1"/>
  <c r="G35" i="24" s="1"/>
  <c r="E35" i="24"/>
  <c r="D58" i="24"/>
  <c r="C34" i="24"/>
  <c r="E58" i="24"/>
  <c r="C58" i="24" l="1"/>
  <c r="C35" i="24"/>
  <c r="F63" i="24"/>
  <c r="E63" i="24"/>
  <c r="B61" i="24"/>
  <c r="E60" i="24"/>
  <c r="E61" i="24" s="1"/>
  <c r="B59" i="24"/>
  <c r="F57" i="24"/>
  <c r="E57" i="24"/>
  <c r="F56" i="24"/>
  <c r="E56" i="24"/>
  <c r="F55" i="24"/>
  <c r="E55" i="24"/>
  <c r="F53" i="24"/>
  <c r="E53" i="24"/>
  <c r="G52" i="24"/>
  <c r="F52" i="24"/>
  <c r="E52" i="24"/>
  <c r="D52" i="24"/>
  <c r="C52" i="24"/>
  <c r="F50" i="24"/>
  <c r="E50" i="24"/>
  <c r="F48" i="24"/>
  <c r="E48" i="24"/>
  <c r="G47" i="24"/>
  <c r="G46" i="24"/>
  <c r="F46" i="24"/>
  <c r="E46" i="24"/>
  <c r="B45" i="24"/>
  <c r="G44" i="24"/>
  <c r="F44" i="24"/>
  <c r="E44" i="24"/>
  <c r="G39" i="24"/>
  <c r="G63" i="24" s="1"/>
  <c r="D39" i="24"/>
  <c r="D63" i="24" s="1"/>
  <c r="C39" i="24"/>
  <c r="C63" i="24" s="1"/>
  <c r="G38" i="24"/>
  <c r="G62" i="24" s="1"/>
  <c r="F38" i="24"/>
  <c r="F62" i="24" s="1"/>
  <c r="E38" i="24"/>
  <c r="E62" i="24" s="1"/>
  <c r="D38" i="24"/>
  <c r="C38" i="24"/>
  <c r="G36" i="24"/>
  <c r="G37" i="24" s="1"/>
  <c r="F36" i="24"/>
  <c r="F60" i="24" s="1"/>
  <c r="F61" i="24" s="1"/>
  <c r="E36" i="24"/>
  <c r="E37" i="24" s="1"/>
  <c r="D36" i="24"/>
  <c r="D60" i="24" s="1"/>
  <c r="D61" i="24" s="1"/>
  <c r="C36" i="24"/>
  <c r="C60" i="24" s="1"/>
  <c r="C61" i="24" s="1"/>
  <c r="G59" i="24"/>
  <c r="F59" i="24"/>
  <c r="E59" i="24"/>
  <c r="D59" i="24"/>
  <c r="G58" i="24"/>
  <c r="C59" i="24"/>
  <c r="B34" i="24"/>
  <c r="B58" i="24" s="1"/>
  <c r="G33" i="24"/>
  <c r="G57" i="24" s="1"/>
  <c r="D33" i="24"/>
  <c r="C33" i="24" s="1"/>
  <c r="C57" i="24" s="1"/>
  <c r="G32" i="24"/>
  <c r="G56" i="24" s="1"/>
  <c r="D32" i="24"/>
  <c r="D56" i="24" s="1"/>
  <c r="C32" i="24"/>
  <c r="C56" i="24" s="1"/>
  <c r="G31" i="24"/>
  <c r="G55" i="24" s="1"/>
  <c r="D31" i="24"/>
  <c r="C31" i="24" s="1"/>
  <c r="C55" i="24" s="1"/>
  <c r="B31" i="24"/>
  <c r="B55" i="24" s="1"/>
  <c r="G30" i="24"/>
  <c r="G54" i="24" s="1"/>
  <c r="F30" i="24"/>
  <c r="F54" i="24" s="1"/>
  <c r="E30" i="24"/>
  <c r="E54" i="24" s="1"/>
  <c r="D30" i="24"/>
  <c r="D54" i="24" s="1"/>
  <c r="C30" i="24"/>
  <c r="C54" i="24" s="1"/>
  <c r="G29" i="24"/>
  <c r="G53" i="24" s="1"/>
  <c r="D29" i="24"/>
  <c r="D53" i="24" s="1"/>
  <c r="G27" i="24"/>
  <c r="G51" i="24" s="1"/>
  <c r="F27" i="24"/>
  <c r="F51" i="24" s="1"/>
  <c r="E27" i="24"/>
  <c r="E51" i="24" s="1"/>
  <c r="D27" i="24"/>
  <c r="D51" i="24" s="1"/>
  <c r="C27" i="24"/>
  <c r="C51" i="24" s="1"/>
  <c r="G26" i="24"/>
  <c r="G50" i="24" s="1"/>
  <c r="D26" i="24"/>
  <c r="D50" i="24" s="1"/>
  <c r="G25" i="24"/>
  <c r="G49" i="24" s="1"/>
  <c r="F25" i="24"/>
  <c r="F49" i="24" s="1"/>
  <c r="E25" i="24"/>
  <c r="E49" i="24" s="1"/>
  <c r="D25" i="24"/>
  <c r="D49" i="24" s="1"/>
  <c r="C25" i="24"/>
  <c r="C49" i="24" s="1"/>
  <c r="G24" i="24"/>
  <c r="G48" i="24" s="1"/>
  <c r="D24" i="24"/>
  <c r="D48" i="24" s="1"/>
  <c r="G23" i="24"/>
  <c r="F23" i="24"/>
  <c r="F47" i="24" s="1"/>
  <c r="E23" i="24"/>
  <c r="E47" i="24" s="1"/>
  <c r="D23" i="24"/>
  <c r="D47" i="24" s="1"/>
  <c r="C23" i="24"/>
  <c r="C47" i="24" s="1"/>
  <c r="D22" i="24"/>
  <c r="D46" i="24" s="1"/>
  <c r="G21" i="24"/>
  <c r="G45" i="24" s="1"/>
  <c r="F21" i="24"/>
  <c r="F45" i="24" s="1"/>
  <c r="E21" i="24"/>
  <c r="E45" i="24" s="1"/>
  <c r="D20" i="24"/>
  <c r="D21" i="24" s="1"/>
  <c r="D45" i="24" s="1"/>
  <c r="G19" i="24"/>
  <c r="G43" i="24" s="1"/>
  <c r="G9" i="24"/>
  <c r="F9" i="24"/>
  <c r="E9" i="24"/>
  <c r="D9" i="24"/>
  <c r="C9" i="24"/>
  <c r="G59" i="23"/>
  <c r="F59" i="23"/>
  <c r="E59" i="23"/>
  <c r="D59" i="23"/>
  <c r="C59" i="23"/>
  <c r="D57" i="24" l="1"/>
  <c r="C20" i="24"/>
  <c r="C21" i="24" s="1"/>
  <c r="C45" i="24" s="1"/>
  <c r="D37" i="24"/>
  <c r="F37" i="24"/>
  <c r="C24" i="24"/>
  <c r="C48" i="24" s="1"/>
  <c r="C26" i="24"/>
  <c r="C50" i="24" s="1"/>
  <c r="C29" i="24"/>
  <c r="C53" i="24" s="1"/>
  <c r="C44" i="24"/>
  <c r="D44" i="24"/>
  <c r="C37" i="24"/>
  <c r="D55" i="24"/>
  <c r="C22" i="24"/>
  <c r="C46" i="24" s="1"/>
  <c r="G60" i="24"/>
  <c r="G61" i="24" s="1"/>
  <c r="F63" i="23" l="1"/>
  <c r="E63" i="23"/>
  <c r="B61" i="23"/>
  <c r="B59" i="23"/>
  <c r="F57" i="23"/>
  <c r="E57" i="23"/>
  <c r="F56" i="23"/>
  <c r="E56" i="23"/>
  <c r="F55" i="23"/>
  <c r="E55" i="23"/>
  <c r="F54" i="23"/>
  <c r="E54" i="23"/>
  <c r="F53" i="23"/>
  <c r="E53" i="23"/>
  <c r="G52" i="23"/>
  <c r="F52" i="23"/>
  <c r="E52" i="23"/>
  <c r="D52" i="23"/>
  <c r="C52" i="23"/>
  <c r="D51" i="23"/>
  <c r="G50" i="23"/>
  <c r="F50" i="23"/>
  <c r="E50" i="23"/>
  <c r="F49" i="23"/>
  <c r="F48" i="23"/>
  <c r="E48" i="23"/>
  <c r="G46" i="23"/>
  <c r="F46" i="23"/>
  <c r="E46" i="23"/>
  <c r="B45" i="23"/>
  <c r="G44" i="23"/>
  <c r="F44" i="23"/>
  <c r="E44" i="23"/>
  <c r="G39" i="23"/>
  <c r="G63" i="23" s="1"/>
  <c r="D39" i="23"/>
  <c r="D63" i="23" s="1"/>
  <c r="C39" i="23"/>
  <c r="C63" i="23" s="1"/>
  <c r="G38" i="23"/>
  <c r="G62" i="23" s="1"/>
  <c r="F38" i="23"/>
  <c r="F62" i="23" s="1"/>
  <c r="E38" i="23"/>
  <c r="E62" i="23" s="1"/>
  <c r="D38" i="23"/>
  <c r="C38" i="23"/>
  <c r="G37" i="23"/>
  <c r="F37" i="23"/>
  <c r="D37" i="23"/>
  <c r="G36" i="23"/>
  <c r="G60" i="23" s="1"/>
  <c r="G61" i="23" s="1"/>
  <c r="F36" i="23"/>
  <c r="F60" i="23" s="1"/>
  <c r="F61" i="23" s="1"/>
  <c r="E36" i="23"/>
  <c r="E37" i="23" s="1"/>
  <c r="D36" i="23"/>
  <c r="D60" i="23" s="1"/>
  <c r="D61" i="23" s="1"/>
  <c r="C36" i="23"/>
  <c r="C37" i="23" s="1"/>
  <c r="G35" i="23"/>
  <c r="F35" i="23"/>
  <c r="E35" i="23"/>
  <c r="G34" i="23"/>
  <c r="D34" i="23"/>
  <c r="C34" i="23"/>
  <c r="B34" i="23"/>
  <c r="B58" i="23" s="1"/>
  <c r="G33" i="23"/>
  <c r="G57" i="23" s="1"/>
  <c r="D33" i="23"/>
  <c r="C33" i="23" s="1"/>
  <c r="C57" i="23" s="1"/>
  <c r="G32" i="23"/>
  <c r="G56" i="23" s="1"/>
  <c r="D32" i="23"/>
  <c r="D56" i="23" s="1"/>
  <c r="C32" i="23"/>
  <c r="C56" i="23" s="1"/>
  <c r="G31" i="23"/>
  <c r="G55" i="23" s="1"/>
  <c r="D31" i="23"/>
  <c r="D55" i="23" s="1"/>
  <c r="B31" i="23"/>
  <c r="B55" i="23" s="1"/>
  <c r="G30" i="23"/>
  <c r="G54" i="23" s="1"/>
  <c r="F30" i="23"/>
  <c r="E30" i="23"/>
  <c r="D30" i="23"/>
  <c r="D54" i="23" s="1"/>
  <c r="C30" i="23"/>
  <c r="C54" i="23" s="1"/>
  <c r="G29" i="23"/>
  <c r="G53" i="23" s="1"/>
  <c r="D29" i="23"/>
  <c r="C29" i="23" s="1"/>
  <c r="C53" i="23" s="1"/>
  <c r="G27" i="23"/>
  <c r="G51" i="23" s="1"/>
  <c r="F27" i="23"/>
  <c r="F51" i="23" s="1"/>
  <c r="E27" i="23"/>
  <c r="E51" i="23" s="1"/>
  <c r="D27" i="23"/>
  <c r="C27" i="23"/>
  <c r="C51" i="23" s="1"/>
  <c r="G26" i="23"/>
  <c r="D26" i="23"/>
  <c r="C26" i="23" s="1"/>
  <c r="C50" i="23" s="1"/>
  <c r="F25" i="23"/>
  <c r="E25" i="23"/>
  <c r="E49" i="23" s="1"/>
  <c r="D25" i="23"/>
  <c r="D49" i="23" s="1"/>
  <c r="C25" i="23"/>
  <c r="C49" i="23" s="1"/>
  <c r="G24" i="23"/>
  <c r="G48" i="23" s="1"/>
  <c r="D24" i="23"/>
  <c r="C24" i="23" s="1"/>
  <c r="C48" i="23" s="1"/>
  <c r="F23" i="23"/>
  <c r="F47" i="23" s="1"/>
  <c r="E23" i="23"/>
  <c r="G23" i="23" s="1"/>
  <c r="G47" i="23" s="1"/>
  <c r="D23" i="23"/>
  <c r="D47" i="23" s="1"/>
  <c r="C23" i="23"/>
  <c r="C47" i="23" s="1"/>
  <c r="D22" i="23"/>
  <c r="D46" i="23" s="1"/>
  <c r="C22" i="23"/>
  <c r="C46" i="23" s="1"/>
  <c r="G21" i="23"/>
  <c r="G45" i="23" s="1"/>
  <c r="F21" i="23"/>
  <c r="F45" i="23" s="1"/>
  <c r="E21" i="23"/>
  <c r="E45" i="23" s="1"/>
  <c r="D20" i="23"/>
  <c r="D44" i="23" s="1"/>
  <c r="C20" i="23"/>
  <c r="C44" i="23" s="1"/>
  <c r="G19" i="23"/>
  <c r="G43" i="23" s="1"/>
  <c r="G9" i="23"/>
  <c r="F9" i="23"/>
  <c r="E9" i="23"/>
  <c r="D9" i="23"/>
  <c r="C9" i="23"/>
  <c r="E47" i="23" l="1"/>
  <c r="G25" i="23"/>
  <c r="G49" i="23" s="1"/>
  <c r="C31" i="23"/>
  <c r="C55" i="23" s="1"/>
  <c r="C60" i="23"/>
  <c r="C61" i="23" s="1"/>
  <c r="E60" i="23"/>
  <c r="E61" i="23" s="1"/>
  <c r="D57" i="23"/>
  <c r="C21" i="23"/>
  <c r="C45" i="23" s="1"/>
  <c r="D48" i="23"/>
  <c r="D21" i="23"/>
  <c r="D45" i="23" s="1"/>
  <c r="D53" i="23"/>
  <c r="C35" i="23"/>
  <c r="D50" i="23"/>
  <c r="D35" i="23"/>
  <c r="B61" i="22" l="1"/>
  <c r="F63" i="22"/>
  <c r="E63" i="22"/>
  <c r="F58" i="22"/>
  <c r="E58" i="22"/>
  <c r="F57" i="22"/>
  <c r="E57" i="22"/>
  <c r="F56" i="22"/>
  <c r="E56" i="22"/>
  <c r="F55" i="22"/>
  <c r="E55" i="22"/>
  <c r="F53" i="22"/>
  <c r="E53" i="22"/>
  <c r="F50" i="22"/>
  <c r="E50" i="22"/>
  <c r="F48" i="22"/>
  <c r="E48" i="22"/>
  <c r="G46" i="22"/>
  <c r="F46" i="22"/>
  <c r="E46" i="22"/>
  <c r="G44" i="22"/>
  <c r="F44" i="22"/>
  <c r="E44" i="22"/>
  <c r="F30" i="22" l="1"/>
  <c r="F54" i="22" s="1"/>
  <c r="E30" i="22"/>
  <c r="E54" i="22" s="1"/>
  <c r="D30" i="22"/>
  <c r="C30" i="22"/>
  <c r="F27" i="22"/>
  <c r="F51" i="22" s="1"/>
  <c r="E27" i="22"/>
  <c r="E51" i="22" s="1"/>
  <c r="D27" i="22"/>
  <c r="C27" i="22"/>
  <c r="F25" i="22"/>
  <c r="F49" i="22" s="1"/>
  <c r="E25" i="22"/>
  <c r="E49" i="22" s="1"/>
  <c r="D25" i="22"/>
  <c r="C25" i="22"/>
  <c r="F23" i="22"/>
  <c r="F47" i="22" s="1"/>
  <c r="E23" i="22"/>
  <c r="E47" i="22" s="1"/>
  <c r="D23" i="22"/>
  <c r="C23" i="22"/>
  <c r="G52" i="22" l="1"/>
  <c r="F52" i="22"/>
  <c r="E52" i="22"/>
  <c r="D52" i="22"/>
  <c r="C52" i="22"/>
  <c r="F35" i="22"/>
  <c r="F59" i="22" s="1"/>
  <c r="E35" i="22"/>
  <c r="E59" i="22" s="1"/>
  <c r="G21" i="22"/>
  <c r="G45" i="22" s="1"/>
  <c r="F21" i="22"/>
  <c r="F45" i="22" s="1"/>
  <c r="E21" i="22"/>
  <c r="E45" i="22" s="1"/>
  <c r="B59" i="22"/>
  <c r="B45" i="22"/>
  <c r="D47" i="22"/>
  <c r="G39" i="22"/>
  <c r="G63" i="22" s="1"/>
  <c r="D39" i="22"/>
  <c r="D63" i="22" s="1"/>
  <c r="C39" i="22"/>
  <c r="C63" i="22" s="1"/>
  <c r="G38" i="22"/>
  <c r="G62" i="22" s="1"/>
  <c r="F38" i="22"/>
  <c r="F62" i="22" s="1"/>
  <c r="E38" i="22"/>
  <c r="E62" i="22" s="1"/>
  <c r="D38" i="22"/>
  <c r="C38" i="22"/>
  <c r="G36" i="22"/>
  <c r="F36" i="22"/>
  <c r="E36" i="22"/>
  <c r="D36" i="22"/>
  <c r="C36" i="22"/>
  <c r="G34" i="22"/>
  <c r="G58" i="22" s="1"/>
  <c r="D34" i="22"/>
  <c r="C34" i="22" s="1"/>
  <c r="C58" i="22" s="1"/>
  <c r="B34" i="22"/>
  <c r="B58" i="22" s="1"/>
  <c r="G33" i="22"/>
  <c r="G57" i="22" s="1"/>
  <c r="D33" i="22"/>
  <c r="D57" i="22" s="1"/>
  <c r="G32" i="22"/>
  <c r="G56" i="22" s="1"/>
  <c r="D32" i="22"/>
  <c r="D56" i="22" s="1"/>
  <c r="G31" i="22"/>
  <c r="G55" i="22" s="1"/>
  <c r="D31" i="22"/>
  <c r="C31" i="22" s="1"/>
  <c r="C55" i="22" s="1"/>
  <c r="B31" i="22"/>
  <c r="B55" i="22" s="1"/>
  <c r="G30" i="22"/>
  <c r="G54" i="22" s="1"/>
  <c r="D54" i="22"/>
  <c r="C54" i="22"/>
  <c r="G29" i="22"/>
  <c r="G53" i="22" s="1"/>
  <c r="D29" i="22"/>
  <c r="C29" i="22" s="1"/>
  <c r="C53" i="22" s="1"/>
  <c r="G27" i="22"/>
  <c r="G51" i="22" s="1"/>
  <c r="D51" i="22"/>
  <c r="C51" i="22"/>
  <c r="G26" i="22"/>
  <c r="G50" i="22" s="1"/>
  <c r="D26" i="22"/>
  <c r="D50" i="22" s="1"/>
  <c r="G25" i="22"/>
  <c r="G49" i="22" s="1"/>
  <c r="D49" i="22"/>
  <c r="G24" i="22"/>
  <c r="G48" i="22" s="1"/>
  <c r="D24" i="22"/>
  <c r="C24" i="22" s="1"/>
  <c r="C48" i="22" s="1"/>
  <c r="G23" i="22"/>
  <c r="G47" i="22" s="1"/>
  <c r="C47" i="22"/>
  <c r="D22" i="22"/>
  <c r="D46" i="22" s="1"/>
  <c r="D20" i="22"/>
  <c r="C20" i="22" s="1"/>
  <c r="C44" i="22" s="1"/>
  <c r="G19" i="22"/>
  <c r="G43" i="22" s="1"/>
  <c r="G9" i="22"/>
  <c r="F9" i="22"/>
  <c r="E9" i="22"/>
  <c r="D9" i="22"/>
  <c r="C9" i="22"/>
  <c r="G37" i="22" l="1"/>
  <c r="G60" i="22"/>
  <c r="G61" i="22" s="1"/>
  <c r="G35" i="22"/>
  <c r="G59" i="22" s="1"/>
  <c r="C60" i="22"/>
  <c r="C61" i="22" s="1"/>
  <c r="C37" i="22"/>
  <c r="D60" i="22"/>
  <c r="D61" i="22" s="1"/>
  <c r="D37" i="22"/>
  <c r="E37" i="22"/>
  <c r="E60" i="22"/>
  <c r="E61" i="22" s="1"/>
  <c r="C22" i="22"/>
  <c r="C46" i="22" s="1"/>
  <c r="C26" i="22"/>
  <c r="C50" i="22" s="1"/>
  <c r="F37" i="22"/>
  <c r="F60" i="22"/>
  <c r="F61" i="22" s="1"/>
  <c r="C32" i="22"/>
  <c r="C56" i="22" s="1"/>
  <c r="C33" i="22"/>
  <c r="C57" i="22" s="1"/>
  <c r="D35" i="22"/>
  <c r="D59" i="22" s="1"/>
  <c r="C21" i="22"/>
  <c r="C45" i="22" s="1"/>
  <c r="D21" i="22"/>
  <c r="D45" i="22" s="1"/>
  <c r="D53" i="22"/>
  <c r="C35" i="22"/>
  <c r="C59" i="22" s="1"/>
  <c r="D44" i="22"/>
  <c r="D48" i="22"/>
  <c r="D55" i="22"/>
  <c r="D58" i="22"/>
  <c r="C49" i="22"/>
  <c r="F22" i="20"/>
  <c r="E22" i="20"/>
  <c r="D22" i="20"/>
  <c r="C22" i="20"/>
  <c r="F26" i="20"/>
  <c r="E26" i="20"/>
  <c r="D26" i="20"/>
  <c r="C26" i="20"/>
  <c r="F29" i="20"/>
  <c r="E29" i="20"/>
  <c r="D29" i="20"/>
  <c r="C29" i="20"/>
  <c r="F24" i="20"/>
  <c r="E24" i="20"/>
  <c r="D24" i="20"/>
  <c r="C24" i="20"/>
  <c r="N54" i="20"/>
  <c r="M54" i="20"/>
  <c r="N53" i="20"/>
  <c r="M53" i="20"/>
  <c r="N52" i="20"/>
  <c r="M52" i="20"/>
  <c r="N51" i="20"/>
  <c r="M51" i="20"/>
  <c r="N49" i="20"/>
  <c r="M49" i="20"/>
  <c r="N48" i="20"/>
  <c r="M48" i="20"/>
  <c r="N47" i="20"/>
  <c r="M47" i="20"/>
  <c r="N46" i="20"/>
  <c r="M46" i="20"/>
  <c r="N45" i="20"/>
  <c r="M45" i="20"/>
  <c r="N44" i="20"/>
  <c r="M44" i="20"/>
  <c r="AH33" i="20" l="1"/>
  <c r="AG33" i="20"/>
  <c r="AE33" i="20"/>
  <c r="AH32" i="20"/>
  <c r="AG32" i="20"/>
  <c r="AE32" i="20"/>
  <c r="AH31" i="20"/>
  <c r="AG31" i="20"/>
  <c r="AE31" i="20"/>
  <c r="AH30" i="20"/>
  <c r="AG30" i="20"/>
  <c r="AE30" i="20"/>
  <c r="AH28" i="20"/>
  <c r="AG28" i="20"/>
  <c r="AE28" i="20"/>
  <c r="AH27" i="20"/>
  <c r="AG27" i="20"/>
  <c r="AE27" i="20"/>
  <c r="AH26" i="20"/>
  <c r="AG26" i="20"/>
  <c r="AE26" i="20"/>
  <c r="AH25" i="20"/>
  <c r="AG25" i="20"/>
  <c r="AE25" i="20"/>
  <c r="AH24" i="20"/>
  <c r="AG24" i="20"/>
  <c r="AE24" i="20"/>
  <c r="AH23" i="20"/>
  <c r="AG23" i="20"/>
  <c r="AE23" i="20"/>
  <c r="AA33" i="20"/>
  <c r="Z33" i="20"/>
  <c r="X33" i="20"/>
  <c r="AA32" i="20"/>
  <c r="Z32" i="20"/>
  <c r="X32" i="20"/>
  <c r="AA31" i="20"/>
  <c r="Z31" i="20"/>
  <c r="X31" i="20"/>
  <c r="AA30" i="20"/>
  <c r="Z30" i="20"/>
  <c r="X30" i="20"/>
  <c r="AA28" i="20"/>
  <c r="Z28" i="20"/>
  <c r="X28" i="20"/>
  <c r="AA26" i="20"/>
  <c r="Z26" i="20"/>
  <c r="X26" i="20"/>
  <c r="AA25" i="20"/>
  <c r="Z25" i="20"/>
  <c r="X25" i="20"/>
  <c r="AA24" i="20"/>
  <c r="Z24" i="20"/>
  <c r="X24" i="20"/>
  <c r="AA23" i="20"/>
  <c r="Z23" i="20"/>
  <c r="X23" i="20"/>
  <c r="U54" i="20"/>
  <c r="U53" i="20"/>
  <c r="U52" i="20"/>
  <c r="U51" i="20"/>
  <c r="K54" i="20"/>
  <c r="K53" i="20"/>
  <c r="K52" i="20"/>
  <c r="K51" i="20"/>
  <c r="K49" i="20"/>
  <c r="U49" i="20"/>
  <c r="K47" i="20"/>
  <c r="U47" i="20"/>
  <c r="K46" i="20"/>
  <c r="U46" i="20"/>
  <c r="K45" i="20"/>
  <c r="U45" i="20"/>
  <c r="N3" i="2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AB3" i="21" s="1"/>
  <c r="AC3" i="21" s="1"/>
  <c r="AD3" i="21" s="1"/>
  <c r="AE3" i="21" s="1"/>
  <c r="AF3" i="21" s="1"/>
  <c r="AG3" i="21" s="1"/>
  <c r="AH3" i="21" s="1"/>
  <c r="AI3" i="21" s="1"/>
  <c r="AJ3" i="21" s="1"/>
  <c r="AK3" i="21" s="1"/>
  <c r="AL3" i="21" s="1"/>
  <c r="AM3" i="21" s="1"/>
  <c r="AN3" i="21" s="1"/>
  <c r="AO3" i="21" s="1"/>
  <c r="AP3" i="21" s="1"/>
  <c r="O54" i="20"/>
  <c r="O53" i="20"/>
  <c r="O52" i="20"/>
  <c r="O51" i="20"/>
  <c r="O49" i="20"/>
  <c r="O48" i="20"/>
  <c r="O47" i="20"/>
  <c r="O46" i="20"/>
  <c r="O45" i="20"/>
  <c r="O44" i="20"/>
  <c r="K44" i="20"/>
  <c r="J51" i="20"/>
  <c r="Q51" i="20" s="1"/>
  <c r="Q30" i="20"/>
  <c r="Q39" i="20"/>
  <c r="V40" i="20"/>
  <c r="V19" i="20"/>
  <c r="F57" i="20"/>
  <c r="E57" i="20"/>
  <c r="F54" i="20"/>
  <c r="AH54" i="20" s="1"/>
  <c r="E54" i="20"/>
  <c r="AG54" i="20" s="1"/>
  <c r="F53" i="20"/>
  <c r="AH53" i="20" s="1"/>
  <c r="E53" i="20"/>
  <c r="AG53" i="20" s="1"/>
  <c r="F52" i="20"/>
  <c r="AH52" i="20" s="1"/>
  <c r="E52" i="20"/>
  <c r="AG52" i="20" s="1"/>
  <c r="F51" i="20"/>
  <c r="AH51" i="20" s="1"/>
  <c r="E51" i="20"/>
  <c r="AG51" i="20" s="1"/>
  <c r="E50" i="20"/>
  <c r="F49" i="20"/>
  <c r="AH49" i="20" s="1"/>
  <c r="E49" i="20"/>
  <c r="AG49" i="20" s="1"/>
  <c r="E47" i="20"/>
  <c r="AG47" i="20" s="1"/>
  <c r="F46" i="20"/>
  <c r="AH46" i="20" s="1"/>
  <c r="E46" i="20"/>
  <c r="AG46" i="20" s="1"/>
  <c r="E45" i="20"/>
  <c r="AG45" i="20" s="1"/>
  <c r="F44" i="20"/>
  <c r="AH44" i="20" s="1"/>
  <c r="E44" i="20"/>
  <c r="AG44" i="20" s="1"/>
  <c r="E43" i="20"/>
  <c r="G42" i="20"/>
  <c r="F42" i="20"/>
  <c r="E42" i="20"/>
  <c r="G41" i="20"/>
  <c r="F41" i="20"/>
  <c r="E41" i="20"/>
  <c r="G36" i="20"/>
  <c r="G57" i="20" s="1"/>
  <c r="D36" i="20"/>
  <c r="D57" i="20" s="1"/>
  <c r="C36" i="20"/>
  <c r="C57" i="20" s="1"/>
  <c r="G35" i="20"/>
  <c r="F35" i="20"/>
  <c r="E35" i="20"/>
  <c r="D35" i="20"/>
  <c r="C35" i="20"/>
  <c r="G34" i="20"/>
  <c r="G55" i="20" s="1"/>
  <c r="F34" i="20"/>
  <c r="F55" i="20" s="1"/>
  <c r="E34" i="20"/>
  <c r="E55" i="20" s="1"/>
  <c r="D34" i="20"/>
  <c r="D55" i="20" s="1"/>
  <c r="C34" i="20"/>
  <c r="C55" i="20" s="1"/>
  <c r="G33" i="20"/>
  <c r="G54" i="20" s="1"/>
  <c r="C54" i="20"/>
  <c r="AE54" i="20" s="1"/>
  <c r="B33" i="20"/>
  <c r="B54" i="20" s="1"/>
  <c r="G32" i="20"/>
  <c r="G53" i="20" s="1"/>
  <c r="D53" i="20"/>
  <c r="G31" i="20"/>
  <c r="G52" i="20" s="1"/>
  <c r="D52" i="20"/>
  <c r="G30" i="20"/>
  <c r="G51" i="20" s="1"/>
  <c r="C51" i="20"/>
  <c r="AE51" i="20" s="1"/>
  <c r="B30" i="20"/>
  <c r="B51" i="20" s="1"/>
  <c r="G29" i="20"/>
  <c r="G50" i="20" s="1"/>
  <c r="F50" i="20"/>
  <c r="D50" i="20"/>
  <c r="G28" i="20"/>
  <c r="G49" i="20" s="1"/>
  <c r="D49" i="20"/>
  <c r="F48" i="20"/>
  <c r="E48" i="20"/>
  <c r="G26" i="20"/>
  <c r="G47" i="20" s="1"/>
  <c r="F47" i="20"/>
  <c r="AH47" i="20" s="1"/>
  <c r="D47" i="20"/>
  <c r="G25" i="20"/>
  <c r="G46" i="20" s="1"/>
  <c r="D48" i="20"/>
  <c r="G24" i="20"/>
  <c r="G45" i="20" s="1"/>
  <c r="F45" i="20"/>
  <c r="AH45" i="20" s="1"/>
  <c r="C45" i="20"/>
  <c r="G23" i="20"/>
  <c r="G44" i="20" s="1"/>
  <c r="D44" i="20"/>
  <c r="G22" i="20"/>
  <c r="G43" i="20" s="1"/>
  <c r="F43" i="20"/>
  <c r="D43" i="20"/>
  <c r="C43" i="20"/>
  <c r="C59" i="20" s="1"/>
  <c r="D42" i="20"/>
  <c r="C42" i="20"/>
  <c r="D41" i="20"/>
  <c r="G19" i="20"/>
  <c r="G40" i="20" s="1"/>
  <c r="O40" i="20" s="1"/>
  <c r="G9" i="20"/>
  <c r="F9" i="20"/>
  <c r="E9" i="20"/>
  <c r="D9" i="20"/>
  <c r="C9" i="20"/>
  <c r="AE45" i="20" l="1"/>
  <c r="D51" i="20"/>
  <c r="D54" i="20"/>
  <c r="C41" i="20"/>
  <c r="C44" i="20"/>
  <c r="AE44" i="20" s="1"/>
  <c r="C50" i="20"/>
  <c r="C62" i="20" s="1"/>
  <c r="C52" i="20"/>
  <c r="AE52" i="20" s="1"/>
  <c r="C53" i="20"/>
  <c r="AE53" i="20" s="1"/>
  <c r="C49" i="20"/>
  <c r="AE49" i="20" s="1"/>
  <c r="D45" i="20"/>
  <c r="C47" i="20"/>
  <c r="O19" i="20"/>
  <c r="D46" i="20"/>
  <c r="G27" i="20"/>
  <c r="G48" i="20" s="1"/>
  <c r="G29" i="19"/>
  <c r="G50" i="19" s="1"/>
  <c r="F29" i="19"/>
  <c r="F50" i="19" s="1"/>
  <c r="G26" i="19"/>
  <c r="G47" i="19" s="1"/>
  <c r="F26" i="19"/>
  <c r="G24" i="19"/>
  <c r="F24" i="19"/>
  <c r="G22" i="19"/>
  <c r="F22" i="19"/>
  <c r="F57" i="19"/>
  <c r="E57" i="19"/>
  <c r="F54" i="19"/>
  <c r="E54" i="19"/>
  <c r="B54" i="19"/>
  <c r="F53" i="19"/>
  <c r="E53" i="19"/>
  <c r="F52" i="19"/>
  <c r="E52" i="19"/>
  <c r="F51" i="19"/>
  <c r="E51" i="19"/>
  <c r="B51" i="19"/>
  <c r="E50" i="19"/>
  <c r="F49" i="19"/>
  <c r="E49" i="19"/>
  <c r="F47" i="19"/>
  <c r="E47" i="19"/>
  <c r="F46" i="19"/>
  <c r="E46" i="19"/>
  <c r="F45" i="19"/>
  <c r="E45" i="19"/>
  <c r="F44" i="19"/>
  <c r="E44" i="19"/>
  <c r="G43" i="19"/>
  <c r="F43" i="19"/>
  <c r="E43" i="19"/>
  <c r="G42" i="19"/>
  <c r="F42" i="19"/>
  <c r="E42" i="19"/>
  <c r="G41" i="19"/>
  <c r="F41" i="19"/>
  <c r="E41" i="19"/>
  <c r="G36" i="19"/>
  <c r="G57" i="19" s="1"/>
  <c r="D36" i="19"/>
  <c r="D57" i="19" s="1"/>
  <c r="C36" i="19"/>
  <c r="C57" i="19" s="1"/>
  <c r="G35" i="19"/>
  <c r="F35" i="19"/>
  <c r="E35" i="19"/>
  <c r="D35" i="19"/>
  <c r="C35" i="19"/>
  <c r="G34" i="19"/>
  <c r="G55" i="19" s="1"/>
  <c r="F34" i="19"/>
  <c r="F55" i="19" s="1"/>
  <c r="E34" i="19"/>
  <c r="E55" i="19" s="1"/>
  <c r="D34" i="19"/>
  <c r="D55" i="19" s="1"/>
  <c r="C34" i="19"/>
  <c r="C55" i="19" s="1"/>
  <c r="G33" i="19"/>
  <c r="G54" i="19" s="1"/>
  <c r="D33" i="19"/>
  <c r="D54" i="19" s="1"/>
  <c r="C33" i="19"/>
  <c r="C54" i="19" s="1"/>
  <c r="B33" i="19"/>
  <c r="G32" i="19"/>
  <c r="G53" i="19" s="1"/>
  <c r="D32" i="19"/>
  <c r="D53" i="19" s="1"/>
  <c r="G31" i="19"/>
  <c r="G52" i="19" s="1"/>
  <c r="D31" i="19"/>
  <c r="D52" i="19" s="1"/>
  <c r="G30" i="19"/>
  <c r="G51" i="19" s="1"/>
  <c r="D30" i="19"/>
  <c r="C30" i="19" s="1"/>
  <c r="C51" i="19" s="1"/>
  <c r="B30" i="19"/>
  <c r="D29" i="19"/>
  <c r="C29" i="19" s="1"/>
  <c r="C50" i="19" s="1"/>
  <c r="G28" i="19"/>
  <c r="G49" i="19" s="1"/>
  <c r="D28" i="19"/>
  <c r="D49" i="19" s="1"/>
  <c r="C28" i="19"/>
  <c r="C49" i="19" s="1"/>
  <c r="F27" i="19"/>
  <c r="F48" i="19" s="1"/>
  <c r="E27" i="19"/>
  <c r="E48" i="19" s="1"/>
  <c r="D27" i="19"/>
  <c r="D48" i="19" s="1"/>
  <c r="D26" i="19"/>
  <c r="D47" i="19" s="1"/>
  <c r="G25" i="19"/>
  <c r="G46" i="19" s="1"/>
  <c r="D25" i="19"/>
  <c r="D46" i="19" s="1"/>
  <c r="C25" i="19"/>
  <c r="C46" i="19" s="1"/>
  <c r="G45" i="19"/>
  <c r="D24" i="19"/>
  <c r="C24" i="19" s="1"/>
  <c r="C45" i="19" s="1"/>
  <c r="G23" i="19"/>
  <c r="G44" i="19" s="1"/>
  <c r="D23" i="19"/>
  <c r="D44" i="19" s="1"/>
  <c r="D22" i="19"/>
  <c r="C22" i="19" s="1"/>
  <c r="C43" i="19" s="1"/>
  <c r="D21" i="19"/>
  <c r="C21" i="19" s="1"/>
  <c r="C42" i="19" s="1"/>
  <c r="D20" i="19"/>
  <c r="D41" i="19" s="1"/>
  <c r="C20" i="19"/>
  <c r="C41" i="19" s="1"/>
  <c r="G19" i="19"/>
  <c r="G40" i="19" s="1"/>
  <c r="G9" i="19"/>
  <c r="F9" i="19"/>
  <c r="E9" i="19"/>
  <c r="D9" i="19"/>
  <c r="C9" i="19"/>
  <c r="D51" i="19" l="1"/>
  <c r="C32" i="19"/>
  <c r="C53" i="19" s="1"/>
  <c r="C23" i="19"/>
  <c r="C44" i="19" s="1"/>
  <c r="D43" i="19"/>
  <c r="AE47" i="20"/>
  <c r="C60" i="20"/>
  <c r="C46" i="20"/>
  <c r="AE46" i="20" s="1"/>
  <c r="C48" i="20"/>
  <c r="C26" i="19"/>
  <c r="C47" i="19" s="1"/>
  <c r="D45" i="19"/>
  <c r="D42" i="19"/>
  <c r="D50" i="19"/>
  <c r="G27" i="19"/>
  <c r="G48" i="19" s="1"/>
  <c r="C31" i="19"/>
  <c r="C52" i="19" s="1"/>
  <c r="C27" i="19"/>
  <c r="C48" i="19" s="1"/>
  <c r="C61" i="20" l="1"/>
  <c r="N3" i="18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AI3" i="18" s="1"/>
  <c r="AJ3" i="18" s="1"/>
  <c r="AK3" i="18" s="1"/>
  <c r="AL3" i="18" s="1"/>
  <c r="AM3" i="18" s="1"/>
  <c r="AN3" i="18" s="1"/>
  <c r="AO3" i="18" s="1"/>
  <c r="AP3" i="18" s="1"/>
  <c r="N3" i="17" l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F27" i="15" l="1"/>
  <c r="E27" i="15"/>
  <c r="D31" i="15" l="1"/>
  <c r="N3" i="16" l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D33" i="15"/>
  <c r="D54" i="15" s="1"/>
  <c r="G33" i="15"/>
  <c r="G54" i="15" s="1"/>
  <c r="D32" i="15"/>
  <c r="D53" i="15" s="1"/>
  <c r="G32" i="15"/>
  <c r="G53" i="15" s="1"/>
  <c r="G31" i="15"/>
  <c r="G52" i="15" s="1"/>
  <c r="D30" i="15"/>
  <c r="D51" i="15" s="1"/>
  <c r="G30" i="15"/>
  <c r="G51" i="15" s="1"/>
  <c r="D29" i="15"/>
  <c r="C29" i="15" s="1"/>
  <c r="G29" i="15"/>
  <c r="D28" i="15"/>
  <c r="D49" i="15" s="1"/>
  <c r="G28" i="15"/>
  <c r="D48" i="15"/>
  <c r="D26" i="15"/>
  <c r="C26" i="15" s="1"/>
  <c r="G26" i="15"/>
  <c r="C25" i="15"/>
  <c r="D25" i="15"/>
  <c r="D27" i="15" s="1"/>
  <c r="G25" i="15"/>
  <c r="G27" i="15" s="1"/>
  <c r="G48" i="15" s="1"/>
  <c r="C24" i="15"/>
  <c r="C45" i="15" s="1"/>
  <c r="D24" i="15"/>
  <c r="G24" i="15"/>
  <c r="D23" i="15"/>
  <c r="D45" i="15" s="1"/>
  <c r="G23" i="15"/>
  <c r="D22" i="15"/>
  <c r="D43" i="15" s="1"/>
  <c r="D21" i="15"/>
  <c r="C21" i="15" s="1"/>
  <c r="D20" i="15"/>
  <c r="D41" i="15" s="1"/>
  <c r="F57" i="15"/>
  <c r="E57" i="15"/>
  <c r="B54" i="15"/>
  <c r="G36" i="15"/>
  <c r="G57" i="15" s="1"/>
  <c r="D36" i="15"/>
  <c r="D57" i="15" s="1"/>
  <c r="C36" i="15"/>
  <c r="C57" i="15" s="1"/>
  <c r="G35" i="15"/>
  <c r="F35" i="15"/>
  <c r="E35" i="15"/>
  <c r="D35" i="15"/>
  <c r="C35" i="15"/>
  <c r="G34" i="15"/>
  <c r="G55" i="15" s="1"/>
  <c r="F34" i="15"/>
  <c r="F55" i="15" s="1"/>
  <c r="E34" i="15"/>
  <c r="E55" i="15" s="1"/>
  <c r="D34" i="15"/>
  <c r="D55" i="15" s="1"/>
  <c r="C34" i="15"/>
  <c r="C55" i="15" s="1"/>
  <c r="F54" i="15"/>
  <c r="E54" i="15"/>
  <c r="B33" i="15"/>
  <c r="F53" i="15"/>
  <c r="E53" i="15"/>
  <c r="F52" i="15"/>
  <c r="E52" i="15"/>
  <c r="D52" i="15"/>
  <c r="F51" i="15"/>
  <c r="E51" i="15"/>
  <c r="B30" i="15"/>
  <c r="B51" i="15" s="1"/>
  <c r="F49" i="15"/>
  <c r="E49" i="15"/>
  <c r="F48" i="15"/>
  <c r="E48" i="15"/>
  <c r="F47" i="15"/>
  <c r="E47" i="15"/>
  <c r="D46" i="15"/>
  <c r="F44" i="15"/>
  <c r="E44" i="15"/>
  <c r="G42" i="15"/>
  <c r="F43" i="15"/>
  <c r="E43" i="15"/>
  <c r="G41" i="15"/>
  <c r="F41" i="15"/>
  <c r="E41" i="15"/>
  <c r="G19" i="15"/>
  <c r="G40" i="15" s="1"/>
  <c r="G9" i="15"/>
  <c r="F9" i="15"/>
  <c r="E9" i="15"/>
  <c r="D9" i="15"/>
  <c r="C9" i="15"/>
  <c r="C46" i="15" l="1"/>
  <c r="C27" i="15"/>
  <c r="C48" i="15" s="1"/>
  <c r="C23" i="15"/>
  <c r="C44" i="15" s="1"/>
  <c r="C20" i="15"/>
  <c r="C41" i="15" s="1"/>
  <c r="C28" i="15"/>
  <c r="C31" i="15"/>
  <c r="C52" i="15" s="1"/>
  <c r="C30" i="15"/>
  <c r="C51" i="15" s="1"/>
  <c r="C32" i="15"/>
  <c r="C53" i="15" s="1"/>
  <c r="C22" i="15"/>
  <c r="C43" i="15" s="1"/>
  <c r="C33" i="15"/>
  <c r="C54" i="15" s="1"/>
  <c r="C50" i="15"/>
  <c r="G50" i="15"/>
  <c r="G47" i="15"/>
  <c r="G45" i="15"/>
  <c r="F46" i="15"/>
  <c r="D50" i="15"/>
  <c r="G44" i="15"/>
  <c r="G43" i="15"/>
  <c r="E50" i="15"/>
  <c r="E46" i="15"/>
  <c r="G46" i="15"/>
  <c r="C47" i="15"/>
  <c r="C42" i="15"/>
  <c r="E45" i="15"/>
  <c r="F50" i="15"/>
  <c r="F42" i="15"/>
  <c r="F45" i="15"/>
  <c r="D47" i="15"/>
  <c r="D44" i="15"/>
  <c r="G49" i="15"/>
  <c r="C49" i="15"/>
  <c r="D42" i="15"/>
  <c r="E42" i="15"/>
  <c r="M54" i="10" l="1"/>
  <c r="L54" i="10"/>
  <c r="J54" i="10"/>
  <c r="I54" i="10"/>
  <c r="M53" i="10"/>
  <c r="L53" i="10"/>
  <c r="J53" i="10"/>
  <c r="I53" i="10"/>
  <c r="M52" i="10"/>
  <c r="L52" i="10"/>
  <c r="J52" i="10"/>
  <c r="I52" i="10"/>
  <c r="M51" i="10"/>
  <c r="L51" i="10"/>
  <c r="J51" i="10"/>
  <c r="I51" i="10"/>
  <c r="M50" i="10"/>
  <c r="L50" i="10"/>
  <c r="J50" i="10"/>
  <c r="I50" i="10"/>
  <c r="M49" i="10"/>
  <c r="L49" i="10"/>
  <c r="J49" i="10"/>
  <c r="I49" i="10"/>
  <c r="M48" i="10"/>
  <c r="L48" i="10"/>
  <c r="J48" i="10"/>
  <c r="I48" i="10"/>
  <c r="M47" i="10"/>
  <c r="L47" i="10"/>
  <c r="J47" i="10"/>
  <c r="I47" i="10"/>
  <c r="M46" i="10"/>
  <c r="L46" i="10"/>
  <c r="J46" i="10"/>
  <c r="I46" i="10"/>
  <c r="M45" i="10"/>
  <c r="L45" i="10"/>
  <c r="J45" i="10"/>
  <c r="I45" i="10"/>
  <c r="M44" i="10"/>
  <c r="L44" i="10"/>
  <c r="J44" i="10"/>
  <c r="I44" i="10"/>
  <c r="M43" i="10"/>
  <c r="L43" i="10"/>
  <c r="J43" i="10"/>
  <c r="I43" i="10"/>
  <c r="M42" i="10"/>
  <c r="L42" i="10"/>
  <c r="J42" i="10"/>
  <c r="I42" i="10"/>
  <c r="M41" i="10"/>
  <c r="L41" i="10"/>
  <c r="J41" i="10"/>
  <c r="I41" i="10"/>
  <c r="N3" i="14" l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N3" i="13" l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G32" i="10" l="1"/>
  <c r="F32" i="10"/>
  <c r="E32" i="10"/>
  <c r="D32" i="10"/>
  <c r="C32" i="10"/>
  <c r="G31" i="10"/>
  <c r="F31" i="10"/>
  <c r="E31" i="10"/>
  <c r="D31" i="10"/>
  <c r="C31" i="10"/>
  <c r="G30" i="10"/>
  <c r="F30" i="10"/>
  <c r="E30" i="10"/>
  <c r="D30" i="10"/>
  <c r="C30" i="10"/>
  <c r="E53" i="10" l="1"/>
  <c r="G51" i="10"/>
  <c r="F51" i="10"/>
  <c r="E51" i="10"/>
  <c r="D51" i="10"/>
  <c r="C51" i="10"/>
  <c r="N3" i="12" l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G36" i="10" l="1"/>
  <c r="G35" i="10"/>
  <c r="F35" i="10"/>
  <c r="G34" i="10"/>
  <c r="F34" i="10"/>
  <c r="G33" i="10"/>
  <c r="F33" i="10"/>
  <c r="E35" i="10"/>
  <c r="E34" i="10"/>
  <c r="E33" i="10"/>
  <c r="D36" i="10"/>
  <c r="D35" i="10"/>
  <c r="D34" i="10"/>
  <c r="D33" i="10"/>
  <c r="G28" i="10"/>
  <c r="G29" i="10" s="1"/>
  <c r="F28" i="10"/>
  <c r="F29" i="10" s="1"/>
  <c r="E28" i="10"/>
  <c r="E29" i="10" s="1"/>
  <c r="D28" i="10"/>
  <c r="D29" i="10" s="1"/>
  <c r="G27" i="10"/>
  <c r="F27" i="10"/>
  <c r="E27" i="10"/>
  <c r="D27" i="10"/>
  <c r="G25" i="10"/>
  <c r="G26" i="10" s="1"/>
  <c r="F25" i="10"/>
  <c r="F26" i="10" s="1"/>
  <c r="E25" i="10"/>
  <c r="E26" i="10" s="1"/>
  <c r="D25" i="10"/>
  <c r="D26" i="10" s="1"/>
  <c r="G23" i="10"/>
  <c r="G24" i="10" s="1"/>
  <c r="F23" i="10"/>
  <c r="F24" i="10" s="1"/>
  <c r="E23" i="10"/>
  <c r="E24" i="10" s="1"/>
  <c r="D23" i="10"/>
  <c r="D24" i="10" s="1"/>
  <c r="G21" i="10"/>
  <c r="G22" i="10" s="1"/>
  <c r="F21" i="10"/>
  <c r="F22" i="10" s="1"/>
  <c r="E21" i="10"/>
  <c r="E22" i="10" s="1"/>
  <c r="D21" i="10"/>
  <c r="D22" i="10" s="1"/>
  <c r="C21" i="10"/>
  <c r="C22" i="10" s="1"/>
  <c r="C23" i="10"/>
  <c r="C24" i="10" s="1"/>
  <c r="C25" i="10"/>
  <c r="C26" i="10" s="1"/>
  <c r="C27" i="10"/>
  <c r="C28" i="10"/>
  <c r="C29" i="10" s="1"/>
  <c r="C33" i="10"/>
  <c r="G20" i="10"/>
  <c r="F20" i="10"/>
  <c r="E20" i="10"/>
  <c r="D20" i="10"/>
  <c r="D50" i="10" l="1"/>
  <c r="C35" i="10"/>
  <c r="C36" i="10"/>
  <c r="C34" i="10"/>
  <c r="AV3" i="11" l="1"/>
  <c r="AW3" i="11" s="1"/>
  <c r="AX3" i="11" s="1"/>
  <c r="AY3" i="11" s="1"/>
  <c r="AZ3" i="11" s="1"/>
  <c r="BA3" i="11" s="1"/>
  <c r="Q3" i="1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G50" i="10" l="1"/>
  <c r="F50" i="10"/>
  <c r="E50" i="10"/>
  <c r="C50" i="10"/>
  <c r="G47" i="10"/>
  <c r="F47" i="10"/>
  <c r="E47" i="10"/>
  <c r="D47" i="10"/>
  <c r="C47" i="10"/>
  <c r="G45" i="10"/>
  <c r="F45" i="10"/>
  <c r="E45" i="10"/>
  <c r="D45" i="10"/>
  <c r="C45" i="10"/>
  <c r="G43" i="10"/>
  <c r="F43" i="10"/>
  <c r="E43" i="10"/>
  <c r="D43" i="10"/>
  <c r="C43" i="10"/>
  <c r="B54" i="10"/>
  <c r="E57" i="10"/>
  <c r="G57" i="10"/>
  <c r="F57" i="10"/>
  <c r="D57" i="10"/>
  <c r="C57" i="10"/>
  <c r="G55" i="10"/>
  <c r="F55" i="10"/>
  <c r="E55" i="10"/>
  <c r="D55" i="10"/>
  <c r="C55" i="10"/>
  <c r="G54" i="10"/>
  <c r="F54" i="10"/>
  <c r="E54" i="10"/>
  <c r="D54" i="10"/>
  <c r="C54" i="10"/>
  <c r="B33" i="10"/>
  <c r="G53" i="10"/>
  <c r="F53" i="10"/>
  <c r="D53" i="10"/>
  <c r="C53" i="10"/>
  <c r="G52" i="10"/>
  <c r="F52" i="10"/>
  <c r="E52" i="10"/>
  <c r="D52" i="10"/>
  <c r="C52" i="10"/>
  <c r="B30" i="10"/>
  <c r="B51" i="10" s="1"/>
  <c r="G49" i="10"/>
  <c r="F49" i="10"/>
  <c r="E49" i="10"/>
  <c r="D49" i="10"/>
  <c r="C49" i="10"/>
  <c r="G48" i="10"/>
  <c r="F48" i="10"/>
  <c r="E48" i="10"/>
  <c r="D48" i="10"/>
  <c r="C48" i="10"/>
  <c r="G46" i="10"/>
  <c r="F46" i="10"/>
  <c r="E46" i="10"/>
  <c r="D46" i="10"/>
  <c r="C46" i="10"/>
  <c r="G44" i="10"/>
  <c r="F44" i="10"/>
  <c r="E44" i="10"/>
  <c r="D44" i="10"/>
  <c r="C44" i="10"/>
  <c r="G42" i="10"/>
  <c r="F42" i="10"/>
  <c r="E42" i="10"/>
  <c r="D42" i="10"/>
  <c r="C42" i="10"/>
  <c r="G41" i="10"/>
  <c r="F41" i="10"/>
  <c r="E41" i="10"/>
  <c r="D41" i="10"/>
  <c r="C20" i="10"/>
  <c r="C41" i="10" s="1"/>
  <c r="G19" i="10"/>
  <c r="G40" i="10" s="1"/>
  <c r="G9" i="10"/>
  <c r="F9" i="10"/>
  <c r="E9" i="10"/>
  <c r="D9" i="10"/>
  <c r="C9" i="10"/>
  <c r="AV3" i="9" l="1"/>
  <c r="AW3" i="9" s="1"/>
  <c r="AX3" i="9" s="1"/>
  <c r="AY3" i="9" s="1"/>
  <c r="AZ3" i="9" s="1"/>
  <c r="BA3" i="9" s="1"/>
  <c r="Q3" i="9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R3" i="7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Q3" i="7"/>
  <c r="G52" i="4" l="1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30" i="4"/>
  <c r="G48" i="4" s="1"/>
  <c r="F30" i="4"/>
  <c r="F48" i="4" s="1"/>
  <c r="E30" i="4"/>
  <c r="E48" i="4" s="1"/>
  <c r="D30" i="4"/>
  <c r="D48" i="4" s="1"/>
  <c r="C30" i="4"/>
  <c r="C48" i="4" s="1"/>
  <c r="G29" i="4"/>
  <c r="G47" i="4" s="1"/>
  <c r="F29" i="4"/>
  <c r="F47" i="4" s="1"/>
  <c r="E29" i="4"/>
  <c r="E47" i="4" s="1"/>
  <c r="D29" i="4"/>
  <c r="D47" i="4" s="1"/>
  <c r="C29" i="4"/>
  <c r="C47" i="4" s="1"/>
  <c r="G28" i="4"/>
  <c r="G46" i="4" s="1"/>
  <c r="F28" i="4"/>
  <c r="F46" i="4" s="1"/>
  <c r="E28" i="4"/>
  <c r="E46" i="4" s="1"/>
  <c r="D28" i="4"/>
  <c r="D46" i="4" s="1"/>
  <c r="C28" i="4"/>
  <c r="C46" i="4" s="1"/>
  <c r="G26" i="4"/>
  <c r="G44" i="4" s="1"/>
  <c r="F26" i="4"/>
  <c r="F44" i="4" s="1"/>
  <c r="E26" i="4"/>
  <c r="E44" i="4" s="1"/>
  <c r="D26" i="4"/>
  <c r="D44" i="4" s="1"/>
  <c r="C26" i="4"/>
  <c r="C44" i="4" s="1"/>
  <c r="G25" i="4"/>
  <c r="G43" i="4" s="1"/>
  <c r="F25" i="4"/>
  <c r="F43" i="4" s="1"/>
  <c r="E25" i="4"/>
  <c r="E43" i="4" s="1"/>
  <c r="D25" i="4"/>
  <c r="D43" i="4" s="1"/>
  <c r="C25" i="4"/>
  <c r="C43" i="4" s="1"/>
  <c r="G24" i="4"/>
  <c r="G42" i="4" s="1"/>
  <c r="F24" i="4"/>
  <c r="F42" i="4" s="1"/>
  <c r="E24" i="4"/>
  <c r="E42" i="4" s="1"/>
  <c r="D24" i="4"/>
  <c r="D42" i="4" s="1"/>
  <c r="C24" i="4"/>
  <c r="C42" i="4" s="1"/>
  <c r="G23" i="4"/>
  <c r="G41" i="4" s="1"/>
  <c r="F23" i="4"/>
  <c r="F41" i="4" s="1"/>
  <c r="E23" i="4"/>
  <c r="E41" i="4" s="1"/>
  <c r="D23" i="4"/>
  <c r="D41" i="4" s="1"/>
  <c r="C23" i="4"/>
  <c r="C41" i="4" s="1"/>
  <c r="G22" i="4"/>
  <c r="G40" i="4" s="1"/>
  <c r="F22" i="4"/>
  <c r="F40" i="4" s="1"/>
  <c r="E22" i="4"/>
  <c r="E40" i="4" s="1"/>
  <c r="D22" i="4"/>
  <c r="D40" i="4" s="1"/>
  <c r="C22" i="4"/>
  <c r="C40" i="4" s="1"/>
  <c r="G21" i="4"/>
  <c r="G39" i="4" s="1"/>
  <c r="F21" i="4"/>
  <c r="F39" i="4" s="1"/>
  <c r="F36" i="4" s="1"/>
  <c r="E21" i="4"/>
  <c r="E39" i="4" s="1"/>
  <c r="E36" i="4" s="1"/>
  <c r="D21" i="4"/>
  <c r="D39" i="4" s="1"/>
  <c r="C21" i="4"/>
  <c r="C39" i="4" s="1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0" i="8"/>
  <c r="F30" i="8"/>
  <c r="E30" i="8"/>
  <c r="D30" i="8"/>
  <c r="C30" i="8"/>
  <c r="B30" i="8"/>
  <c r="G29" i="8"/>
  <c r="F29" i="8"/>
  <c r="E29" i="8"/>
  <c r="D29" i="8"/>
  <c r="C29" i="8"/>
  <c r="G28" i="8"/>
  <c r="F28" i="8"/>
  <c r="E28" i="8"/>
  <c r="D28" i="8"/>
  <c r="C28" i="8"/>
  <c r="B27" i="8"/>
  <c r="G26" i="8"/>
  <c r="F26" i="8"/>
  <c r="E26" i="8"/>
  <c r="D26" i="8"/>
  <c r="C26" i="8"/>
  <c r="G25" i="8"/>
  <c r="F25" i="8"/>
  <c r="E25" i="8"/>
  <c r="D25" i="8"/>
  <c r="C25" i="8"/>
  <c r="G24" i="8"/>
  <c r="F24" i="8"/>
  <c r="E24" i="8"/>
  <c r="D24" i="8"/>
  <c r="C24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G9" i="8"/>
  <c r="G27" i="8" s="1"/>
  <c r="F9" i="8"/>
  <c r="F27" i="8" s="1"/>
  <c r="E9" i="8"/>
  <c r="E27" i="8" s="1"/>
  <c r="D9" i="8"/>
  <c r="D27" i="8" s="1"/>
  <c r="C9" i="8"/>
  <c r="C27" i="8" s="1"/>
  <c r="N3" i="3" l="1"/>
  <c r="O3" i="3" s="1"/>
  <c r="P3" i="3" s="1"/>
  <c r="Q3" i="5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D9" i="4" l="1"/>
  <c r="D27" i="4" s="1"/>
  <c r="D45" i="4" s="1"/>
  <c r="E9" i="4"/>
  <c r="E27" i="4" s="1"/>
  <c r="E45" i="4" s="1"/>
  <c r="F9" i="4"/>
  <c r="F27" i="4" s="1"/>
  <c r="F45" i="4" s="1"/>
  <c r="G9" i="4"/>
  <c r="G27" i="4" s="1"/>
  <c r="G45" i="4" s="1"/>
  <c r="C9" i="4"/>
  <c r="C27" i="4" s="1"/>
  <c r="C45" i="4" s="1"/>
  <c r="B30" i="4" l="1"/>
  <c r="B48" i="4" s="1"/>
  <c r="B27" i="4"/>
  <c r="B45" i="4" s="1"/>
  <c r="G20" i="4"/>
  <c r="G38" i="4" s="1"/>
  <c r="Q3" i="3" l="1"/>
  <c r="R3" i="3" s="1"/>
  <c r="S3" i="3" s="1"/>
  <c r="T3" i="3" s="1"/>
  <c r="U3" i="3" s="1"/>
  <c r="V3" i="3" s="1"/>
  <c r="W3" i="3" s="1"/>
  <c r="X3" i="3" l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N3" i="1"/>
  <c r="O3" i="1" s="1"/>
  <c r="P3" i="1" s="1"/>
  <c r="Q3" i="1" s="1"/>
  <c r="R3" i="1" s="1"/>
  <c r="P3" i="2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N3" i="3" l="1"/>
  <c r="AO3" i="3" s="1"/>
  <c r="AP3" i="3" s="1"/>
  <c r="AQ3" i="3" s="1"/>
  <c r="S3" i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l="1"/>
  <c r="AN3" i="1" s="1"/>
  <c r="AO3" i="1" s="1"/>
  <c r="AP3" i="1" l="1"/>
</calcChain>
</file>

<file path=xl/sharedStrings.xml><?xml version="1.0" encoding="utf-8"?>
<sst xmlns="http://schemas.openxmlformats.org/spreadsheetml/2006/main" count="2670" uniqueCount="184">
  <si>
    <t>D</t>
  </si>
  <si>
    <t>S</t>
  </si>
  <si>
    <t>T</t>
  </si>
  <si>
    <t>Q</t>
  </si>
  <si>
    <t>FONTE CARREGADOR DE BATERIA 40A STORM PLUS</t>
  </si>
  <si>
    <t>FONTE CARREGADOR DE BATERIA 60A STORM PLUS</t>
  </si>
  <si>
    <t>FONTE CARREGADOR DE BATERIA 70A STORM PLUS</t>
  </si>
  <si>
    <t>FONTE CARREGADOR DE BATERIA 90A BOB STORM</t>
  </si>
  <si>
    <t>FONTE CARREGADOR DE BATERIA 120A BOB STORM</t>
  </si>
  <si>
    <t>FONTE CARREGADOR DE BATERIA 120A STORM PLUS</t>
  </si>
  <si>
    <t>FONTE CARREGADOR DE BATERIA 150A STORM PLUS</t>
  </si>
  <si>
    <t>FONTE CARREGADOR DE BATERIA 200A STORM PLUS</t>
  </si>
  <si>
    <t>FONTE CARREGADOR DE BATERIA 200A STORM MONO</t>
  </si>
  <si>
    <t>FONTE CARREGADOR DE BATERIA 200A BOB STORM</t>
  </si>
  <si>
    <t>SEMANA 1</t>
  </si>
  <si>
    <t>SEMANA 2</t>
  </si>
  <si>
    <t>SEMANA 3</t>
  </si>
  <si>
    <t>SEMANA 4</t>
  </si>
  <si>
    <t>SEMANA 5</t>
  </si>
  <si>
    <t>CONTROLE K1200</t>
  </si>
  <si>
    <t>CONTROLE ACQUA</t>
  </si>
  <si>
    <t>CONTROLE RED LINE</t>
  </si>
  <si>
    <r>
      <t xml:space="preserve">BLACK FRIDAY                         </t>
    </r>
    <r>
      <rPr>
        <b/>
        <u/>
        <sz val="14"/>
        <color theme="0"/>
        <rFont val="Calibri"/>
        <family val="2"/>
        <scheme val="minor"/>
      </rPr>
      <t>PREÇOS LIBERADOS</t>
    </r>
  </si>
  <si>
    <t>PRODUTO</t>
  </si>
  <si>
    <t>SITE S/FRETE</t>
  </si>
  <si>
    <t>SITE C/ FRETE</t>
  </si>
  <si>
    <t>CLÁSSICO ML</t>
  </si>
  <si>
    <t>PREMIUM ML</t>
  </si>
  <si>
    <t>FONTE 40A</t>
  </si>
  <si>
    <t>FONTE 60A</t>
  </si>
  <si>
    <t>FONTE 70A</t>
  </si>
  <si>
    <t>FONTE 120A</t>
  </si>
  <si>
    <t>FONTE 150A</t>
  </si>
  <si>
    <t>FONTE 200A</t>
  </si>
  <si>
    <t>FONTE 200 BOB</t>
  </si>
  <si>
    <t>FONTE 120 BOB</t>
  </si>
  <si>
    <t>K600</t>
  </si>
  <si>
    <t>K1200</t>
  </si>
  <si>
    <t>CONTROLE WR</t>
  </si>
  <si>
    <t>ACQUA</t>
  </si>
  <si>
    <t>DESCONTO:</t>
  </si>
  <si>
    <t xml:space="preserve"> MARKETPLACES</t>
  </si>
  <si>
    <t>FONTE 90 BOB</t>
  </si>
  <si>
    <t>CAMPANHA MENSAL</t>
  </si>
  <si>
    <t>FONTE 200 MONO</t>
  </si>
  <si>
    <t>DESCONTO DE ATÉ 10%</t>
  </si>
  <si>
    <t>LIVRE</t>
  </si>
  <si>
    <r>
      <t xml:space="preserve">REDUÇÃO DE PREÇO NA POLÍTICA EM ATÉ </t>
    </r>
    <r>
      <rPr>
        <b/>
        <u/>
        <sz val="14"/>
        <color theme="8" tint="-0.499984740745262"/>
        <rFont val="Calibri"/>
        <family val="2"/>
        <scheme val="minor"/>
      </rPr>
      <t>12%</t>
    </r>
    <r>
      <rPr>
        <b/>
        <sz val="14"/>
        <color theme="8" tint="-0.499984740745262"/>
        <rFont val="Calibri"/>
        <family val="2"/>
        <scheme val="minor"/>
      </rPr>
      <t xml:space="preserve">                            </t>
    </r>
  </si>
  <si>
    <t>DESC EM ATÉ 10%</t>
  </si>
  <si>
    <t>Desc 10%</t>
  </si>
  <si>
    <t>AJUSTE</t>
  </si>
  <si>
    <t>DESCONTO</t>
  </si>
  <si>
    <t>SEMANA 1 (Abril)</t>
  </si>
  <si>
    <t>FONTE 60A LITE</t>
  </si>
  <si>
    <t>FONTE 70A LITE</t>
  </si>
  <si>
    <t>FONTE 120A LITE</t>
  </si>
  <si>
    <t>FONTE 200A LITE</t>
  </si>
  <si>
    <t>Desc Até 10%</t>
  </si>
  <si>
    <t>POLÍTICA COMERCIAL - MARÇO/23</t>
  </si>
  <si>
    <t>FONTE CARREGADOR DE BATERIA 60A  LITE</t>
  </si>
  <si>
    <t>FONTE CARREGADOR DE BATERIA 70A  LITE</t>
  </si>
  <si>
    <t>FONTE CARREGADOR DE BATERIA 120A  LITE</t>
  </si>
  <si>
    <t>FONTE CARREGADOR DE BATERIA 200A  LITE</t>
  </si>
  <si>
    <t>CAMPANHA MENSAL -MARÇO/23</t>
  </si>
  <si>
    <t>Desc Até 11%</t>
  </si>
  <si>
    <t>CALENDÁRIO DE AÇÕES - MARÇO/2023</t>
  </si>
  <si>
    <t xml:space="preserve">S </t>
  </si>
  <si>
    <t>CALENDÁRIO DE AÇÕES - ABRIL/2023</t>
  </si>
  <si>
    <t>CALENDÁRIO DE AÇÕES - MAIO/2023</t>
  </si>
  <si>
    <t>Desc Até 12%</t>
  </si>
  <si>
    <t>CALENDÁRIO DE AÇÕES - JUNHO/2023</t>
  </si>
  <si>
    <t>POLÍTICA COMERCIAL - JUNHO/23</t>
  </si>
  <si>
    <t>CAMPANHA MENSAL - JUNHO/23</t>
  </si>
  <si>
    <t>Clássico</t>
  </si>
  <si>
    <t>Premium</t>
  </si>
  <si>
    <t xml:space="preserve">Margem Simples   </t>
  </si>
  <si>
    <t xml:space="preserve">Margem Lucro Real  </t>
  </si>
  <si>
    <t>POLÍTICA COMERCIAL - JULHO/23</t>
  </si>
  <si>
    <t>CAMPANHA MENSAL - JULHO/23</t>
  </si>
  <si>
    <t>Desc até 10%</t>
  </si>
  <si>
    <t>Desc até 12%</t>
  </si>
  <si>
    <t>CALENDÁRIO DE AÇÕES - JULHO/2023</t>
  </si>
  <si>
    <t>Desc até 10 %</t>
  </si>
  <si>
    <t>Desc até 12 %</t>
  </si>
  <si>
    <t/>
  </si>
  <si>
    <t>POLÍTICA COMERCIAL - AGOSTO/23</t>
  </si>
  <si>
    <t>CAMPANHA MENSAL - AGOSTO/23</t>
  </si>
  <si>
    <t>POLÍTICA COMERCIAL USINA - SETEMBRO/23</t>
  </si>
  <si>
    <t>FONTE BM 70A</t>
  </si>
  <si>
    <t>FONTE BM 120A</t>
  </si>
  <si>
    <t>CAMPANHA MENSAL USINA - SETEMBRO/23</t>
  </si>
  <si>
    <t>POLÍTICA COMERCIAL USINA - AGOSTO/23</t>
  </si>
  <si>
    <t>FONTE 60 BOB</t>
  </si>
  <si>
    <t>12% off</t>
  </si>
  <si>
    <t>5% off</t>
  </si>
  <si>
    <t>0% off</t>
  </si>
  <si>
    <t>POLÍTICA COMERCIAL JFA - SET/23</t>
  </si>
  <si>
    <t>CAMPANHA MENSAL - SET/23</t>
  </si>
  <si>
    <t>FONTE BOB USINA 60A</t>
  </si>
  <si>
    <t>FONTE  USINA 70A</t>
  </si>
  <si>
    <t>FONTE  USINA 120A</t>
  </si>
  <si>
    <t>FONTE  USINA 200A</t>
  </si>
  <si>
    <t>FONTE BOB USINA 120A</t>
  </si>
  <si>
    <t>FONTE BOB USINA 200A</t>
  </si>
  <si>
    <t>FONTE  USINA BM 70A</t>
  </si>
  <si>
    <t>FONTE  USINA BM 120A</t>
  </si>
  <si>
    <t>FONTE  USINA 200A MONO</t>
  </si>
  <si>
    <t>AJUSTE USINA - AGOSTO X SETEMBRO</t>
  </si>
  <si>
    <t>JFA X USINA</t>
  </si>
  <si>
    <t>Diferença 60a</t>
  </si>
  <si>
    <t>Diferença 70a</t>
  </si>
  <si>
    <t>Diferença 120a</t>
  </si>
  <si>
    <t>Diferença 200a</t>
  </si>
  <si>
    <t>LITES</t>
  </si>
  <si>
    <t>DESCONTO DE ATÉ 5%</t>
  </si>
  <si>
    <t xml:space="preserve">5% OFF </t>
  </si>
  <si>
    <t>FONTE 40A LITE</t>
  </si>
  <si>
    <t>FONTE 200 MONO LITE</t>
  </si>
  <si>
    <t>FONTE CARREGADOR DE BATERIA 40A LITE</t>
  </si>
  <si>
    <t>FONTE CARREGADOR DE BATERIA 200A  MONO LITE</t>
  </si>
  <si>
    <t>POLÍTICA COMERCIAL - SETEMBRO/23</t>
  </si>
  <si>
    <t>CAMPANHA MENSAL - SETEMBRO/23</t>
  </si>
  <si>
    <t>DESC SITE</t>
  </si>
  <si>
    <t>DESC ML</t>
  </si>
  <si>
    <t>POLÍTICA COMERCIAL - OUTUBRO/23</t>
  </si>
  <si>
    <t>CAMPANHA MENSAL - OUTUBRO/23</t>
  </si>
  <si>
    <t>CALENDÁRIO DE AÇÕES - OUT/2023</t>
  </si>
  <si>
    <t xml:space="preserve">D </t>
  </si>
  <si>
    <t>POLÍTICA COMERCIAL - NOVEMBRO/23</t>
  </si>
  <si>
    <t>CAMPANHA MENSAL - NOVEMBRO/23</t>
  </si>
  <si>
    <t>POLÍTICA COMERCIAL - DEZEMBRO/23</t>
  </si>
  <si>
    <t>CAMPANHA MENSAL - DEZEMBRO/23</t>
  </si>
  <si>
    <t>Promo</t>
  </si>
  <si>
    <t xml:space="preserve">Desconto </t>
  </si>
  <si>
    <t>Produto</t>
  </si>
  <si>
    <t>Política Comercial E-Commerce JFA - Dezembro/23</t>
  </si>
  <si>
    <t>1 - Preço Promo durante todo o mês de dezembro/23;</t>
  </si>
  <si>
    <t>1 - Preço Promo durante todo o mês de janeiro/24;</t>
  </si>
  <si>
    <t>Fonte 60 x lite</t>
  </si>
  <si>
    <t>Fonte 70 x lite</t>
  </si>
  <si>
    <t>Fonte 120 x lite</t>
  </si>
  <si>
    <t>Fonte 200 x lite</t>
  </si>
  <si>
    <t>Desconto ---------------------------------&gt;</t>
  </si>
  <si>
    <t>POLÍTICA COMERCIAL DE E-COMMERCE JFA - JANEIRO/24</t>
  </si>
  <si>
    <t>.--------&gt;</t>
  </si>
  <si>
    <t>POLÍTICA COMERCIAL DE E-COMMERCE JFA - FEVEREIRO/24</t>
  </si>
  <si>
    <t>1 - Preço Promo durante todo o mês de Fevereiro/24;</t>
  </si>
  <si>
    <t>Código</t>
  </si>
  <si>
    <t>EQUALIZADOR DE BATERIAS</t>
  </si>
  <si>
    <t>740/741</t>
  </si>
  <si>
    <t>548/551/553/550</t>
  </si>
  <si>
    <t>429/431/432/792/793</t>
  </si>
  <si>
    <t>POLÍTICA COMERCIAL DE E-COMMERCE JFA - MARÇO/24</t>
  </si>
  <si>
    <t>POLÍTICA COMERCIAL DE E-COMMERCE JFA - ABRIL /24</t>
  </si>
  <si>
    <t xml:space="preserve">SITE </t>
  </si>
  <si>
    <t>POLÍTICA COMERCIAL DE E-COMMERCE JFA - MAIO /24</t>
  </si>
  <si>
    <t>POLÍTICA COMERCIAL DE E-COMMERCE JFA - JUNHO /24</t>
  </si>
  <si>
    <t>8 e 9/6</t>
  </si>
  <si>
    <t>15 e 16/6</t>
  </si>
  <si>
    <t>22 e 23/6</t>
  </si>
  <si>
    <t>29 e 30/6</t>
  </si>
  <si>
    <t>Datas Promos</t>
  </si>
  <si>
    <t>Preço fora de Ação Promocional ---&gt;</t>
  </si>
  <si>
    <t>POLÍTICA COMERCIAL DE E-COMMERCE JFA - JULHO /24</t>
  </si>
  <si>
    <t>5, 6 e 7/7</t>
  </si>
  <si>
    <t>12, 13 e 14/7</t>
  </si>
  <si>
    <t>19, 20 e 21/7</t>
  </si>
  <si>
    <t>26, 27 e 28/7</t>
  </si>
  <si>
    <t>POLÍTICA COMERCIAL DE E-COMMERCE JFA - AGOSTO /24</t>
  </si>
  <si>
    <t>2, 3, 4 e 5/8</t>
  </si>
  <si>
    <t>9,10,11 e 12/8</t>
  </si>
  <si>
    <t>16, 17, 18 e 19/8</t>
  </si>
  <si>
    <t>23, 24, 25 e 26/8</t>
  </si>
  <si>
    <t xml:space="preserve">FONTE 120A  </t>
  </si>
  <si>
    <t>29, 30, 31, 1/9</t>
  </si>
  <si>
    <t>POLÍTICA COMERCIAL DE E-COMMERCE JFA - SETEMBRO /24</t>
  </si>
  <si>
    <t>6, 7, 8/9</t>
  </si>
  <si>
    <t>]</t>
  </si>
  <si>
    <t>POLÍTICA COMERCIAL DE E-COMMERCE JFA - OUTUBRO /24</t>
  </si>
  <si>
    <t>20/10 a 2/11</t>
  </si>
  <si>
    <t>POLÍTICA COMERCIAL DE E-COMMERCE JFA - PRÉ BLACK FRIDAY - OUT /24</t>
  </si>
  <si>
    <t>PRODUTOS</t>
  </si>
  <si>
    <t>SITE</t>
  </si>
  <si>
    <t>POLÍTICA COMERCIAL DE E-COMMERCE JFA -  BLACK FRIDAY - NOV 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</si>
</sst>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mmmm\,\ yyyy;@"/>
    <numFmt numFmtId="166" formatCode="0.000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8" tint="-0.499984740745262"/>
      <name val="Calibri"/>
      <family val="2"/>
    </font>
    <font>
      <b/>
      <sz val="14"/>
      <color theme="8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8" tint="-0.499984740745262"/>
      <name val="Calibri"/>
      <family val="2"/>
    </font>
    <font>
      <b/>
      <u/>
      <sz val="14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</font>
    <font>
      <b/>
      <u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center"/>
    </xf>
    <xf numFmtId="164" fontId="8" fillId="0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0" borderId="1" xfId="0" applyFont="1" applyBorder="1"/>
    <xf numFmtId="9" fontId="0" fillId="0" borderId="0" xfId="2" applyFont="1"/>
    <xf numFmtId="164" fontId="8" fillId="0" borderId="0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1" fillId="0" borderId="1" xfId="2" applyFont="1" applyBorder="1" applyAlignment="1">
      <alignment horizontal="center"/>
    </xf>
    <xf numFmtId="164" fontId="9" fillId="6" borderId="1" xfId="1" applyFon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9" fillId="8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2" borderId="1" xfId="0" applyFont="1" applyFill="1" applyBorder="1"/>
    <xf numFmtId="164" fontId="8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15" fillId="0" borderId="0" xfId="0" applyFont="1"/>
    <xf numFmtId="43" fontId="0" fillId="0" borderId="0" xfId="3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quotePrefix="1" applyBorder="1"/>
    <xf numFmtId="0" fontId="16" fillId="14" borderId="1" xfId="0" applyFont="1" applyFill="1" applyBorder="1" applyAlignment="1">
      <alignment horizontal="center"/>
    </xf>
    <xf numFmtId="164" fontId="8" fillId="8" borderId="1" xfId="1" applyFont="1" applyFill="1" applyBorder="1" applyAlignment="1">
      <alignment horizontal="center"/>
    </xf>
    <xf numFmtId="0" fontId="9" fillId="0" borderId="0" xfId="0" applyFont="1"/>
    <xf numFmtId="164" fontId="8" fillId="0" borderId="0" xfId="1" applyFont="1" applyBorder="1" applyAlignment="1">
      <alignment horizontal="center"/>
    </xf>
    <xf numFmtId="0" fontId="9" fillId="8" borderId="0" xfId="0" applyFont="1" applyFill="1"/>
    <xf numFmtId="164" fontId="8" fillId="8" borderId="0" xfId="1" applyFont="1" applyFill="1" applyBorder="1" applyAlignment="1">
      <alignment horizontal="center"/>
    </xf>
    <xf numFmtId="164" fontId="9" fillId="8" borderId="0" xfId="1" applyFont="1" applyFill="1" applyBorder="1" applyAlignment="1">
      <alignment horizontal="center"/>
    </xf>
    <xf numFmtId="10" fontId="8" fillId="8" borderId="1" xfId="2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8" fillId="0" borderId="11" xfId="0" applyFont="1" applyBorder="1" applyAlignment="1">
      <alignment horizontal="center"/>
    </xf>
    <xf numFmtId="167" fontId="15" fillId="14" borderId="0" xfId="2" applyNumberFormat="1" applyFont="1" applyFill="1" applyAlignment="1">
      <alignment horizontal="center"/>
    </xf>
    <xf numFmtId="0" fontId="9" fillId="6" borderId="1" xfId="0" applyFont="1" applyFill="1" applyBorder="1"/>
    <xf numFmtId="164" fontId="8" fillId="0" borderId="1" xfId="1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164" fontId="8" fillId="6" borderId="1" xfId="1" applyFont="1" applyFill="1" applyBorder="1" applyAlignment="1">
      <alignment horizontal="center"/>
    </xf>
    <xf numFmtId="164" fontId="0" fillId="0" borderId="0" xfId="1" applyFont="1"/>
    <xf numFmtId="9" fontId="11" fillId="0" borderId="0" xfId="2" applyFont="1" applyBorder="1" applyAlignment="1">
      <alignment horizontal="center"/>
    </xf>
    <xf numFmtId="9" fontId="15" fillId="16" borderId="1" xfId="2" applyFont="1" applyFill="1" applyBorder="1" applyAlignment="1">
      <alignment horizontal="center"/>
    </xf>
    <xf numFmtId="164" fontId="9" fillId="16" borderId="1" xfId="1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9" fontId="11" fillId="0" borderId="6" xfId="2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/>
    <xf numFmtId="9" fontId="0" fillId="8" borderId="0" xfId="2" applyFont="1" applyFill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10" fontId="0" fillId="14" borderId="0" xfId="2" applyNumberFormat="1" applyFont="1" applyFill="1" applyAlignment="1">
      <alignment horizontal="center"/>
    </xf>
    <xf numFmtId="43" fontId="0" fillId="0" borderId="0" xfId="3" applyFont="1"/>
    <xf numFmtId="43" fontId="0" fillId="0" borderId="0" xfId="0" applyNumberFormat="1"/>
    <xf numFmtId="164" fontId="9" fillId="0" borderId="1" xfId="0" applyNumberFormat="1" applyFont="1" applyBorder="1"/>
    <xf numFmtId="10" fontId="0" fillId="0" borderId="0" xfId="2" applyNumberFormat="1" applyFont="1"/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9" fillId="17" borderId="8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9" fillId="19" borderId="8" xfId="0" applyNumberFormat="1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9" fontId="15" fillId="16" borderId="4" xfId="2" applyFont="1" applyFill="1" applyBorder="1" applyAlignment="1">
      <alignment horizontal="center" vertical="center"/>
    </xf>
    <xf numFmtId="9" fontId="15" fillId="16" borderId="6" xfId="2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6" fillId="14" borderId="9" xfId="0" applyFont="1" applyFill="1" applyBorder="1" applyAlignment="1">
      <alignment horizontal="center"/>
    </xf>
    <xf numFmtId="0" fontId="16" fillId="14" borderId="10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5" borderId="9" xfId="0" applyFont="1" applyFill="1" applyBorder="1" applyAlignment="1">
      <alignment horizontal="center"/>
    </xf>
    <xf numFmtId="0" fontId="16" fillId="15" borderId="10" xfId="0" applyFont="1" applyFill="1" applyBorder="1" applyAlignment="1">
      <alignment horizontal="center"/>
    </xf>
    <xf numFmtId="0" fontId="16" fillId="15" borderId="7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4" fillId="8" borderId="1" xfId="0" applyFont="1" applyFill="1" applyBorder="1"/>
    <xf numFmtId="0" fontId="17" fillId="14" borderId="1" xfId="0" applyFont="1" applyFill="1" applyBorder="1"/>
    <xf numFmtId="0" fontId="15" fillId="14" borderId="9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4" fillId="0" borderId="1" xfId="0" applyFont="1" applyBorder="1"/>
    <xf numFmtId="0" fontId="1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16" fillId="11" borderId="9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3" fillId="6" borderId="1" xfId="0" applyFont="1" applyFill="1" applyBorder="1"/>
    <xf numFmtId="0" fontId="12" fillId="6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64" fontId="9" fillId="11" borderId="9" xfId="1" applyFont="1" applyFill="1" applyBorder="1" applyAlignment="1"/>
    <xf numFmtId="164" fontId="9" fillId="11" borderId="10" xfId="1" applyFont="1" applyFill="1" applyBorder="1" applyAlignment="1"/>
    <xf numFmtId="164" fontId="9" fillId="11" borderId="7" xfId="1" applyFont="1" applyFill="1" applyBorder="1" applyAlignme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178596</xdr:colOff>
      <xdr:row>17</xdr:row>
      <xdr:rowOff>59530</xdr:rowOff>
    </xdr:from>
    <xdr:to>
      <xdr:col>1</xdr:col>
      <xdr:colOff>1128715</xdr:colOff>
      <xdr:row>20</xdr:row>
      <xdr:rowOff>71436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CA7C7D-CCF3-426C-B2C7-5BCE38456C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250034" y="59530"/>
          <a:ext cx="950119" cy="476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1470" y="0"/>
          <a:ext cx="950119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5B4418-0A2B-40C9-878A-9370C3095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43D1CC-8C12-4243-8E4E-2E737ED840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C944F-9881-4E26-99B6-A1A8D9B2F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6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I31" sqref="I31"/>
    </sheetView>
  </sheetViews>
  <sheetFormatPr defaultRowHeight="14.4" x14ac:dyDescent="0.3"/>
  <cols>
    <col min="1" max="1" width="1.109375" customWidth="1"/>
    <col min="2" max="2" width="21.33203125" style="20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78" t="s">
        <v>178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3">
      <c r="C20" s="67" t="s">
        <v>162</v>
      </c>
      <c r="D20" s="68"/>
      <c r="E20" s="61"/>
      <c r="F20" s="80">
        <v>0.16</v>
      </c>
      <c r="G20" s="45" t="s">
        <v>144</v>
      </c>
      <c r="H20" s="61"/>
      <c r="I20" s="80">
        <v>0.16</v>
      </c>
      <c r="J20" s="45" t="s">
        <v>144</v>
      </c>
      <c r="K20" s="61"/>
      <c r="L20" s="80">
        <v>0.16</v>
      </c>
      <c r="M20" s="45" t="s">
        <v>144</v>
      </c>
      <c r="N20" s="61"/>
      <c r="O20" s="80">
        <v>0.16</v>
      </c>
    </row>
    <row r="21" spans="2:19" x14ac:dyDescent="0.3">
      <c r="B21" s="28" t="s">
        <v>147</v>
      </c>
      <c r="C21" s="28" t="s">
        <v>23</v>
      </c>
      <c r="D21" s="28" t="s">
        <v>154</v>
      </c>
      <c r="E21" s="60" t="str">
        <f>D21</f>
        <v xml:space="preserve">SITE 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3">
      <c r="B22" s="55">
        <v>794</v>
      </c>
      <c r="C22" s="9" t="s">
        <v>28</v>
      </c>
      <c r="D22" s="42">
        <f>'POLÍTICA COMERCIAL Jan24'!C22*(1+'POLÍTICA COMERCIAL Out24'!S$19)</f>
        <v>392.18940000000003</v>
      </c>
      <c r="E22" s="42">
        <f>D22*(1+Q$19)</f>
        <v>403.95508200000006</v>
      </c>
      <c r="F22" s="52">
        <f>E22*(1-F$20)</f>
        <v>339.32226888000002</v>
      </c>
      <c r="G22" s="42">
        <f>'POLÍTICA COMERCIAL Jan24'!G22*(1+'POLÍTICA COMERCIAL Out24'!S$19)</f>
        <v>423.98940000000005</v>
      </c>
      <c r="H22" s="42">
        <f>G22*(1+Q$19)</f>
        <v>436.70908200000008</v>
      </c>
      <c r="I22" s="52">
        <f>H22*(1-I$20)</f>
        <v>366.83562888000006</v>
      </c>
      <c r="J22" s="42">
        <f>'POLÍTICA COMERCIAL Jan24'!I22*(1+'POLÍTICA COMERCIAL Out24'!S$19)</f>
        <v>455.78940000000006</v>
      </c>
      <c r="K22" s="42">
        <f>J22*(1+Q$19)</f>
        <v>469.4630820000001</v>
      </c>
      <c r="L22" s="52">
        <f>K22*(1-L$20)</f>
        <v>394.34898888000009</v>
      </c>
      <c r="M22" s="42">
        <f>'POLÍTICA COMERCIAL Jan24'!K22*(1+'POLÍTICA COMERCIAL Out24'!S$19)</f>
        <v>423.98940000000005</v>
      </c>
      <c r="N22" s="42">
        <f>M22*(1+Q$19)</f>
        <v>436.70908200000008</v>
      </c>
      <c r="O22" s="52">
        <f>N22*(1-O$20)</f>
        <v>366.83562888000006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Out24'!S$19)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376.00674888000003</v>
      </c>
      <c r="G23" s="42">
        <f>'POLÍTICA COMERCIAL Jan24'!G24*(1+'POLÍTICA COMERCIAL Out24'!S$19)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403.52010888000001</v>
      </c>
      <c r="J23" s="42">
        <f>'POLÍTICA COMERCIAL Jan24'!I24*(1+'POLÍTICA COMERCIAL Out24'!S$19)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431.03346887999999</v>
      </c>
      <c r="M23" s="42">
        <f>'POLÍTICA COMERCIAL Jan24'!K24*(1+'POLÍTICA COMERCIAL Out24'!S$19)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403.52010888000001</v>
      </c>
      <c r="Q23" s="63"/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308.6748</v>
      </c>
      <c r="G24" s="42">
        <f>413.07133004*0.93</f>
        <v>384.15633693720002</v>
      </c>
      <c r="H24" s="42">
        <v>395.68</v>
      </c>
      <c r="I24" s="52">
        <f t="shared" si="4"/>
        <v>332.37119999999999</v>
      </c>
      <c r="J24" s="42">
        <f>441.90761032*0.93</f>
        <v>410.9740775976</v>
      </c>
      <c r="K24" s="42">
        <v>423.3</v>
      </c>
      <c r="L24" s="52">
        <f t="shared" si="6"/>
        <v>355.572</v>
      </c>
      <c r="M24" s="42">
        <f>413.07133004*0.93</f>
        <v>384.15633693720002</v>
      </c>
      <c r="N24" s="42">
        <f>H24</f>
        <v>395.68</v>
      </c>
      <c r="O24" s="52">
        <f t="shared" si="8"/>
        <v>332.37119999999999</v>
      </c>
      <c r="Q24" s="64"/>
    </row>
    <row r="25" spans="2:19" x14ac:dyDescent="0.3">
      <c r="B25" s="55">
        <v>796</v>
      </c>
      <c r="C25" s="9" t="s">
        <v>30</v>
      </c>
      <c r="D25" s="42">
        <f>'POLÍTICA COMERCIAL Jan24'!C26*(1+'POLÍTICA COMERCIAL Out24'!S$19)</f>
        <v>487.58940000000001</v>
      </c>
      <c r="E25" s="42">
        <f>502.22*0.99</f>
        <v>497.19780000000003</v>
      </c>
      <c r="F25" s="52">
        <f t="shared" si="2"/>
        <v>417.64615200000003</v>
      </c>
      <c r="G25" s="42">
        <f>'POLÍTICA COMERCIAL Jan24'!G26*(1+'POLÍTICA COMERCIAL Out24'!S$19)</f>
        <v>519.38940000000002</v>
      </c>
      <c r="H25" s="42">
        <f>534.97*0.99</f>
        <v>529.62030000000004</v>
      </c>
      <c r="I25" s="52">
        <f t="shared" si="4"/>
        <v>444.88105200000001</v>
      </c>
      <c r="J25" s="42">
        <f>'POLÍTICA COMERCIAL Jan24'!I26*(1+'POLÍTICA COMERCIAL Out24'!S$19)</f>
        <v>551.18940000000009</v>
      </c>
      <c r="K25" s="42">
        <f>567.73*0.99</f>
        <v>562.05269999999996</v>
      </c>
      <c r="L25" s="52">
        <f t="shared" si="6"/>
        <v>472.12426799999997</v>
      </c>
      <c r="M25" s="42">
        <f>'POLÍTICA COMERCIAL Jan24'!K26*(1+'POLÍTICA COMERCIAL Out24'!S$19)</f>
        <v>519.38940000000002</v>
      </c>
      <c r="N25" s="42">
        <f>534.97*0.99</f>
        <v>529.62030000000004</v>
      </c>
      <c r="O25" s="52">
        <f t="shared" si="8"/>
        <v>444.88105200000001</v>
      </c>
      <c r="P25">
        <v>465</v>
      </c>
      <c r="Q25" s="66">
        <f>1-P25/I25</f>
        <v>-4.5223207213599181E-2</v>
      </c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348.34799999999996</v>
      </c>
      <c r="G26" s="42">
        <f>0.94*457.70775408</f>
        <v>430.24528883519997</v>
      </c>
      <c r="H26" s="42">
        <v>443.15</v>
      </c>
      <c r="I26" s="52">
        <f t="shared" si="4"/>
        <v>372.24599999999998</v>
      </c>
      <c r="J26" s="42">
        <f>0.94*486.47493932</f>
        <v>457.28644296079995</v>
      </c>
      <c r="K26" s="42">
        <v>471.01</v>
      </c>
      <c r="L26" s="52">
        <f t="shared" si="6"/>
        <v>395.64839999999998</v>
      </c>
      <c r="M26" s="42">
        <f>0.94*457.70775408</f>
        <v>430.24528883519997</v>
      </c>
      <c r="N26" s="42">
        <f>H26</f>
        <v>443.15</v>
      </c>
      <c r="O26" s="52">
        <f t="shared" si="8"/>
        <v>372.24599999999998</v>
      </c>
    </row>
    <row r="27" spans="2:19" x14ac:dyDescent="0.3">
      <c r="B27" s="55">
        <v>797</v>
      </c>
      <c r="C27" s="9" t="s">
        <v>31</v>
      </c>
      <c r="D27" s="42">
        <f>'POLÍTICA COMERCIAL Jan24'!C28*(1+'POLÍTICA COMERCIAL Out24'!S$19)</f>
        <v>635.98940000000005</v>
      </c>
      <c r="E27" s="42">
        <f t="shared" si="1"/>
        <v>655.06908200000009</v>
      </c>
      <c r="F27" s="52">
        <f t="shared" si="2"/>
        <v>550.2580288800001</v>
      </c>
      <c r="G27" s="42">
        <f>'POLÍTICA COMERCIAL Jan24'!G28*(1+'POLÍTICA COMERCIAL Out24'!S$19)</f>
        <v>667.7894</v>
      </c>
      <c r="H27" s="42">
        <f t="shared" si="3"/>
        <v>687.823082</v>
      </c>
      <c r="I27" s="52">
        <f t="shared" si="4"/>
        <v>577.77138888000002</v>
      </c>
      <c r="J27" s="42">
        <f>'POLÍTICA COMERCIAL Jan24'!I28*(1+'POLÍTICA COMERCIAL Out24'!S$19)</f>
        <v>710.18940000000009</v>
      </c>
      <c r="K27" s="42">
        <f t="shared" si="5"/>
        <v>731.49508200000014</v>
      </c>
      <c r="L27" s="52">
        <f t="shared" si="6"/>
        <v>614.45586888000014</v>
      </c>
      <c r="M27" s="42">
        <f>'POLÍTICA COMERCIAL Jan24'!K28*(1+'POLÍTICA COMERCIAL Out24'!S$19)</f>
        <v>667.7894</v>
      </c>
      <c r="N27" s="42">
        <f t="shared" si="7"/>
        <v>687.823082</v>
      </c>
      <c r="O27" s="52">
        <f t="shared" si="8"/>
        <v>577.77138888000002</v>
      </c>
      <c r="P27" s="15">
        <v>607</v>
      </c>
      <c r="Q27" s="66">
        <f>1-P27/I27</f>
        <v>-5.058854017790515E-2</v>
      </c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466.1832</v>
      </c>
      <c r="G28" s="42">
        <f>0.96*588.00208064</f>
        <v>564.48199741439998</v>
      </c>
      <c r="H28" s="42">
        <v>581.41999999999996</v>
      </c>
      <c r="I28" s="52">
        <f t="shared" si="4"/>
        <v>488.39279999999997</v>
      </c>
      <c r="J28" s="42">
        <f>0.95*635.30051448</f>
        <v>603.53548875599995</v>
      </c>
      <c r="K28" s="42">
        <v>621.64</v>
      </c>
      <c r="L28" s="52">
        <f t="shared" si="6"/>
        <v>522.17759999999998</v>
      </c>
      <c r="M28" s="42">
        <f>0.96*588.00208064</f>
        <v>564.48199741439998</v>
      </c>
      <c r="N28" s="42">
        <f>H28</f>
        <v>581.41999999999996</v>
      </c>
      <c r="O28" s="52">
        <f t="shared" si="8"/>
        <v>488.39279999999997</v>
      </c>
      <c r="P28" s="15"/>
      <c r="Q28" s="64"/>
    </row>
    <row r="29" spans="2:19" x14ac:dyDescent="0.3">
      <c r="B29" s="55">
        <v>799</v>
      </c>
      <c r="C29" s="9" t="s">
        <v>33</v>
      </c>
      <c r="D29" s="42">
        <f>'POLÍTICA COMERCIAL Jan24'!C31*(1+'POLÍTICA COMERCIAL Out24'!S$19)</f>
        <v>816.18940000000009</v>
      </c>
      <c r="E29" s="42">
        <f>0.99*840.68</f>
        <v>832.27319999999997</v>
      </c>
      <c r="F29" s="52">
        <f t="shared" si="2"/>
        <v>699.10948799999994</v>
      </c>
      <c r="G29" s="42">
        <f>'POLÍTICA COMERCIAL Jan24'!G31*(1+'POLÍTICA COMERCIAL Out24'!S$19)</f>
        <v>847.98940000000005</v>
      </c>
      <c r="H29" s="42">
        <f>873.43*0.99</f>
        <v>864.69569999999999</v>
      </c>
      <c r="I29" s="52">
        <f t="shared" si="4"/>
        <v>726.34438799999998</v>
      </c>
      <c r="J29" s="42">
        <f>'POLÍTICA COMERCIAL Jan24'!I31*(1+'POLÍTICA COMERCIAL Out24'!S$19)</f>
        <v>890.38940000000002</v>
      </c>
      <c r="K29" s="42">
        <f>917.1*0.99</f>
        <v>907.92899999999997</v>
      </c>
      <c r="L29" s="52">
        <f t="shared" si="6"/>
        <v>762.66035999999997</v>
      </c>
      <c r="M29" s="42">
        <f>'POLÍTICA COMERCIAL Jan24'!K31*(1+'POLÍTICA COMERCIAL Out24'!S$19)</f>
        <v>847.98940000000005</v>
      </c>
      <c r="N29" s="42">
        <f>873.43*0.99</f>
        <v>864.69569999999999</v>
      </c>
      <c r="O29" s="52">
        <f t="shared" si="8"/>
        <v>726.34438799999998</v>
      </c>
      <c r="P29">
        <v>754</v>
      </c>
      <c r="Q29" s="66">
        <f>1-P29/I29</f>
        <v>-3.8075068048849525E-2</v>
      </c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600.35640000000001</v>
      </c>
      <c r="G30" s="42">
        <f>0.96*747.62293324</f>
        <v>717.71801591039991</v>
      </c>
      <c r="H30" s="42">
        <v>739.25</v>
      </c>
      <c r="I30" s="52">
        <f t="shared" si="4"/>
        <v>620.97</v>
      </c>
      <c r="J30" s="42">
        <f>0.955*789.98477324</f>
        <v>754.43545844419998</v>
      </c>
      <c r="K30" s="42">
        <v>777.07</v>
      </c>
      <c r="L30" s="52">
        <f t="shared" si="6"/>
        <v>652.73879999999997</v>
      </c>
      <c r="M30" s="42">
        <f>0.96*747.62293324</f>
        <v>717.71801591039991</v>
      </c>
      <c r="N30" s="42">
        <f>H30</f>
        <v>739.25</v>
      </c>
      <c r="O30" s="52">
        <f t="shared" si="8"/>
        <v>620.97</v>
      </c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Out24'!S$19)</f>
        <v>413.38940000000002</v>
      </c>
      <c r="E31" s="42">
        <f>425.79*0.97</f>
        <v>413.0163</v>
      </c>
      <c r="F31" s="52">
        <f t="shared" si="2"/>
        <v>346.93369200000001</v>
      </c>
      <c r="G31" s="42">
        <f>'POLÍTICA COMERCIAL Jan24'!G33*(1+'POLÍTICA COMERCIAL Out24'!S$19)</f>
        <v>445.18940000000003</v>
      </c>
      <c r="H31" s="42">
        <f>458.55*0.97</f>
        <v>444.79349999999999</v>
      </c>
      <c r="I31" s="52">
        <f t="shared" si="4"/>
        <v>373.62653999999998</v>
      </c>
      <c r="J31" s="42">
        <f>'POLÍTICA COMERCIAL Jan24'!I33*(1+'POLÍTICA COMERCIAL Out24'!S$19)</f>
        <v>466.38940000000002</v>
      </c>
      <c r="K31" s="42">
        <f>480.38*0.97</f>
        <v>465.96859999999998</v>
      </c>
      <c r="L31" s="52">
        <f t="shared" si="6"/>
        <v>391.41362399999997</v>
      </c>
      <c r="M31" s="42">
        <f>'POLÍTICA COMERCIAL Jan24'!K33*(1+'POLÍTICA COMERCIAL Out24'!S$19)</f>
        <v>445.18940000000003</v>
      </c>
      <c r="N31" s="42">
        <f>458.55*0.97</f>
        <v>444.79349999999999</v>
      </c>
      <c r="O31" s="52">
        <f t="shared" si="8"/>
        <v>373.62653999999998</v>
      </c>
    </row>
    <row r="32" spans="2:19" x14ac:dyDescent="0.3">
      <c r="B32" s="55">
        <v>801</v>
      </c>
      <c r="C32" s="9" t="s">
        <v>35</v>
      </c>
      <c r="D32" s="42">
        <f>'POLÍTICA COMERCIAL Jan24'!C34*(1+'POLÍTICA COMERCIAL Out24'!S$19)</f>
        <v>493.94940000000003</v>
      </c>
      <c r="E32" s="42">
        <f>508.77*0.99</f>
        <v>503.6823</v>
      </c>
      <c r="F32" s="52">
        <f t="shared" si="2"/>
        <v>423.09313199999997</v>
      </c>
      <c r="G32" s="42">
        <f>'POLÍTICA COMERCIAL Jan24'!G34*(1+'POLÍTICA COMERCIAL Out24'!S$19)</f>
        <v>525.74940000000004</v>
      </c>
      <c r="H32" s="42">
        <f>541.52*0.99</f>
        <v>536.10479999999995</v>
      </c>
      <c r="I32" s="52">
        <f t="shared" si="4"/>
        <v>450.32803199999995</v>
      </c>
      <c r="J32" s="42">
        <f>'POLÍTICA COMERCIAL Jan24'!I34*(1+'POLÍTICA COMERCIAL Out24'!S$19)</f>
        <v>568.14940000000001</v>
      </c>
      <c r="K32" s="42">
        <f>0.99*585.19</f>
        <v>579.33810000000005</v>
      </c>
      <c r="L32" s="52">
        <f t="shared" si="6"/>
        <v>486.64400400000005</v>
      </c>
      <c r="M32" s="42">
        <f>'POLÍTICA COMERCIAL Jan24'!K34*(1+'POLÍTICA COMERCIAL Out24'!S$19)</f>
        <v>525.74940000000004</v>
      </c>
      <c r="N32" s="42">
        <f>541.52*0.99</f>
        <v>536.10479999999995</v>
      </c>
      <c r="O32" s="52">
        <f t="shared" si="8"/>
        <v>450.32803199999995</v>
      </c>
      <c r="P32">
        <v>465</v>
      </c>
      <c r="Q32" s="66">
        <f>1-P32/I32</f>
        <v>-3.2580623362127303E-2</v>
      </c>
    </row>
    <row r="33" spans="2:17" x14ac:dyDescent="0.3">
      <c r="B33" s="55">
        <v>802</v>
      </c>
      <c r="C33" s="9" t="s">
        <v>34</v>
      </c>
      <c r="D33" s="42">
        <f>'POLÍTICA COMERCIAL Jan24'!C35*(1+'POLÍTICA COMERCIAL Out24'!S$19)</f>
        <v>625.38940000000002</v>
      </c>
      <c r="E33" s="42">
        <f t="shared" si="1"/>
        <v>644.15108200000009</v>
      </c>
      <c r="F33" s="52">
        <f t="shared" si="2"/>
        <v>541.08690888000001</v>
      </c>
      <c r="G33" s="42">
        <f>'POLÍTICA COMERCIAL Jan24'!G35*(1+'POLÍTICA COMERCIAL Out24'!S$19)</f>
        <v>657.18940000000009</v>
      </c>
      <c r="H33" s="42">
        <f t="shared" si="3"/>
        <v>676.90508200000011</v>
      </c>
      <c r="I33" s="52">
        <f t="shared" si="4"/>
        <v>568.60026888000004</v>
      </c>
      <c r="J33" s="42">
        <f>'POLÍTICA COMERCIAL Jan24'!I35*(1+'POLÍTICA COMERCIAL Out24'!S$19)</f>
        <v>731.38940000000002</v>
      </c>
      <c r="K33" s="42">
        <f t="shared" si="5"/>
        <v>753.33108200000004</v>
      </c>
      <c r="L33" s="52">
        <f t="shared" si="6"/>
        <v>632.79810887999997</v>
      </c>
      <c r="M33" s="42">
        <f>'POLÍTICA COMERCIAL Jan24'!K35*(1+'POLÍTICA COMERCIAL Out24'!S$19)</f>
        <v>657.18940000000009</v>
      </c>
      <c r="N33" s="42">
        <f t="shared" si="7"/>
        <v>676.90508200000011</v>
      </c>
      <c r="O33" s="52">
        <f t="shared" si="8"/>
        <v>568.60026888000004</v>
      </c>
      <c r="P33">
        <v>588</v>
      </c>
      <c r="Q33" s="66">
        <f>1-P33/I33</f>
        <v>-3.411839948337092E-2</v>
      </c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Out24'!S$19)</f>
        <v>669.57038682500001</v>
      </c>
      <c r="E34" s="42">
        <f t="shared" si="1"/>
        <v>689.65749842975004</v>
      </c>
      <c r="F34" s="52">
        <f t="shared" si="2"/>
        <v>579.31229868099001</v>
      </c>
      <c r="G34" s="42">
        <f>'POLÍTICA COMERCIAL Jan24'!G36*(1+'POLÍTICA COMERCIAL Out24'!S$19)</f>
        <v>775.37993000000006</v>
      </c>
      <c r="H34" s="42">
        <f t="shared" si="3"/>
        <v>798.64132790000008</v>
      </c>
      <c r="I34" s="52">
        <f t="shared" si="4"/>
        <v>670.85871543600001</v>
      </c>
      <c r="J34" s="42">
        <f>'POLÍTICA COMERCIAL Jan24'!I36*(1+'POLÍTICA COMERCIAL Out24'!S$19)</f>
        <v>815.65993000000003</v>
      </c>
      <c r="K34" s="42">
        <f t="shared" si="5"/>
        <v>840.12972790000003</v>
      </c>
      <c r="L34" s="52">
        <f t="shared" si="6"/>
        <v>705.70897143599996</v>
      </c>
      <c r="M34" s="42">
        <f>'POLÍTICA COMERCIAL Jan24'!K36*(1+'POLÍTICA COMERCIAL Out24'!S$19)</f>
        <v>775.37993000000006</v>
      </c>
      <c r="N34" s="42">
        <f t="shared" si="7"/>
        <v>798.64132790000008</v>
      </c>
      <c r="O34" s="52">
        <f t="shared" si="8"/>
        <v>670.85871543600001</v>
      </c>
      <c r="P34">
        <v>727</v>
      </c>
      <c r="Q34" s="66">
        <f>1-P34/I34</f>
        <v>-8.3685705010947187E-2</v>
      </c>
    </row>
    <row r="35" spans="2:17" x14ac:dyDescent="0.3">
      <c r="B35" s="55" t="s">
        <v>151</v>
      </c>
      <c r="C35" s="9" t="s">
        <v>37</v>
      </c>
      <c r="D35" s="42">
        <f>'POLÍTICA COMERCIAL Jan24'!C38*(1+'POLÍTICA COMERCIAL Out24'!S$19)</f>
        <v>58.194000000000003</v>
      </c>
      <c r="E35" s="42">
        <f t="shared" si="1"/>
        <v>59.939820000000005</v>
      </c>
      <c r="F35" s="52">
        <f t="shared" si="2"/>
        <v>50.349448800000005</v>
      </c>
      <c r="G35" s="42">
        <f>'POLÍTICA COMERCIAL Jan24'!G38*(1+'POLÍTICA COMERCIAL Out24'!S$19)</f>
        <v>64.861188000000013</v>
      </c>
      <c r="H35" s="42">
        <f t="shared" si="3"/>
        <v>66.807023640000011</v>
      </c>
      <c r="I35" s="52">
        <f t="shared" si="4"/>
        <v>56.117899857600008</v>
      </c>
      <c r="J35" s="42">
        <f>'POLÍTICA COMERCIAL Jan24'!I38*(1+'POLÍTICA COMERCIAL Out24'!S$19)</f>
        <v>70.169880000000006</v>
      </c>
      <c r="K35" s="42">
        <f t="shared" si="5"/>
        <v>72.274976400000014</v>
      </c>
      <c r="L35" s="52">
        <f t="shared" si="6"/>
        <v>60.710980176000007</v>
      </c>
      <c r="M35" s="42">
        <f>'POLÍTICA COMERCIAL Jan24'!K38*(1+'POLÍTICA COMERCIAL Out24'!S$19)</f>
        <v>64.861188000000013</v>
      </c>
      <c r="N35" s="42">
        <f t="shared" si="7"/>
        <v>66.807023640000011</v>
      </c>
      <c r="O35" s="52">
        <f t="shared" si="8"/>
        <v>56.117899857600008</v>
      </c>
    </row>
    <row r="36" spans="2:17" x14ac:dyDescent="0.3">
      <c r="B36" s="55" t="s">
        <v>150</v>
      </c>
      <c r="C36" s="9" t="s">
        <v>36</v>
      </c>
      <c r="D36" s="42">
        <f>'POLÍTICA COMERCIAL Jan24'!C39*(1+'POLÍTICA COMERCIAL Out24'!S$19)</f>
        <v>55.284299999999995</v>
      </c>
      <c r="E36" s="42">
        <f t="shared" si="1"/>
        <v>56.942828999999996</v>
      </c>
      <c r="F36" s="52">
        <f t="shared" si="2"/>
        <v>47.831976359999992</v>
      </c>
      <c r="G36" s="42">
        <f>'POLÍTICA COMERCIAL Jan24'!G39*(1+'POLÍTICA COMERCIAL Out24'!S$19)</f>
        <v>61.618128600000006</v>
      </c>
      <c r="H36" s="42">
        <f t="shared" si="3"/>
        <v>63.466672458000005</v>
      </c>
      <c r="I36" s="52">
        <f t="shared" si="4"/>
        <v>53.312004864720002</v>
      </c>
      <c r="J36" s="42">
        <f>'POLÍTICA COMERCIAL Jan24'!I39*(1+'POLÍTICA COMERCIAL Out24'!S$19)</f>
        <v>66.661386000000007</v>
      </c>
      <c r="K36" s="42">
        <f t="shared" si="5"/>
        <v>68.661227580000016</v>
      </c>
      <c r="L36" s="52">
        <f t="shared" si="6"/>
        <v>57.67543116720001</v>
      </c>
      <c r="M36" s="42">
        <f>'POLÍTICA COMERCIAL Jan24'!K39*(1+'POLÍTICA COMERCIAL Out24'!S$19)</f>
        <v>61.618128600000006</v>
      </c>
      <c r="N36" s="42">
        <f t="shared" si="7"/>
        <v>63.466672458000005</v>
      </c>
      <c r="O36" s="52">
        <f t="shared" si="8"/>
        <v>53.312004864720002</v>
      </c>
    </row>
    <row r="37" spans="2:17" x14ac:dyDescent="0.3">
      <c r="B37" s="55">
        <v>681</v>
      </c>
      <c r="C37" s="9" t="s">
        <v>38</v>
      </c>
      <c r="D37" s="42">
        <f>'POLÍTICA COMERCIAL Jan24'!C40*(1+'POLÍTICA COMERCIAL Out24'!S$19)</f>
        <v>83.740000000000009</v>
      </c>
      <c r="E37" s="42">
        <f t="shared" si="1"/>
        <v>86.252200000000016</v>
      </c>
      <c r="F37" s="52">
        <f t="shared" si="2"/>
        <v>72.451848000000012</v>
      </c>
      <c r="G37" s="42">
        <f>'POLÍTICA COMERCIAL Jan24'!G40*(1+'POLÍTICA COMERCIAL Out24'!S$19)</f>
        <v>96.226800000000011</v>
      </c>
      <c r="H37" s="42">
        <f t="shared" si="3"/>
        <v>99.113604000000009</v>
      </c>
      <c r="I37" s="52">
        <f t="shared" si="4"/>
        <v>83.255427359999999</v>
      </c>
      <c r="J37" s="42">
        <f>'POLÍTICA COMERCIAL Jan24'!I40*(1+'POLÍTICA COMERCIAL Out24'!S$19)</f>
        <v>107.03880000000001</v>
      </c>
      <c r="K37" s="42">
        <f t="shared" si="5"/>
        <v>110.24996400000001</v>
      </c>
      <c r="L37" s="52">
        <f t="shared" si="6"/>
        <v>92.609969759999998</v>
      </c>
      <c r="M37" s="42">
        <f>'POLÍTICA COMERCIAL Jan24'!K40*(1+'POLÍTICA COMERCIAL Out24'!S$19)</f>
        <v>96.226800000000011</v>
      </c>
      <c r="N37" s="42">
        <f t="shared" si="7"/>
        <v>99.113604000000009</v>
      </c>
      <c r="O37" s="52">
        <f t="shared" si="8"/>
        <v>83.255427359999999</v>
      </c>
    </row>
    <row r="38" spans="2:17" x14ac:dyDescent="0.3">
      <c r="B38" s="55" t="s">
        <v>149</v>
      </c>
      <c r="C38" s="9" t="s">
        <v>39</v>
      </c>
      <c r="D38" s="42">
        <f>'POLÍTICA COMERCIAL Jan24'!C41*(1+'POLÍTICA COMERCIAL Out24'!S$19)</f>
        <v>73.14</v>
      </c>
      <c r="E38" s="42">
        <f t="shared" si="1"/>
        <v>75.334199999999996</v>
      </c>
      <c r="F38" s="52">
        <f t="shared" si="2"/>
        <v>63.280727999999996</v>
      </c>
      <c r="G38" s="42">
        <f>'POLÍTICA COMERCIAL Jan24'!G41*(1+'POLÍTICA COMERCIAL Out24'!S$19)</f>
        <v>83.634000000000015</v>
      </c>
      <c r="H38" s="42">
        <f t="shared" si="3"/>
        <v>86.143020000000021</v>
      </c>
      <c r="I38" s="52">
        <f t="shared" si="4"/>
        <v>72.360136800000021</v>
      </c>
      <c r="J38" s="42">
        <f>'POLÍTICA COMERCIAL Jan24'!I41*(1+'POLÍTICA COMERCIAL Out24'!S$19)</f>
        <v>93.174000000000007</v>
      </c>
      <c r="K38" s="42">
        <f t="shared" si="5"/>
        <v>95.969220000000007</v>
      </c>
      <c r="L38" s="52">
        <f t="shared" si="6"/>
        <v>80.614144800000005</v>
      </c>
      <c r="M38" s="42">
        <f>'POLÍTICA COMERCIAL Jan24'!K41*(1+'POLÍTICA COMERCIAL Out24'!S$19)</f>
        <v>83.634000000000015</v>
      </c>
      <c r="N38" s="42">
        <f t="shared" si="7"/>
        <v>86.143020000000021</v>
      </c>
      <c r="O38" s="52">
        <f t="shared" si="8"/>
        <v>72.360136800000021</v>
      </c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 xml:space="preserve">SITE 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3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3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76" t="s">
        <v>179</v>
      </c>
      <c r="C64" s="9" t="str">
        <f>C23</f>
        <v>FONTE 60A</v>
      </c>
      <c r="D64" s="42">
        <f>D23</f>
        <v>434.58940000000001</v>
      </c>
      <c r="E64" s="65">
        <f>E23</f>
        <v>447.62708200000003</v>
      </c>
      <c r="F64" s="52">
        <f>E64*(1-F$42)</f>
        <v>380.4830197</v>
      </c>
      <c r="G64" s="42">
        <f>G23</f>
        <v>466.38940000000002</v>
      </c>
      <c r="H64" s="65">
        <f>H23</f>
        <v>480.38108200000005</v>
      </c>
      <c r="I64" s="52">
        <f>H64*(1-I$42)</f>
        <v>408.32391970000003</v>
      </c>
      <c r="J64" s="42">
        <f>J23</f>
        <v>498.18940000000003</v>
      </c>
      <c r="K64" s="65">
        <f>K23</f>
        <v>513.13508200000001</v>
      </c>
      <c r="L64" s="52">
        <f>K64*(1-L$42)</f>
        <v>436.16481970000001</v>
      </c>
      <c r="M64" s="42">
        <f>M23</f>
        <v>466.38940000000002</v>
      </c>
      <c r="N64" s="65">
        <f>N23</f>
        <v>480.38108200000005</v>
      </c>
      <c r="O64" s="52">
        <f>N64*(1-O$42)</f>
        <v>408.32391970000003</v>
      </c>
    </row>
    <row r="65" spans="2:15" x14ac:dyDescent="0.3">
      <c r="B65" s="77"/>
      <c r="C65" s="9" t="str">
        <f>C31</f>
        <v>FONTE 90 BOB</v>
      </c>
      <c r="D65" s="42">
        <f>D27</f>
        <v>635.98940000000005</v>
      </c>
      <c r="E65" s="42">
        <f>E31</f>
        <v>413.0163</v>
      </c>
      <c r="F65" s="52">
        <f t="shared" ref="F65:F66" si="9">E65*(1-F$42)</f>
        <v>351.06385499999999</v>
      </c>
      <c r="G65" s="42">
        <f>G27</f>
        <v>667.7894</v>
      </c>
      <c r="H65" s="42">
        <f>H31</f>
        <v>444.79349999999999</v>
      </c>
      <c r="I65" s="52">
        <f t="shared" ref="I65:I66" si="10">H65*(1-I$42)</f>
        <v>378.07447500000001</v>
      </c>
      <c r="J65" s="42">
        <f>J27</f>
        <v>710.18940000000009</v>
      </c>
      <c r="K65" s="42">
        <f>K31</f>
        <v>465.96859999999998</v>
      </c>
      <c r="L65" s="52">
        <f t="shared" ref="L65:L66" si="11">K65*(1-L$42)</f>
        <v>396.07330999999999</v>
      </c>
      <c r="M65" s="42">
        <f>M27</f>
        <v>667.7894</v>
      </c>
      <c r="N65" s="42">
        <f>N31</f>
        <v>444.79349999999999</v>
      </c>
      <c r="O65" s="52">
        <f t="shared" ref="O65:O66" si="12">N65*(1-O$42)</f>
        <v>378.07447500000001</v>
      </c>
    </row>
    <row r="66" spans="2:15" x14ac:dyDescent="0.3">
      <c r="B66" s="77"/>
      <c r="C66" s="9" t="str">
        <f>C32</f>
        <v>FONTE 120 BOB</v>
      </c>
      <c r="D66" s="42">
        <f>D29</f>
        <v>816.18940000000009</v>
      </c>
      <c r="E66" s="42">
        <f>E32</f>
        <v>503.6823</v>
      </c>
      <c r="F66" s="52">
        <f t="shared" si="9"/>
        <v>428.129955</v>
      </c>
      <c r="G66" s="42">
        <f>G29</f>
        <v>847.98940000000005</v>
      </c>
      <c r="H66" s="42">
        <f>H32</f>
        <v>536.10479999999995</v>
      </c>
      <c r="I66" s="52">
        <f t="shared" si="10"/>
        <v>455.68907999999993</v>
      </c>
      <c r="J66" s="42">
        <f>J29</f>
        <v>890.38940000000002</v>
      </c>
      <c r="K66" s="42">
        <f>K32</f>
        <v>579.33810000000005</v>
      </c>
      <c r="L66" s="52">
        <f t="shared" si="11"/>
        <v>492.43738500000001</v>
      </c>
      <c r="M66" s="42">
        <f>M29</f>
        <v>847.98940000000005</v>
      </c>
      <c r="N66" s="42">
        <f>N32</f>
        <v>536.10479999999995</v>
      </c>
      <c r="O66" s="52">
        <f t="shared" si="12"/>
        <v>455.68907999999993</v>
      </c>
    </row>
  </sheetData>
  <mergeCells count="12">
    <mergeCell ref="B64:B66"/>
    <mergeCell ref="C19:O19"/>
    <mergeCell ref="C20:D20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2"/>
  <sheetViews>
    <sheetView showGridLines="0" zoomScale="80" zoomScaleNormal="80" workbookViewId="0">
      <pane xSplit="7" ySplit="19" topLeftCell="H25" activePane="bottomRight" state="frozen"/>
      <selection pane="topRight" activeCell="H1" sqref="H1"/>
      <selection pane="bottomLeft" activeCell="A20" sqref="A20"/>
      <selection pane="bottomRight" activeCell="M49" sqref="M49"/>
    </sheetView>
  </sheetViews>
  <sheetFormatPr defaultRowHeight="14.4" x14ac:dyDescent="0.3"/>
  <cols>
    <col min="1" max="1" width="1.109375" customWidth="1"/>
    <col min="2" max="2" width="16.33203125" customWidth="1"/>
    <col min="3" max="6" width="15.5546875" customWidth="1"/>
    <col min="7" max="7" width="16.6640625" hidden="1" customWidth="1"/>
    <col min="8" max="8" width="2" customWidth="1"/>
    <col min="9" max="9" width="0" hidden="1" customWidth="1"/>
    <col min="10" max="10" width="16.33203125" customWidth="1"/>
    <col min="11" max="14" width="15.5546875" customWidth="1"/>
    <col min="15" max="15" width="16.6640625" customWidth="1"/>
    <col min="16" max="16" width="2" customWidth="1"/>
    <col min="17" max="17" width="16.33203125" customWidth="1"/>
    <col min="18" max="21" width="15.5546875" customWidth="1"/>
    <col min="22" max="22" width="16.6640625" customWidth="1"/>
    <col min="23" max="23" width="2" customWidth="1"/>
    <col min="24" max="29" width="9.109375" customWidth="1"/>
    <col min="30" max="30" width="2" customWidth="1"/>
    <col min="35" max="36" width="0" hidden="1" customWidth="1"/>
  </cols>
  <sheetData>
    <row r="1" spans="2:7" ht="4.5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3"/>
    <row r="17" spans="2:36" ht="12.75" hidden="1" customHeight="1" x14ac:dyDescent="0.3">
      <c r="B17" s="12" t="s">
        <v>50</v>
      </c>
      <c r="C17" s="13">
        <v>0.02</v>
      </c>
    </row>
    <row r="18" spans="2:36" x14ac:dyDescent="0.3">
      <c r="B18" s="86" t="s">
        <v>96</v>
      </c>
      <c r="C18" s="87"/>
      <c r="D18" s="87"/>
      <c r="E18" s="87"/>
      <c r="F18" s="87"/>
      <c r="G18" s="88"/>
      <c r="J18" s="89" t="s">
        <v>87</v>
      </c>
      <c r="K18" s="90"/>
      <c r="L18" s="90"/>
      <c r="M18" s="90"/>
      <c r="N18" s="90"/>
      <c r="O18" s="91"/>
      <c r="Q18" s="89" t="s">
        <v>91</v>
      </c>
      <c r="R18" s="90"/>
      <c r="S18" s="90"/>
      <c r="T18" s="90"/>
      <c r="U18" s="90"/>
      <c r="V18" s="91"/>
      <c r="X18" s="89" t="s">
        <v>107</v>
      </c>
      <c r="Y18" s="90"/>
      <c r="Z18" s="90"/>
      <c r="AA18" s="90"/>
      <c r="AB18" s="90"/>
      <c r="AC18" s="91"/>
      <c r="AE18" s="67" t="s">
        <v>108</v>
      </c>
      <c r="AF18" s="68"/>
      <c r="AG18" s="68"/>
      <c r="AH18" s="68"/>
      <c r="AI18" s="68"/>
      <c r="AJ18" s="92"/>
    </row>
    <row r="19" spans="2:36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J19" s="30" t="s">
        <v>23</v>
      </c>
      <c r="K19" s="30" t="s">
        <v>24</v>
      </c>
      <c r="L19" s="30" t="s">
        <v>25</v>
      </c>
      <c r="M19" s="30" t="s">
        <v>26</v>
      </c>
      <c r="N19" s="30" t="s">
        <v>27</v>
      </c>
      <c r="O19" s="30" t="str">
        <f>G19</f>
        <v xml:space="preserve"> MARKETPLACES</v>
      </c>
      <c r="Q19" s="30" t="s">
        <v>23</v>
      </c>
      <c r="R19" s="30" t="s">
        <v>24</v>
      </c>
      <c r="S19" s="30" t="s">
        <v>25</v>
      </c>
      <c r="T19" s="30" t="s">
        <v>26</v>
      </c>
      <c r="U19" s="30" t="s">
        <v>27</v>
      </c>
      <c r="V19" s="30" t="str">
        <f>N19</f>
        <v>PREMIUM ML</v>
      </c>
    </row>
    <row r="20" spans="2:36" x14ac:dyDescent="0.3">
      <c r="B20" s="9" t="s">
        <v>28</v>
      </c>
      <c r="C20" s="7">
        <v>369.99</v>
      </c>
      <c r="D20" s="7">
        <v>399.99</v>
      </c>
      <c r="E20" s="7">
        <v>399.99</v>
      </c>
      <c r="F20" s="7">
        <v>429.99</v>
      </c>
      <c r="G20" s="7">
        <v>409.99</v>
      </c>
      <c r="J20" s="32"/>
      <c r="K20" s="33"/>
      <c r="L20" s="33"/>
      <c r="M20" s="33"/>
      <c r="N20" s="33"/>
      <c r="O20" s="33"/>
      <c r="Q20" s="32"/>
      <c r="R20" s="33"/>
      <c r="S20" s="33"/>
      <c r="T20" s="33"/>
      <c r="U20" s="33"/>
      <c r="V20" s="33"/>
    </row>
    <row r="21" spans="2:36" x14ac:dyDescent="0.3">
      <c r="B21" s="9" t="s">
        <v>29</v>
      </c>
      <c r="C21" s="7">
        <v>409.99</v>
      </c>
      <c r="D21" s="7">
        <v>439.99</v>
      </c>
      <c r="E21" s="7">
        <v>439.99</v>
      </c>
      <c r="F21" s="7">
        <v>469.99</v>
      </c>
      <c r="G21" s="7">
        <v>449.99</v>
      </c>
      <c r="J21" s="32"/>
      <c r="K21" s="33"/>
      <c r="L21" s="33"/>
      <c r="M21" s="33"/>
      <c r="N21" s="33"/>
      <c r="O21" s="33"/>
      <c r="Q21" s="32"/>
      <c r="R21" s="33"/>
      <c r="S21" s="33"/>
      <c r="T21" s="33"/>
      <c r="U21" s="33"/>
      <c r="V21" s="33"/>
    </row>
    <row r="22" spans="2:36" x14ac:dyDescent="0.3">
      <c r="B22" s="17" t="s">
        <v>53</v>
      </c>
      <c r="C22" s="31">
        <f>345.46*1.03</f>
        <v>355.82380000000001</v>
      </c>
      <c r="D22" s="31">
        <f>375.46*1.03</f>
        <v>386.72379999999998</v>
      </c>
      <c r="E22" s="31">
        <f>375.46*1.03</f>
        <v>386.72379999999998</v>
      </c>
      <c r="F22" s="31">
        <f>405.46*1.03</f>
        <v>417.62380000000002</v>
      </c>
      <c r="G22" s="31">
        <f>E22</f>
        <v>386.72379999999998</v>
      </c>
      <c r="J22" s="34"/>
      <c r="K22" s="35"/>
      <c r="L22" s="35"/>
      <c r="M22" s="35"/>
      <c r="N22" s="35"/>
      <c r="O22" s="35"/>
      <c r="Q22" s="34"/>
      <c r="R22" s="35"/>
      <c r="S22" s="35"/>
      <c r="T22" s="35"/>
      <c r="U22" s="35"/>
      <c r="V22" s="35"/>
    </row>
    <row r="23" spans="2:36" x14ac:dyDescent="0.3">
      <c r="B23" s="17" t="s">
        <v>30</v>
      </c>
      <c r="C23" s="31">
        <v>459.99</v>
      </c>
      <c r="D23" s="31">
        <v>489.99</v>
      </c>
      <c r="E23" s="31">
        <v>489.99</v>
      </c>
      <c r="F23" s="31">
        <v>519.99</v>
      </c>
      <c r="G23" s="31">
        <f>E23+10</f>
        <v>499.99</v>
      </c>
      <c r="J23" s="17" t="s">
        <v>30</v>
      </c>
      <c r="K23" s="31">
        <v>469</v>
      </c>
      <c r="L23" s="31"/>
      <c r="M23" s="31">
        <v>499</v>
      </c>
      <c r="N23" s="31">
        <v>529</v>
      </c>
      <c r="O23" s="31">
        <v>499</v>
      </c>
      <c r="Q23" s="17" t="s">
        <v>30</v>
      </c>
      <c r="R23" s="31">
        <v>449</v>
      </c>
      <c r="S23" s="31">
        <v>479</v>
      </c>
      <c r="T23" s="31">
        <v>479</v>
      </c>
      <c r="U23" s="31">
        <v>509</v>
      </c>
      <c r="V23" s="31">
        <v>494</v>
      </c>
      <c r="X23" s="37">
        <f>K23/R23-1</f>
        <v>4.4543429844098092E-2</v>
      </c>
      <c r="Y23" s="37"/>
      <c r="Z23" s="37">
        <f t="shared" ref="Z23:AA23" si="1">M23/T23-1</f>
        <v>4.175365344467652E-2</v>
      </c>
      <c r="AA23" s="37">
        <f t="shared" si="1"/>
        <v>3.9292730844793677E-2</v>
      </c>
      <c r="AE23" s="37">
        <f>C23/K23-1</f>
        <v>-1.9211087420042627E-2</v>
      </c>
      <c r="AF23" s="37"/>
      <c r="AG23" s="37">
        <f t="shared" ref="AG23:AH23" si="2">E23/M23-1</f>
        <v>-1.8056112224448917E-2</v>
      </c>
      <c r="AH23" s="37">
        <f t="shared" si="2"/>
        <v>-1.7032136105860074E-2</v>
      </c>
    </row>
    <row r="24" spans="2:36" x14ac:dyDescent="0.3">
      <c r="B24" s="17" t="s">
        <v>54</v>
      </c>
      <c r="C24" s="31">
        <f>382.18*1.03</f>
        <v>393.6454</v>
      </c>
      <c r="D24" s="31">
        <f>412.18*1.03</f>
        <v>424.54540000000003</v>
      </c>
      <c r="E24" s="31">
        <f>412.18*1.03</f>
        <v>424.54540000000003</v>
      </c>
      <c r="F24" s="31">
        <f>442.18*1.03</f>
        <v>455.44540000000001</v>
      </c>
      <c r="G24" s="31">
        <f>E24</f>
        <v>424.54540000000003</v>
      </c>
      <c r="J24" s="17" t="s">
        <v>88</v>
      </c>
      <c r="K24" s="31">
        <v>439</v>
      </c>
      <c r="L24" s="31"/>
      <c r="M24" s="31">
        <v>469</v>
      </c>
      <c r="N24" s="31">
        <v>499</v>
      </c>
      <c r="O24" s="31">
        <v>469</v>
      </c>
      <c r="Q24" s="17" t="s">
        <v>88</v>
      </c>
      <c r="R24" s="31">
        <v>419</v>
      </c>
      <c r="S24" s="31">
        <v>449</v>
      </c>
      <c r="T24" s="31">
        <v>449</v>
      </c>
      <c r="U24" s="31">
        <v>479</v>
      </c>
      <c r="V24" s="31">
        <v>464</v>
      </c>
      <c r="X24" s="37">
        <f>K24/R24-1</f>
        <v>4.7732696897374804E-2</v>
      </c>
      <c r="Y24" s="37"/>
      <c r="Z24" s="37">
        <f t="shared" ref="Z24:Z26" si="3">M24/T24-1</f>
        <v>4.4543429844098092E-2</v>
      </c>
      <c r="AA24" s="37">
        <f t="shared" ref="AA24:AA26" si="4">N24/U24-1</f>
        <v>4.175365344467652E-2</v>
      </c>
      <c r="AE24" s="37">
        <f t="shared" ref="AE24:AE28" si="5">C24/K24-1</f>
        <v>-0.1033134396355353</v>
      </c>
      <c r="AF24" s="37"/>
      <c r="AG24" s="37">
        <f t="shared" ref="AG24:AG28" si="6">E24/M24-1</f>
        <v>-9.4785927505330436E-2</v>
      </c>
      <c r="AH24" s="37">
        <f t="shared" ref="AH24:AH28" si="7">F24/N24-1</f>
        <v>-8.7283767535070167E-2</v>
      </c>
    </row>
    <row r="25" spans="2:36" x14ac:dyDescent="0.3">
      <c r="B25" s="17" t="s">
        <v>31</v>
      </c>
      <c r="C25" s="31">
        <v>599.99</v>
      </c>
      <c r="D25" s="31">
        <v>629.99</v>
      </c>
      <c r="E25" s="31">
        <v>629.99</v>
      </c>
      <c r="F25" s="31">
        <v>669.99</v>
      </c>
      <c r="G25" s="31">
        <f>E25+10</f>
        <v>639.99</v>
      </c>
      <c r="J25" s="17" t="s">
        <v>31</v>
      </c>
      <c r="K25" s="31">
        <v>609</v>
      </c>
      <c r="L25" s="31"/>
      <c r="M25" s="31">
        <v>649</v>
      </c>
      <c r="N25" s="31">
        <v>689</v>
      </c>
      <c r="O25" s="31">
        <v>649</v>
      </c>
      <c r="Q25" s="17" t="s">
        <v>31</v>
      </c>
      <c r="R25" s="31">
        <v>579</v>
      </c>
      <c r="S25" s="31">
        <v>619</v>
      </c>
      <c r="T25" s="31">
        <v>619</v>
      </c>
      <c r="U25" s="31">
        <v>659</v>
      </c>
      <c r="V25" s="31">
        <v>639</v>
      </c>
      <c r="X25" s="37">
        <f>K25/R25-1</f>
        <v>5.1813471502590636E-2</v>
      </c>
      <c r="Y25" s="37"/>
      <c r="Z25" s="37">
        <f t="shared" si="3"/>
        <v>4.8465266558965991E-2</v>
      </c>
      <c r="AA25" s="37">
        <f t="shared" si="4"/>
        <v>4.5523520485584168E-2</v>
      </c>
      <c r="AE25" s="37">
        <f t="shared" si="5"/>
        <v>-1.4794745484400629E-2</v>
      </c>
      <c r="AF25" s="37"/>
      <c r="AG25" s="37">
        <f t="shared" si="6"/>
        <v>-2.929121725731898E-2</v>
      </c>
      <c r="AH25" s="37">
        <f t="shared" si="7"/>
        <v>-2.7590711175616844E-2</v>
      </c>
    </row>
    <row r="26" spans="2:36" x14ac:dyDescent="0.3">
      <c r="B26" s="17" t="s">
        <v>55</v>
      </c>
      <c r="C26" s="31">
        <f>519.88*1.02</f>
        <v>530.27760000000001</v>
      </c>
      <c r="D26" s="31">
        <f>549.88*1.02</f>
        <v>560.87760000000003</v>
      </c>
      <c r="E26" s="31">
        <f>549.88*1.02</f>
        <v>560.87760000000003</v>
      </c>
      <c r="F26" s="31">
        <f>599.88*1.02</f>
        <v>611.87760000000003</v>
      </c>
      <c r="G26" s="31">
        <f>E26</f>
        <v>560.87760000000003</v>
      </c>
      <c r="J26" s="17" t="s">
        <v>89</v>
      </c>
      <c r="K26" s="31">
        <v>579</v>
      </c>
      <c r="L26" s="31"/>
      <c r="M26" s="31">
        <v>619</v>
      </c>
      <c r="N26" s="31">
        <v>659</v>
      </c>
      <c r="O26" s="31">
        <v>619</v>
      </c>
      <c r="Q26" s="17" t="s">
        <v>89</v>
      </c>
      <c r="R26" s="31">
        <v>499</v>
      </c>
      <c r="S26" s="31">
        <v>529</v>
      </c>
      <c r="T26" s="31">
        <v>529</v>
      </c>
      <c r="U26" s="31">
        <v>569</v>
      </c>
      <c r="V26" s="31">
        <v>549</v>
      </c>
      <c r="X26" s="37">
        <f>K26/R26-1</f>
        <v>0.16032064128256507</v>
      </c>
      <c r="Y26" s="37"/>
      <c r="Z26" s="37">
        <f t="shared" si="3"/>
        <v>0.17013232514177701</v>
      </c>
      <c r="AA26" s="37">
        <f t="shared" si="4"/>
        <v>0.15817223198594021</v>
      </c>
      <c r="AE26" s="37">
        <f t="shared" si="5"/>
        <v>-8.414922279792747E-2</v>
      </c>
      <c r="AF26" s="37"/>
      <c r="AG26" s="37">
        <f t="shared" si="6"/>
        <v>-9.3897253634894984E-2</v>
      </c>
      <c r="AH26" s="37">
        <f t="shared" si="7"/>
        <v>-7.1505918057663043E-2</v>
      </c>
    </row>
    <row r="27" spans="2:36" ht="15" hidden="1" customHeight="1" x14ac:dyDescent="0.3">
      <c r="B27" s="17" t="s">
        <v>32</v>
      </c>
      <c r="C27" s="31">
        <v>599.99</v>
      </c>
      <c r="D27" s="31">
        <v>629.99</v>
      </c>
      <c r="E27" s="31">
        <v>629.99</v>
      </c>
      <c r="F27" s="31">
        <v>669.99</v>
      </c>
      <c r="G27" s="31">
        <f t="shared" ref="G27" si="8">G25</f>
        <v>639.99</v>
      </c>
      <c r="J27" s="34"/>
      <c r="K27" s="35"/>
      <c r="L27" s="35"/>
      <c r="M27" s="35"/>
      <c r="N27" s="35"/>
      <c r="O27" s="35"/>
      <c r="Q27" s="34"/>
      <c r="R27" s="35"/>
      <c r="S27" s="35"/>
      <c r="T27" s="35"/>
      <c r="U27" s="35"/>
      <c r="V27" s="35"/>
      <c r="X27" s="35"/>
      <c r="Y27" s="35"/>
      <c r="Z27" s="35"/>
      <c r="AA27" s="35"/>
      <c r="AE27" s="37" t="e">
        <f t="shared" si="5"/>
        <v>#DIV/0!</v>
      </c>
      <c r="AF27" s="37"/>
      <c r="AG27" s="37" t="e">
        <f t="shared" si="6"/>
        <v>#DIV/0!</v>
      </c>
      <c r="AH27" s="37" t="e">
        <f t="shared" si="7"/>
        <v>#DIV/0!</v>
      </c>
    </row>
    <row r="28" spans="2:36" x14ac:dyDescent="0.3">
      <c r="B28" s="17" t="s">
        <v>33</v>
      </c>
      <c r="C28" s="31">
        <v>769.99</v>
      </c>
      <c r="D28" s="31">
        <v>799.99</v>
      </c>
      <c r="E28" s="31">
        <v>799.99</v>
      </c>
      <c r="F28" s="31">
        <v>839.99</v>
      </c>
      <c r="G28" s="31">
        <f t="shared" ref="G28:G33" si="9">E28+10</f>
        <v>809.99</v>
      </c>
      <c r="J28" s="17" t="s">
        <v>33</v>
      </c>
      <c r="K28" s="31">
        <v>739</v>
      </c>
      <c r="L28" s="31"/>
      <c r="M28" s="31">
        <v>779</v>
      </c>
      <c r="N28" s="31">
        <v>819</v>
      </c>
      <c r="O28" s="31">
        <v>809</v>
      </c>
      <c r="Q28" s="17" t="s">
        <v>33</v>
      </c>
      <c r="R28" s="31">
        <v>729</v>
      </c>
      <c r="S28" s="31">
        <v>769</v>
      </c>
      <c r="T28" s="31">
        <v>769</v>
      </c>
      <c r="U28" s="31">
        <v>809</v>
      </c>
      <c r="V28" s="31">
        <v>789</v>
      </c>
      <c r="X28" s="37">
        <f>K28/R28-1</f>
        <v>1.3717421124828544E-2</v>
      </c>
      <c r="Y28" s="37"/>
      <c r="Z28" s="37">
        <f t="shared" ref="Z28" si="10">M28/T28-1</f>
        <v>1.3003901170351106E-2</v>
      </c>
      <c r="AA28" s="37">
        <f t="shared" ref="AA28" si="11">N28/U28-1</f>
        <v>1.2360939431396822E-2</v>
      </c>
      <c r="AE28" s="37">
        <f t="shared" si="5"/>
        <v>4.193504736129916E-2</v>
      </c>
      <c r="AF28" s="37"/>
      <c r="AG28" s="37">
        <f t="shared" si="6"/>
        <v>2.6944801026957732E-2</v>
      </c>
      <c r="AH28" s="37">
        <f t="shared" si="7"/>
        <v>2.5628815628815582E-2</v>
      </c>
    </row>
    <row r="29" spans="2:36" x14ac:dyDescent="0.3">
      <c r="B29" s="17" t="s">
        <v>56</v>
      </c>
      <c r="C29" s="31">
        <f>675.94*1.03</f>
        <v>696.21820000000002</v>
      </c>
      <c r="D29" s="31">
        <f>705.94*1.03</f>
        <v>727.11820000000012</v>
      </c>
      <c r="E29" s="31">
        <f>705.94*1.03</f>
        <v>727.11820000000012</v>
      </c>
      <c r="F29" s="31">
        <f>745.94*1.03</f>
        <v>768.31820000000005</v>
      </c>
      <c r="G29" s="31">
        <f>E29</f>
        <v>727.11820000000012</v>
      </c>
      <c r="J29" s="34"/>
      <c r="K29" s="35"/>
      <c r="L29" s="35"/>
      <c r="M29" s="35"/>
      <c r="N29" s="35"/>
      <c r="O29" s="35"/>
      <c r="Q29" s="34"/>
      <c r="R29" s="35"/>
      <c r="S29" s="35"/>
      <c r="T29" s="35"/>
      <c r="U29" s="35"/>
      <c r="V29" s="35"/>
      <c r="X29" s="35"/>
      <c r="Y29" s="35"/>
      <c r="Z29" s="35"/>
      <c r="AA29" s="35"/>
      <c r="AE29" s="35"/>
      <c r="AF29" s="35"/>
      <c r="AG29" s="35"/>
      <c r="AH29" s="35"/>
    </row>
    <row r="30" spans="2:36" x14ac:dyDescent="0.3">
      <c r="B30" s="9" t="str">
        <f>B9</f>
        <v>FONTE 90 BOB</v>
      </c>
      <c r="C30" s="7">
        <v>389.99</v>
      </c>
      <c r="D30" s="7">
        <v>419.99</v>
      </c>
      <c r="E30" s="7">
        <v>419.99</v>
      </c>
      <c r="F30" s="7">
        <v>439.99</v>
      </c>
      <c r="G30" s="7">
        <f t="shared" si="9"/>
        <v>429.99</v>
      </c>
      <c r="J30" s="17" t="s">
        <v>92</v>
      </c>
      <c r="K30" s="31">
        <v>339</v>
      </c>
      <c r="L30" s="31"/>
      <c r="M30" s="31">
        <v>369</v>
      </c>
      <c r="N30" s="31">
        <v>399</v>
      </c>
      <c r="O30" s="31">
        <v>369</v>
      </c>
      <c r="Q30" s="17" t="str">
        <f>J30</f>
        <v>FONTE 60 BOB</v>
      </c>
      <c r="R30" s="31">
        <v>319</v>
      </c>
      <c r="S30" s="31">
        <v>359</v>
      </c>
      <c r="T30" s="31">
        <v>359</v>
      </c>
      <c r="U30" s="31">
        <v>389</v>
      </c>
      <c r="V30" s="31">
        <v>374</v>
      </c>
      <c r="X30" s="37">
        <f>K30/R30-1</f>
        <v>6.2695924764890387E-2</v>
      </c>
      <c r="Y30" s="37"/>
      <c r="Z30" s="37">
        <f t="shared" ref="Z30:Z33" si="12">M30/T30-1</f>
        <v>2.7855153203342642E-2</v>
      </c>
      <c r="AA30" s="37">
        <f t="shared" ref="AA30:AA33" si="13">N30/U30-1</f>
        <v>2.5706940874036022E-2</v>
      </c>
      <c r="AE30" s="37">
        <f t="shared" ref="AE30:AE33" si="14">C30/K30-1</f>
        <v>0.15041297935103248</v>
      </c>
      <c r="AF30" s="37"/>
      <c r="AG30" s="37">
        <f t="shared" ref="AG30:AG33" si="15">E30/M30-1</f>
        <v>0.1381842818428185</v>
      </c>
      <c r="AH30" s="37">
        <f t="shared" ref="AH30:AH33" si="16">F30/N30-1</f>
        <v>0.10273182957393479</v>
      </c>
    </row>
    <row r="31" spans="2:36" x14ac:dyDescent="0.3">
      <c r="B31" s="9" t="s">
        <v>35</v>
      </c>
      <c r="C31" s="7">
        <v>465.99</v>
      </c>
      <c r="D31" s="7">
        <v>495.99</v>
      </c>
      <c r="E31" s="7">
        <v>495.99</v>
      </c>
      <c r="F31" s="7">
        <v>535.99</v>
      </c>
      <c r="G31" s="7">
        <f t="shared" si="9"/>
        <v>505.99</v>
      </c>
      <c r="J31" s="17" t="s">
        <v>35</v>
      </c>
      <c r="K31" s="31">
        <v>459</v>
      </c>
      <c r="L31" s="31"/>
      <c r="M31" s="31">
        <v>499</v>
      </c>
      <c r="N31" s="31">
        <v>539</v>
      </c>
      <c r="O31" s="31">
        <v>499</v>
      </c>
      <c r="Q31" s="17" t="s">
        <v>35</v>
      </c>
      <c r="R31" s="31">
        <v>439</v>
      </c>
      <c r="S31" s="31">
        <v>479</v>
      </c>
      <c r="T31" s="31">
        <v>479</v>
      </c>
      <c r="U31" s="31">
        <v>509</v>
      </c>
      <c r="V31" s="31">
        <v>494</v>
      </c>
      <c r="X31" s="37">
        <f>K31/R31-1</f>
        <v>4.5558086560364419E-2</v>
      </c>
      <c r="Y31" s="37"/>
      <c r="Z31" s="37">
        <f t="shared" si="12"/>
        <v>4.175365344467652E-2</v>
      </c>
      <c r="AA31" s="37">
        <f t="shared" si="13"/>
        <v>5.8939096267190516E-2</v>
      </c>
      <c r="AE31" s="37">
        <f t="shared" si="14"/>
        <v>1.5228758169934631E-2</v>
      </c>
      <c r="AF31" s="37"/>
      <c r="AG31" s="37">
        <f t="shared" si="15"/>
        <v>-6.0320641282565202E-3</v>
      </c>
      <c r="AH31" s="37">
        <f t="shared" si="16"/>
        <v>-5.5844155844155807E-3</v>
      </c>
    </row>
    <row r="32" spans="2:36" x14ac:dyDescent="0.3">
      <c r="B32" s="9" t="s">
        <v>34</v>
      </c>
      <c r="C32" s="7">
        <v>589.99</v>
      </c>
      <c r="D32" s="7">
        <v>619.99</v>
      </c>
      <c r="E32" s="7">
        <v>619.99</v>
      </c>
      <c r="F32" s="7">
        <v>689.99</v>
      </c>
      <c r="G32" s="7">
        <f t="shared" si="9"/>
        <v>629.99</v>
      </c>
      <c r="J32" s="17" t="s">
        <v>34</v>
      </c>
      <c r="K32" s="31">
        <v>589</v>
      </c>
      <c r="L32" s="31"/>
      <c r="M32" s="31">
        <v>629</v>
      </c>
      <c r="N32" s="31">
        <v>669</v>
      </c>
      <c r="O32" s="31">
        <v>629</v>
      </c>
      <c r="Q32" s="17" t="s">
        <v>34</v>
      </c>
      <c r="R32" s="31">
        <v>559</v>
      </c>
      <c r="S32" s="31">
        <v>599</v>
      </c>
      <c r="T32" s="31">
        <v>599</v>
      </c>
      <c r="U32" s="31">
        <v>639</v>
      </c>
      <c r="V32" s="31">
        <v>619</v>
      </c>
      <c r="X32" s="37">
        <f>K32/R32-1</f>
        <v>5.3667262969588458E-2</v>
      </c>
      <c r="Y32" s="37"/>
      <c r="Z32" s="37">
        <f t="shared" si="12"/>
        <v>5.0083472454090172E-2</v>
      </c>
      <c r="AA32" s="37">
        <f t="shared" si="13"/>
        <v>4.6948356807511749E-2</v>
      </c>
      <c r="AE32" s="37">
        <f t="shared" si="14"/>
        <v>1.6808149405773687E-3</v>
      </c>
      <c r="AF32" s="37"/>
      <c r="AG32" s="37">
        <f t="shared" si="15"/>
        <v>-1.4324324324324289E-2</v>
      </c>
      <c r="AH32" s="37">
        <f t="shared" si="16"/>
        <v>3.1375186846038794E-2</v>
      </c>
    </row>
    <row r="33" spans="2:34" x14ac:dyDescent="0.3">
      <c r="B33" s="9" t="str">
        <f>B12</f>
        <v>FONTE 200 MONO</v>
      </c>
      <c r="C33" s="7">
        <v>739.99</v>
      </c>
      <c r="D33" s="7">
        <v>769.99</v>
      </c>
      <c r="E33" s="7">
        <v>769.99</v>
      </c>
      <c r="F33" s="7">
        <v>809.99</v>
      </c>
      <c r="G33" s="7">
        <f t="shared" si="9"/>
        <v>779.99</v>
      </c>
      <c r="J33" s="17" t="s">
        <v>44</v>
      </c>
      <c r="K33" s="31">
        <v>769</v>
      </c>
      <c r="L33" s="31"/>
      <c r="M33" s="31">
        <v>809</v>
      </c>
      <c r="N33" s="31">
        <v>849</v>
      </c>
      <c r="O33" s="31">
        <v>779</v>
      </c>
      <c r="Q33" s="17" t="s">
        <v>44</v>
      </c>
      <c r="R33" s="31">
        <v>699</v>
      </c>
      <c r="S33" s="31">
        <v>739</v>
      </c>
      <c r="T33" s="31">
        <v>739</v>
      </c>
      <c r="U33" s="31">
        <v>779</v>
      </c>
      <c r="V33" s="31">
        <v>759</v>
      </c>
      <c r="X33" s="37">
        <f>K33/R33-1</f>
        <v>0.10014306151645203</v>
      </c>
      <c r="Y33" s="37"/>
      <c r="Z33" s="37">
        <f t="shared" si="12"/>
        <v>9.472259810554795E-2</v>
      </c>
      <c r="AA33" s="37">
        <f t="shared" si="13"/>
        <v>8.9858793324775421E-2</v>
      </c>
      <c r="AE33" s="37">
        <f t="shared" si="14"/>
        <v>-3.7724317295188547E-2</v>
      </c>
      <c r="AF33" s="37"/>
      <c r="AG33" s="37">
        <f t="shared" si="15"/>
        <v>-4.8220024721878807E-2</v>
      </c>
      <c r="AH33" s="37">
        <f t="shared" si="16"/>
        <v>-4.5948174322732571E-2</v>
      </c>
    </row>
    <row r="34" spans="2:34" ht="15" hidden="1" customHeight="1" x14ac:dyDescent="0.3">
      <c r="B34" s="9" t="s">
        <v>37</v>
      </c>
      <c r="C34" s="7">
        <f>'POLÍTICA COMERCIAL 2023'!C32</f>
        <v>54.9</v>
      </c>
      <c r="D34" s="7">
        <f t="shared" ref="D34:D36" si="17">D13*(1+C$17)</f>
        <v>55.997999999999998</v>
      </c>
      <c r="E34" s="7">
        <f t="shared" ref="E34:E35" si="18">E13*(1+C$17)</f>
        <v>61.189800000000005</v>
      </c>
      <c r="F34" s="7">
        <f t="shared" ref="F34:F35" si="19">F13*(1+C$17)</f>
        <v>66.198000000000008</v>
      </c>
      <c r="G34" s="7">
        <f t="shared" ref="G34:G36" si="20">G13*(1+C$17)</f>
        <v>61.189800000000005</v>
      </c>
    </row>
    <row r="35" spans="2:34" ht="15" hidden="1" customHeight="1" x14ac:dyDescent="0.3">
      <c r="B35" s="9" t="s">
        <v>38</v>
      </c>
      <c r="C35" s="7">
        <f>'POLÍTICA COMERCIAL 2023'!C33</f>
        <v>79</v>
      </c>
      <c r="D35" s="7">
        <f t="shared" si="17"/>
        <v>80.58</v>
      </c>
      <c r="E35" s="7">
        <f t="shared" si="18"/>
        <v>90.78</v>
      </c>
      <c r="F35" s="7">
        <f t="shared" si="19"/>
        <v>100.98</v>
      </c>
      <c r="G35" s="7">
        <f t="shared" si="20"/>
        <v>90.78</v>
      </c>
    </row>
    <row r="36" spans="2:34" ht="15" hidden="1" customHeight="1" x14ac:dyDescent="0.3">
      <c r="B36" s="9" t="s">
        <v>39</v>
      </c>
      <c r="C36" s="7">
        <f>'POLÍTICA COMERCIAL 2023'!C34</f>
        <v>69</v>
      </c>
      <c r="D36" s="7">
        <f t="shared" si="17"/>
        <v>70.38</v>
      </c>
      <c r="E36" s="7">
        <v>78.900000000000006</v>
      </c>
      <c r="F36" s="7">
        <v>87.9</v>
      </c>
      <c r="G36" s="7">
        <f t="shared" si="20"/>
        <v>80.58</v>
      </c>
    </row>
    <row r="37" spans="2:34" ht="7.5" customHeight="1" x14ac:dyDescent="0.3"/>
    <row r="38" spans="2:34" x14ac:dyDescent="0.3">
      <c r="B38" s="12" t="s">
        <v>51</v>
      </c>
      <c r="C38" s="13">
        <v>0.05</v>
      </c>
    </row>
    <row r="39" spans="2:34" x14ac:dyDescent="0.3">
      <c r="B39" s="86" t="s">
        <v>97</v>
      </c>
      <c r="C39" s="87"/>
      <c r="D39" s="87"/>
      <c r="E39" s="87"/>
      <c r="F39" s="87"/>
      <c r="G39" s="88"/>
      <c r="J39" s="93" t="s">
        <v>90</v>
      </c>
      <c r="K39" s="93"/>
      <c r="L39" s="93"/>
      <c r="M39" s="93"/>
      <c r="N39" s="93"/>
      <c r="O39" s="93"/>
      <c r="Q39" s="93" t="str">
        <f>Q18</f>
        <v>POLÍTICA COMERCIAL USINA - AGOSTO/23</v>
      </c>
      <c r="R39" s="93"/>
      <c r="S39" s="93"/>
      <c r="T39" s="93"/>
      <c r="U39" s="93"/>
      <c r="V39" s="93"/>
    </row>
    <row r="40" spans="2:34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J40" s="30" t="s">
        <v>23</v>
      </c>
      <c r="K40" s="30" t="s">
        <v>24</v>
      </c>
      <c r="L40" s="30" t="s">
        <v>25</v>
      </c>
      <c r="M40" s="30" t="s">
        <v>26</v>
      </c>
      <c r="N40" s="30" t="s">
        <v>27</v>
      </c>
      <c r="O40" s="30" t="str">
        <f>G40</f>
        <v xml:space="preserve"> MARKETPLACES</v>
      </c>
      <c r="Q40" s="30" t="s">
        <v>23</v>
      </c>
      <c r="R40" s="30" t="s">
        <v>24</v>
      </c>
      <c r="S40" s="30" t="s">
        <v>25</v>
      </c>
      <c r="T40" s="30" t="s">
        <v>26</v>
      </c>
      <c r="U40" s="30" t="s">
        <v>27</v>
      </c>
      <c r="V40" s="30" t="str">
        <f>N40</f>
        <v>PREMIUM ML</v>
      </c>
    </row>
    <row r="41" spans="2:34" x14ac:dyDescent="0.3">
      <c r="B41" s="9" t="s">
        <v>28</v>
      </c>
      <c r="C41" s="7">
        <f t="shared" ref="C41:C51" si="21">C20*(1-C$38)</f>
        <v>351.4905</v>
      </c>
      <c r="D41" s="7">
        <f t="shared" ref="D41:D55" si="22">D20*(1-C$38)</f>
        <v>379.9905</v>
      </c>
      <c r="E41" s="7">
        <f t="shared" ref="E41:E51" si="23">E20*(1-C$38)</f>
        <v>379.9905</v>
      </c>
      <c r="F41" s="7">
        <f t="shared" ref="F41:F51" si="24">F20*(1-C$38)</f>
        <v>408.4905</v>
      </c>
      <c r="G41" s="7">
        <f t="shared" ref="G41:G51" si="25">G20*(1-C$38)</f>
        <v>389.4905</v>
      </c>
      <c r="J41" s="32"/>
      <c r="K41" s="33"/>
      <c r="L41" s="33"/>
      <c r="M41" s="33"/>
      <c r="N41" s="33"/>
      <c r="O41" s="33"/>
      <c r="Q41" s="32"/>
      <c r="R41" s="33"/>
      <c r="S41" s="33"/>
      <c r="T41" s="33"/>
      <c r="U41" s="33"/>
      <c r="V41" s="33"/>
    </row>
    <row r="42" spans="2:34" x14ac:dyDescent="0.3">
      <c r="B42" s="9" t="s">
        <v>29</v>
      </c>
      <c r="C42" s="7">
        <f t="shared" si="21"/>
        <v>389.4905</v>
      </c>
      <c r="D42" s="7">
        <f t="shared" si="22"/>
        <v>417.9905</v>
      </c>
      <c r="E42" s="7">
        <f t="shared" si="23"/>
        <v>417.9905</v>
      </c>
      <c r="F42" s="7">
        <f t="shared" si="24"/>
        <v>446.4905</v>
      </c>
      <c r="G42" s="7">
        <f t="shared" si="25"/>
        <v>427.4905</v>
      </c>
      <c r="J42" s="32"/>
      <c r="K42" s="33"/>
      <c r="L42" s="33"/>
      <c r="M42" s="33"/>
      <c r="N42" s="33"/>
      <c r="O42" s="33"/>
      <c r="Q42" s="32"/>
      <c r="R42" s="33"/>
      <c r="S42" s="33"/>
      <c r="T42" s="33"/>
      <c r="U42" s="33"/>
      <c r="V42" s="33"/>
    </row>
    <row r="43" spans="2:34" x14ac:dyDescent="0.3">
      <c r="B43" s="9" t="s">
        <v>53</v>
      </c>
      <c r="C43" s="7">
        <f t="shared" si="21"/>
        <v>338.03260999999998</v>
      </c>
      <c r="D43" s="7">
        <f t="shared" si="22"/>
        <v>367.38760999999994</v>
      </c>
      <c r="E43" s="7">
        <f t="shared" si="23"/>
        <v>367.38760999999994</v>
      </c>
      <c r="F43" s="7">
        <f t="shared" si="24"/>
        <v>396.74261000000001</v>
      </c>
      <c r="G43" s="7">
        <f t="shared" si="25"/>
        <v>367.38760999999994</v>
      </c>
      <c r="J43" s="34"/>
      <c r="K43" s="36" t="s">
        <v>94</v>
      </c>
      <c r="L43" s="36"/>
      <c r="M43" s="36" t="s">
        <v>94</v>
      </c>
      <c r="N43" s="36" t="s">
        <v>94</v>
      </c>
      <c r="O43" s="36" t="s">
        <v>95</v>
      </c>
      <c r="Q43" s="34"/>
      <c r="R43" s="35"/>
      <c r="S43" s="35"/>
      <c r="T43" s="35"/>
      <c r="U43" s="36" t="s">
        <v>93</v>
      </c>
      <c r="V43" s="35"/>
    </row>
    <row r="44" spans="2:34" x14ac:dyDescent="0.3">
      <c r="B44" s="9" t="s">
        <v>30</v>
      </c>
      <c r="C44" s="7">
        <f t="shared" si="21"/>
        <v>436.9905</v>
      </c>
      <c r="D44" s="7">
        <f t="shared" si="22"/>
        <v>465.4905</v>
      </c>
      <c r="E44" s="7">
        <f t="shared" si="23"/>
        <v>465.4905</v>
      </c>
      <c r="F44" s="7">
        <f t="shared" si="24"/>
        <v>493.9905</v>
      </c>
      <c r="G44" s="7">
        <f t="shared" si="25"/>
        <v>474.9905</v>
      </c>
      <c r="J44" s="17" t="s">
        <v>30</v>
      </c>
      <c r="K44" s="31">
        <f>K23*0.95</f>
        <v>445.54999999999995</v>
      </c>
      <c r="L44" s="31"/>
      <c r="M44" s="31">
        <f>M23*0.95</f>
        <v>474.04999999999995</v>
      </c>
      <c r="N44" s="31">
        <f>N23*0.95</f>
        <v>502.54999999999995</v>
      </c>
      <c r="O44" s="31">
        <f>O23</f>
        <v>499</v>
      </c>
      <c r="Q44" s="17" t="s">
        <v>30</v>
      </c>
      <c r="R44" s="31"/>
      <c r="S44" s="31"/>
      <c r="T44" s="31"/>
      <c r="U44" s="31">
        <v>447.92</v>
      </c>
      <c r="V44" s="31"/>
      <c r="AE44" s="37">
        <f t="shared" ref="AE44:AE47" si="26">C44/K44-1</f>
        <v>-1.9211087420042516E-2</v>
      </c>
      <c r="AF44" s="37"/>
      <c r="AG44" s="37">
        <f t="shared" ref="AG44:AG47" si="27">E44/M44-1</f>
        <v>-1.8056112224448806E-2</v>
      </c>
      <c r="AH44" s="37">
        <f t="shared" ref="AH44:AH47" si="28">F44/N44-1</f>
        <v>-1.7032136105860074E-2</v>
      </c>
    </row>
    <row r="45" spans="2:34" x14ac:dyDescent="0.3">
      <c r="B45" s="9" t="s">
        <v>54</v>
      </c>
      <c r="C45" s="7">
        <f t="shared" si="21"/>
        <v>373.96312999999998</v>
      </c>
      <c r="D45" s="7">
        <f t="shared" si="22"/>
        <v>403.31813</v>
      </c>
      <c r="E45" s="7">
        <f t="shared" si="23"/>
        <v>403.31813</v>
      </c>
      <c r="F45" s="7">
        <f t="shared" si="24"/>
        <v>432.67312999999996</v>
      </c>
      <c r="G45" s="7">
        <f t="shared" si="25"/>
        <v>403.31813</v>
      </c>
      <c r="J45" s="17" t="s">
        <v>88</v>
      </c>
      <c r="K45" s="31">
        <f>K24*0.95</f>
        <v>417.04999999999995</v>
      </c>
      <c r="L45" s="31"/>
      <c r="M45" s="31">
        <f t="shared" ref="M45:N45" si="29">M24*0.95</f>
        <v>445.54999999999995</v>
      </c>
      <c r="N45" s="31">
        <f t="shared" si="29"/>
        <v>474.04999999999995</v>
      </c>
      <c r="O45" s="31">
        <f t="shared" ref="O45:O49" si="30">O24</f>
        <v>469</v>
      </c>
      <c r="Q45" s="17" t="s">
        <v>88</v>
      </c>
      <c r="R45" s="31"/>
      <c r="S45" s="31"/>
      <c r="T45" s="31"/>
      <c r="U45" s="31">
        <f>U24*0.88</f>
        <v>421.52</v>
      </c>
      <c r="V45" s="31"/>
      <c r="AE45" s="37">
        <f t="shared" si="26"/>
        <v>-0.1033134396355353</v>
      </c>
      <c r="AF45" s="37"/>
      <c r="AG45" s="37">
        <f t="shared" si="27"/>
        <v>-9.4785927505330436E-2</v>
      </c>
      <c r="AH45" s="37">
        <f t="shared" si="28"/>
        <v>-8.7283767535070167E-2</v>
      </c>
    </row>
    <row r="46" spans="2:34" x14ac:dyDescent="0.3">
      <c r="B46" s="9" t="s">
        <v>31</v>
      </c>
      <c r="C46" s="7">
        <f t="shared" si="21"/>
        <v>569.9905</v>
      </c>
      <c r="D46" s="7">
        <f t="shared" si="22"/>
        <v>598.4905</v>
      </c>
      <c r="E46" s="7">
        <f t="shared" si="23"/>
        <v>598.4905</v>
      </c>
      <c r="F46" s="7">
        <f t="shared" si="24"/>
        <v>636.4905</v>
      </c>
      <c r="G46" s="7">
        <f t="shared" si="25"/>
        <v>607.9905</v>
      </c>
      <c r="J46" s="17" t="s">
        <v>31</v>
      </c>
      <c r="K46" s="31">
        <f>K25*0.95</f>
        <v>578.54999999999995</v>
      </c>
      <c r="L46" s="31"/>
      <c r="M46" s="31">
        <f t="shared" ref="M46:N46" si="31">M25*0.95</f>
        <v>616.54999999999995</v>
      </c>
      <c r="N46" s="31">
        <f t="shared" si="31"/>
        <v>654.54999999999995</v>
      </c>
      <c r="O46" s="31">
        <f t="shared" si="30"/>
        <v>649</v>
      </c>
      <c r="Q46" s="17" t="s">
        <v>31</v>
      </c>
      <c r="R46" s="31"/>
      <c r="S46" s="31"/>
      <c r="T46" s="31"/>
      <c r="U46" s="31">
        <f>U25*0.88</f>
        <v>579.91999999999996</v>
      </c>
      <c r="V46" s="31"/>
      <c r="AE46" s="37">
        <f t="shared" si="26"/>
        <v>-1.4794745484400629E-2</v>
      </c>
      <c r="AF46" s="37"/>
      <c r="AG46" s="37">
        <f t="shared" si="27"/>
        <v>-2.9291217257318869E-2</v>
      </c>
      <c r="AH46" s="37">
        <f t="shared" si="28"/>
        <v>-2.7590711175616733E-2</v>
      </c>
    </row>
    <row r="47" spans="2:34" x14ac:dyDescent="0.3">
      <c r="B47" s="9" t="s">
        <v>55</v>
      </c>
      <c r="C47" s="7">
        <f t="shared" si="21"/>
        <v>503.76371999999998</v>
      </c>
      <c r="D47" s="7">
        <f t="shared" si="22"/>
        <v>532.83371999999997</v>
      </c>
      <c r="E47" s="7">
        <f t="shared" si="23"/>
        <v>532.83371999999997</v>
      </c>
      <c r="F47" s="7">
        <f t="shared" si="24"/>
        <v>581.28372000000002</v>
      </c>
      <c r="G47" s="7">
        <f t="shared" si="25"/>
        <v>532.83371999999997</v>
      </c>
      <c r="J47" s="17" t="s">
        <v>89</v>
      </c>
      <c r="K47" s="31">
        <f>K26*0.95</f>
        <v>550.04999999999995</v>
      </c>
      <c r="L47" s="31"/>
      <c r="M47" s="31">
        <f t="shared" ref="M47:N47" si="32">M26*0.95</f>
        <v>588.04999999999995</v>
      </c>
      <c r="N47" s="31">
        <f t="shared" si="32"/>
        <v>626.04999999999995</v>
      </c>
      <c r="O47" s="31">
        <f t="shared" si="30"/>
        <v>619</v>
      </c>
      <c r="Q47" s="17" t="s">
        <v>89</v>
      </c>
      <c r="R47" s="31"/>
      <c r="S47" s="31"/>
      <c r="T47" s="31"/>
      <c r="U47" s="31">
        <f>U26*0.88</f>
        <v>500.72</v>
      </c>
      <c r="V47" s="31"/>
      <c r="AE47" s="37">
        <f t="shared" si="26"/>
        <v>-8.414922279792747E-2</v>
      </c>
      <c r="AF47" s="37"/>
      <c r="AG47" s="37">
        <f t="shared" si="27"/>
        <v>-9.3897253634894984E-2</v>
      </c>
      <c r="AH47" s="37">
        <f t="shared" si="28"/>
        <v>-7.1505918057663043E-2</v>
      </c>
    </row>
    <row r="48" spans="2:34" ht="15" hidden="1" customHeight="1" x14ac:dyDescent="0.3">
      <c r="B48" s="9" t="s">
        <v>32</v>
      </c>
      <c r="C48" s="7">
        <f t="shared" si="21"/>
        <v>569.9905</v>
      </c>
      <c r="D48" s="7">
        <f t="shared" si="22"/>
        <v>598.4905</v>
      </c>
      <c r="E48" s="7">
        <f t="shared" si="23"/>
        <v>598.4905</v>
      </c>
      <c r="F48" s="7">
        <f t="shared" si="24"/>
        <v>636.4905</v>
      </c>
      <c r="G48" s="7">
        <f t="shared" si="25"/>
        <v>607.9905</v>
      </c>
      <c r="J48" s="34"/>
      <c r="K48" s="35"/>
      <c r="L48" s="35"/>
      <c r="M48" s="31">
        <f t="shared" ref="M48:N48" si="33">M27*0.95</f>
        <v>0</v>
      </c>
      <c r="N48" s="31">
        <f t="shared" si="33"/>
        <v>0</v>
      </c>
      <c r="O48" s="31">
        <f t="shared" si="30"/>
        <v>0</v>
      </c>
      <c r="Q48" s="34"/>
      <c r="R48" s="35"/>
      <c r="S48" s="35"/>
      <c r="T48" s="35"/>
      <c r="U48" s="35"/>
      <c r="V48" s="35"/>
      <c r="AE48" s="35"/>
      <c r="AF48" s="35"/>
      <c r="AG48" s="35"/>
      <c r="AH48" s="35"/>
    </row>
    <row r="49" spans="2:34" x14ac:dyDescent="0.3">
      <c r="B49" s="9" t="s">
        <v>33</v>
      </c>
      <c r="C49" s="7">
        <f t="shared" si="21"/>
        <v>731.4905</v>
      </c>
      <c r="D49" s="7">
        <f t="shared" si="22"/>
        <v>759.9905</v>
      </c>
      <c r="E49" s="7">
        <f t="shared" si="23"/>
        <v>759.9905</v>
      </c>
      <c r="F49" s="7">
        <f t="shared" si="24"/>
        <v>797.9905</v>
      </c>
      <c r="G49" s="7">
        <f t="shared" si="25"/>
        <v>769.4905</v>
      </c>
      <c r="J49" s="17" t="s">
        <v>33</v>
      </c>
      <c r="K49" s="31">
        <f>K28*0.95</f>
        <v>702.05</v>
      </c>
      <c r="L49" s="31"/>
      <c r="M49" s="31">
        <f t="shared" ref="M49:N49" si="34">M28*0.95</f>
        <v>740.05</v>
      </c>
      <c r="N49" s="31">
        <f t="shared" si="34"/>
        <v>778.05</v>
      </c>
      <c r="O49" s="31">
        <f t="shared" si="30"/>
        <v>809</v>
      </c>
      <c r="Q49" s="17" t="s">
        <v>33</v>
      </c>
      <c r="R49" s="31"/>
      <c r="S49" s="31"/>
      <c r="T49" s="31"/>
      <c r="U49" s="31">
        <f>U28*0.88</f>
        <v>711.92</v>
      </c>
      <c r="V49" s="31"/>
      <c r="AE49" s="37">
        <f t="shared" ref="AE49" si="35">C49/K49-1</f>
        <v>4.193504736129916E-2</v>
      </c>
      <c r="AF49" s="37"/>
      <c r="AG49" s="37">
        <f t="shared" ref="AG49" si="36">E49/M49-1</f>
        <v>2.6944801026957732E-2</v>
      </c>
      <c r="AH49" s="37">
        <f t="shared" ref="AH49" si="37">F49/N49-1</f>
        <v>2.5628815628815582E-2</v>
      </c>
    </row>
    <row r="50" spans="2:34" x14ac:dyDescent="0.3">
      <c r="B50" s="9" t="s">
        <v>56</v>
      </c>
      <c r="C50" s="7">
        <f t="shared" si="21"/>
        <v>661.40728999999999</v>
      </c>
      <c r="D50" s="7">
        <f t="shared" si="22"/>
        <v>690.76229000000012</v>
      </c>
      <c r="E50" s="7">
        <f t="shared" si="23"/>
        <v>690.76229000000012</v>
      </c>
      <c r="F50" s="7">
        <f t="shared" si="24"/>
        <v>729.90228999999999</v>
      </c>
      <c r="G50" s="7">
        <f t="shared" si="25"/>
        <v>690.76229000000012</v>
      </c>
      <c r="J50" s="34"/>
      <c r="K50" s="35"/>
      <c r="L50" s="35"/>
      <c r="M50" s="35"/>
      <c r="N50" s="35"/>
      <c r="O50" s="35"/>
      <c r="Q50" s="34"/>
      <c r="R50" s="35"/>
      <c r="S50" s="35"/>
      <c r="T50" s="35"/>
      <c r="U50" s="35"/>
      <c r="V50" s="35"/>
      <c r="AE50" s="35"/>
      <c r="AF50" s="35"/>
      <c r="AG50" s="35"/>
      <c r="AH50" s="35"/>
    </row>
    <row r="51" spans="2:34" x14ac:dyDescent="0.3">
      <c r="B51" s="9" t="str">
        <f>B30</f>
        <v>FONTE 90 BOB</v>
      </c>
      <c r="C51" s="7">
        <f t="shared" si="21"/>
        <v>370.4905</v>
      </c>
      <c r="D51" s="7">
        <f t="shared" si="22"/>
        <v>398.9905</v>
      </c>
      <c r="E51" s="7">
        <f t="shared" si="23"/>
        <v>398.9905</v>
      </c>
      <c r="F51" s="7">
        <f t="shared" si="24"/>
        <v>417.9905</v>
      </c>
      <c r="G51" s="7">
        <f t="shared" si="25"/>
        <v>408.4905</v>
      </c>
      <c r="J51" s="17" t="str">
        <f>J30</f>
        <v>FONTE 60 BOB</v>
      </c>
      <c r="K51" s="31">
        <f t="shared" ref="K51:K54" si="38">K30*0.95</f>
        <v>322.05</v>
      </c>
      <c r="L51" s="31"/>
      <c r="M51" s="31">
        <f t="shared" ref="M51:N51" si="39">M30*0.95</f>
        <v>350.55</v>
      </c>
      <c r="N51" s="31">
        <f t="shared" si="39"/>
        <v>379.04999999999995</v>
      </c>
      <c r="O51" s="31">
        <f>O30</f>
        <v>369</v>
      </c>
      <c r="Q51" s="17" t="str">
        <f>J51</f>
        <v>FONTE 60 BOB</v>
      </c>
      <c r="R51" s="31"/>
      <c r="S51" s="31"/>
      <c r="T51" s="31"/>
      <c r="U51" s="31">
        <f t="shared" ref="U51:U54" si="40">U30*0.88</f>
        <v>342.32</v>
      </c>
      <c r="V51" s="31"/>
      <c r="AE51" s="37">
        <f t="shared" ref="AE51:AE52" si="41">C51/K51-1</f>
        <v>0.15041297935103248</v>
      </c>
      <c r="AF51" s="37"/>
      <c r="AG51" s="37">
        <f t="shared" ref="AG51:AG52" si="42">E51/M51-1</f>
        <v>0.13818428184281828</v>
      </c>
      <c r="AH51" s="37">
        <f t="shared" ref="AH51:AH52" si="43">F51/N51-1</f>
        <v>0.10273182957393501</v>
      </c>
    </row>
    <row r="52" spans="2:34" x14ac:dyDescent="0.3">
      <c r="B52" s="9" t="s">
        <v>35</v>
      </c>
      <c r="C52" s="7">
        <f>C31*(1-C$38)</f>
        <v>442.69049999999999</v>
      </c>
      <c r="D52" s="7">
        <f t="shared" si="22"/>
        <v>471.19049999999999</v>
      </c>
      <c r="E52" s="7">
        <f>E31*(1-C$38)</f>
        <v>471.19049999999999</v>
      </c>
      <c r="F52" s="7">
        <f>F31*(1-C$38)</f>
        <v>509.19049999999999</v>
      </c>
      <c r="G52" s="7">
        <f>G31*(1-C$38)</f>
        <v>480.69049999999999</v>
      </c>
      <c r="J52" s="17" t="s">
        <v>35</v>
      </c>
      <c r="K52" s="31">
        <f t="shared" si="38"/>
        <v>436.04999999999995</v>
      </c>
      <c r="L52" s="31"/>
      <c r="M52" s="31">
        <f t="shared" ref="M52:N52" si="44">M31*0.95</f>
        <v>474.04999999999995</v>
      </c>
      <c r="N52" s="31">
        <f t="shared" si="44"/>
        <v>512.04999999999995</v>
      </c>
      <c r="O52" s="31">
        <f t="shared" ref="O52:O54" si="45">O31</f>
        <v>499</v>
      </c>
      <c r="Q52" s="17" t="s">
        <v>35</v>
      </c>
      <c r="R52" s="31"/>
      <c r="S52" s="31"/>
      <c r="T52" s="31"/>
      <c r="U52" s="31">
        <f t="shared" si="40"/>
        <v>447.92</v>
      </c>
      <c r="V52" s="31"/>
      <c r="AE52" s="37">
        <f t="shared" si="41"/>
        <v>1.5228758169934631E-2</v>
      </c>
      <c r="AF52" s="37"/>
      <c r="AG52" s="37">
        <f t="shared" si="42"/>
        <v>-6.0320641282564091E-3</v>
      </c>
      <c r="AH52" s="37">
        <f t="shared" si="43"/>
        <v>-5.5844155844154697E-3</v>
      </c>
    </row>
    <row r="53" spans="2:34" x14ac:dyDescent="0.3">
      <c r="B53" s="9" t="s">
        <v>34</v>
      </c>
      <c r="C53" s="7">
        <f>C32*(1-C$38)</f>
        <v>560.4905</v>
      </c>
      <c r="D53" s="7">
        <f t="shared" si="22"/>
        <v>588.9905</v>
      </c>
      <c r="E53" s="7">
        <f>E32*(1-C$38)</f>
        <v>588.9905</v>
      </c>
      <c r="F53" s="7">
        <f>F32*(1-C$38)</f>
        <v>655.4905</v>
      </c>
      <c r="G53" s="7">
        <f>G32*(1-C$38)</f>
        <v>598.4905</v>
      </c>
      <c r="J53" s="17" t="s">
        <v>34</v>
      </c>
      <c r="K53" s="31">
        <f t="shared" si="38"/>
        <v>559.54999999999995</v>
      </c>
      <c r="L53" s="31"/>
      <c r="M53" s="31">
        <f t="shared" ref="M53:N53" si="46">M32*0.95</f>
        <v>597.54999999999995</v>
      </c>
      <c r="N53" s="31">
        <f t="shared" si="46"/>
        <v>635.54999999999995</v>
      </c>
      <c r="O53" s="31">
        <f t="shared" si="45"/>
        <v>629</v>
      </c>
      <c r="Q53" s="17" t="s">
        <v>34</v>
      </c>
      <c r="R53" s="31"/>
      <c r="S53" s="31"/>
      <c r="T53" s="31"/>
      <c r="U53" s="31">
        <f t="shared" si="40"/>
        <v>562.32000000000005</v>
      </c>
      <c r="V53" s="31"/>
      <c r="AE53" s="37">
        <f t="shared" ref="AE53:AE54" si="47">C53/K53-1</f>
        <v>1.6808149405773687E-3</v>
      </c>
      <c r="AF53" s="37"/>
      <c r="AG53" s="37">
        <f t="shared" ref="AG53:AG54" si="48">E53/M53-1</f>
        <v>-1.4324324324324289E-2</v>
      </c>
      <c r="AH53" s="37">
        <f t="shared" ref="AH53:AH54" si="49">F53/N53-1</f>
        <v>3.1375186846039016E-2</v>
      </c>
    </row>
    <row r="54" spans="2:34" x14ac:dyDescent="0.3">
      <c r="B54" s="9" t="str">
        <f>B33</f>
        <v>FONTE 200 MONO</v>
      </c>
      <c r="C54" s="7">
        <f>C33*(1-C$38)</f>
        <v>702.9905</v>
      </c>
      <c r="D54" s="7">
        <f t="shared" si="22"/>
        <v>731.4905</v>
      </c>
      <c r="E54" s="7">
        <f>E33*(1-C$38)</f>
        <v>731.4905</v>
      </c>
      <c r="F54" s="7">
        <f>F33*(1-C$38)</f>
        <v>769.4905</v>
      </c>
      <c r="G54" s="7">
        <f>G33*(1-C$38)</f>
        <v>740.9905</v>
      </c>
      <c r="J54" s="17" t="s">
        <v>44</v>
      </c>
      <c r="K54" s="31">
        <f t="shared" si="38"/>
        <v>730.55</v>
      </c>
      <c r="L54" s="31"/>
      <c r="M54" s="31">
        <f t="shared" ref="M54:N54" si="50">M33*0.95</f>
        <v>768.55</v>
      </c>
      <c r="N54" s="31">
        <f t="shared" si="50"/>
        <v>806.55</v>
      </c>
      <c r="O54" s="31">
        <f t="shared" si="45"/>
        <v>779</v>
      </c>
      <c r="Q54" s="17" t="s">
        <v>44</v>
      </c>
      <c r="R54" s="31"/>
      <c r="S54" s="31"/>
      <c r="T54" s="31"/>
      <c r="U54" s="31">
        <f t="shared" si="40"/>
        <v>685.52</v>
      </c>
      <c r="V54" s="31"/>
      <c r="AE54" s="37">
        <f t="shared" si="47"/>
        <v>-3.7724317295188547E-2</v>
      </c>
      <c r="AF54" s="37"/>
      <c r="AG54" s="37">
        <f t="shared" si="48"/>
        <v>-4.8220024721878807E-2</v>
      </c>
      <c r="AH54" s="37">
        <f t="shared" si="49"/>
        <v>-4.5948174322732571E-2</v>
      </c>
    </row>
    <row r="55" spans="2:34" hidden="1" x14ac:dyDescent="0.3">
      <c r="B55" s="9" t="s">
        <v>37</v>
      </c>
      <c r="C55" s="7">
        <f>C34*(1-C$38)</f>
        <v>52.154999999999994</v>
      </c>
      <c r="D55" s="7">
        <f t="shared" si="22"/>
        <v>53.198099999999997</v>
      </c>
      <c r="E55" s="7">
        <f>E34*(1-C$38)</f>
        <v>58.130310000000001</v>
      </c>
      <c r="F55" s="7">
        <f>F34*(1-C$38)</f>
        <v>62.888100000000001</v>
      </c>
      <c r="G55" s="7">
        <f>G34*(1-C$38)</f>
        <v>58.130310000000001</v>
      </c>
    </row>
    <row r="56" spans="2:34" hidden="1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34" hidden="1" x14ac:dyDescent="0.3">
      <c r="B57" s="9" t="s">
        <v>39</v>
      </c>
      <c r="C57" s="7">
        <f>C36*(1-C$38)</f>
        <v>65.55</v>
      </c>
      <c r="D57" s="7">
        <f>D36*(1-C$38)</f>
        <v>66.86099999999999</v>
      </c>
      <c r="E57" s="7">
        <f>E36*(1-C$38)</f>
        <v>74.954999999999998</v>
      </c>
      <c r="F57" s="7">
        <f>F36*(1-C$38)</f>
        <v>83.504999999999995</v>
      </c>
      <c r="G57" s="7">
        <f>G36*(1-C$38)</f>
        <v>76.550999999999988</v>
      </c>
    </row>
    <row r="58" spans="2:34" x14ac:dyDescent="0.3">
      <c r="B58" s="39" t="s">
        <v>113</v>
      </c>
      <c r="C58" s="15"/>
    </row>
    <row r="59" spans="2:34" x14ac:dyDescent="0.3">
      <c r="B59" s="38" t="s">
        <v>109</v>
      </c>
      <c r="C59" s="40">
        <f>1-C43/C42</f>
        <v>0.13211590526598216</v>
      </c>
    </row>
    <row r="60" spans="2:34" x14ac:dyDescent="0.3">
      <c r="B60" s="38" t="s">
        <v>110</v>
      </c>
      <c r="C60" s="40">
        <f>1-C45/C44</f>
        <v>0.14423052675058157</v>
      </c>
    </row>
    <row r="61" spans="2:34" x14ac:dyDescent="0.3">
      <c r="B61" s="38" t="s">
        <v>111</v>
      </c>
      <c r="C61" s="40">
        <f>1-C47/C46</f>
        <v>0.11618926982116373</v>
      </c>
    </row>
    <row r="62" spans="2:34" x14ac:dyDescent="0.3">
      <c r="B62" s="38" t="s">
        <v>112</v>
      </c>
      <c r="C62" s="40">
        <f>1-C50/C49</f>
        <v>9.5808776737360213E-2</v>
      </c>
    </row>
  </sheetData>
  <mergeCells count="8">
    <mergeCell ref="X18:AC18"/>
    <mergeCell ref="AE18:AJ18"/>
    <mergeCell ref="B18:G18"/>
    <mergeCell ref="B39:G39"/>
    <mergeCell ref="J18:O18"/>
    <mergeCell ref="J39:O39"/>
    <mergeCell ref="Q18:V18"/>
    <mergeCell ref="Q39:V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"/>
  <sheetViews>
    <sheetView showGridLines="0" topLeftCell="A18" zoomScale="80" zoomScaleNormal="80" workbookViewId="0">
      <selection activeCell="G49" sqref="G49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155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3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51">
        <v>0.1</v>
      </c>
      <c r="F21" s="28" t="s">
        <v>26</v>
      </c>
      <c r="G21" s="51">
        <v>0.05</v>
      </c>
      <c r="H21" s="28" t="s">
        <v>27</v>
      </c>
      <c r="I21" s="51">
        <v>0.05</v>
      </c>
      <c r="J21" s="28" t="str">
        <f>L2</f>
        <v xml:space="preserve"> MARKETPLACES</v>
      </c>
      <c r="K21" s="51">
        <v>0.05</v>
      </c>
    </row>
    <row r="22" spans="2:15" x14ac:dyDescent="0.3">
      <c r="B22" s="55">
        <v>794</v>
      </c>
      <c r="C22" s="9" t="s">
        <v>28</v>
      </c>
      <c r="D22" s="42">
        <f>'POLÍTICA COMERCIAL Jan24'!C22*(1+'POLÍTICA COMERCIAL Maio_24'!O$19)</f>
        <v>392.18940000000003</v>
      </c>
      <c r="E22" s="52">
        <f>D22*(1-E$21)</f>
        <v>352.97046000000006</v>
      </c>
      <c r="F22" s="42">
        <f>'POLÍTICA COMERCIAL Jan24'!G22*(1+'POLÍTICA COMERCIAL Maio_24'!O$19)</f>
        <v>423.98940000000005</v>
      </c>
      <c r="G22" s="52">
        <f>F22*(1-G$21)</f>
        <v>402.78993000000003</v>
      </c>
      <c r="H22" s="42">
        <f>'POLÍTICA COMERCIAL Jan24'!I22*(1+'POLÍTICA COMERCIAL Maio_24'!O$19)</f>
        <v>455.78940000000006</v>
      </c>
      <c r="I22" s="52">
        <f>H22*(1-I$21)</f>
        <v>432.99993000000001</v>
      </c>
      <c r="J22" s="42">
        <f>'POLÍTICA COMERCIAL Jan24'!K22*(1+'POLÍTICA COMERCIAL Maio_24'!O$19)</f>
        <v>423.98940000000005</v>
      </c>
      <c r="K22" s="52">
        <f>J22*(1-K$21)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Maio_24'!O$19)</f>
        <v>434.58940000000001</v>
      </c>
      <c r="E23" s="52">
        <f t="shared" ref="E23:E39" si="1">D23*(1-E$21)</f>
        <v>391.13046000000003</v>
      </c>
      <c r="F23" s="42">
        <f>'POLÍTICA COMERCIAL Jan24'!G24*(1+'POLÍTICA COMERCIAL Maio_24'!O$19)</f>
        <v>466.38940000000002</v>
      </c>
      <c r="G23" s="52">
        <f t="shared" ref="G23:G40" si="2">F23*(1-G$21)</f>
        <v>443.06993</v>
      </c>
      <c r="H23" s="42">
        <f>'POLÍTICA COMERCIAL Jan24'!I24*(1+'POLÍTICA COMERCIAL Maio_24'!O$19)</f>
        <v>498.18940000000003</v>
      </c>
      <c r="I23" s="52">
        <f t="shared" ref="I23:I40" si="3">H23*(1-I$21)</f>
        <v>473.27993000000004</v>
      </c>
      <c r="J23" s="42">
        <f>'POLÍTICA COMERCIAL Jan24'!K24*(1+'POLÍTICA COMERCIAL Maio_24'!O$19)</f>
        <v>466.38940000000002</v>
      </c>
      <c r="K23" s="52">
        <f t="shared" ref="K23:K40" si="4">J23*(1-K$21)</f>
        <v>443.06993</v>
      </c>
    </row>
    <row r="24" spans="2:15" hidden="1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Maio_24'!O$19)</f>
        <v>487.58940000000001</v>
      </c>
      <c r="E25" s="52">
        <f t="shared" si="1"/>
        <v>438.83046000000002</v>
      </c>
      <c r="F25" s="42">
        <f>'POLÍTICA COMERCIAL Jan24'!G26*(1+'POLÍTICA COMERCIAL Maio_24'!O$19)</f>
        <v>519.38940000000002</v>
      </c>
      <c r="G25" s="52">
        <f t="shared" si="2"/>
        <v>493.41993000000002</v>
      </c>
      <c r="H25" s="42">
        <f>'POLÍTICA COMERCIAL Jan24'!I26*(1+'POLÍTICA COMERCIAL Maio_24'!O$19)</f>
        <v>551.18940000000009</v>
      </c>
      <c r="I25" s="52">
        <f t="shared" si="3"/>
        <v>523.62993000000006</v>
      </c>
      <c r="J25" s="42">
        <f>'POLÍTICA COMERCIAL Jan24'!K26*(1+'POLÍTICA COMERCIAL Maio_24'!O$19)</f>
        <v>519.38940000000002</v>
      </c>
      <c r="K25" s="52">
        <f t="shared" si="4"/>
        <v>493.41993000000002</v>
      </c>
    </row>
    <row r="26" spans="2:15" hidden="1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Maio_24'!O$19)</f>
        <v>635.98940000000005</v>
      </c>
      <c r="E27" s="52">
        <f t="shared" si="1"/>
        <v>572.39046000000008</v>
      </c>
      <c r="F27" s="42">
        <f>'POLÍTICA COMERCIAL Jan24'!G28*(1+'POLÍTICA COMERCIAL Maio_24'!O$19)</f>
        <v>667.7894</v>
      </c>
      <c r="G27" s="52">
        <f t="shared" si="2"/>
        <v>634.39992999999993</v>
      </c>
      <c r="H27" s="42">
        <f>'POLÍTICA COMERCIAL Jan24'!I28*(1+'POLÍTICA COMERCIAL Maio_24'!O$19)</f>
        <v>710.18940000000009</v>
      </c>
      <c r="I27" s="52">
        <f t="shared" si="3"/>
        <v>674.67993000000001</v>
      </c>
      <c r="J27" s="42">
        <f>'POLÍTICA COMERCIAL Jan24'!K28*(1+'POLÍTICA COMERCIAL Maio_24'!O$19)</f>
        <v>667.7894</v>
      </c>
      <c r="K27" s="52">
        <f t="shared" si="4"/>
        <v>634.39992999999993</v>
      </c>
    </row>
    <row r="28" spans="2:15" hidden="1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hidden="1" x14ac:dyDescent="0.3">
      <c r="B29" s="56"/>
      <c r="C29" s="41" t="s">
        <v>32</v>
      </c>
      <c r="D29" s="42" t="e">
        <f>'POLÍTICA COMERCIAL Jan24'!C30*(1+'POLÍTICA COMERCIAL Maio_24'!O$19)</f>
        <v>#VALUE!</v>
      </c>
      <c r="E29" s="52" t="e">
        <f t="shared" si="1"/>
        <v>#VALUE!</v>
      </c>
      <c r="F29" s="42" t="e">
        <f>'POLÍTICA COMERCIAL Jan24'!G30*(1+'POLÍTICA COMERCIAL Maio_24'!O$19)</f>
        <v>#VALUE!</v>
      </c>
      <c r="G29" s="52" t="e">
        <f t="shared" si="2"/>
        <v>#VALUE!</v>
      </c>
      <c r="H29" s="42" t="e">
        <f>'POLÍTICA COMERCIAL Jan24'!I30*(1+'POLÍTICA COMERCIAL Maio_24'!O$19)</f>
        <v>#VALUE!</v>
      </c>
      <c r="I29" s="52" t="e">
        <f t="shared" si="3"/>
        <v>#VALUE!</v>
      </c>
      <c r="J29" s="42" t="e">
        <f>'POLÍTICA COMERCIAL Jan24'!K30*(1+'POLÍTICA COMERCIAL Maio_24'!O$19)</f>
        <v>#VALUE!</v>
      </c>
      <c r="K29" s="52" t="e">
        <f t="shared" si="4"/>
        <v>#VALUE!</v>
      </c>
    </row>
    <row r="30" spans="2:15" x14ac:dyDescent="0.3">
      <c r="B30" s="55">
        <v>799</v>
      </c>
      <c r="C30" s="9" t="s">
        <v>33</v>
      </c>
      <c r="D30" s="42">
        <f>'POLÍTICA COMERCIAL Jan24'!C31*(1+'POLÍTICA COMERCIAL Maio_24'!O$19)</f>
        <v>816.18940000000009</v>
      </c>
      <c r="E30" s="52">
        <f t="shared" si="1"/>
        <v>734.57046000000014</v>
      </c>
      <c r="F30" s="42">
        <f>'POLÍTICA COMERCIAL Jan24'!G31*(1+'POLÍTICA COMERCIAL Maio_24'!O$19)</f>
        <v>847.98940000000005</v>
      </c>
      <c r="G30" s="52">
        <f t="shared" si="2"/>
        <v>805.58992999999998</v>
      </c>
      <c r="H30" s="42">
        <f>'POLÍTICA COMERCIAL Jan24'!I31*(1+'POLÍTICA COMERCIAL Maio_24'!O$19)</f>
        <v>890.38940000000002</v>
      </c>
      <c r="I30" s="52">
        <f t="shared" si="3"/>
        <v>845.86992999999995</v>
      </c>
      <c r="J30" s="42">
        <f>'POLÍTICA COMERCIAL Jan24'!K31*(1+'POLÍTICA COMERCIAL Maio_24'!O$19)</f>
        <v>847.98940000000005</v>
      </c>
      <c r="K30" s="52">
        <f t="shared" si="4"/>
        <v>805.58992999999998</v>
      </c>
    </row>
    <row r="31" spans="2:15" hidden="1" x14ac:dyDescent="0.3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681.83211511487991</v>
      </c>
      <c r="H31" s="42">
        <f>0.955*789.98477324</f>
        <v>754.43545844419998</v>
      </c>
      <c r="I31" s="52">
        <f t="shared" si="3"/>
        <v>716.71368552198999</v>
      </c>
      <c r="J31" s="42">
        <f>0.96*747.62293324</f>
        <v>717.71801591039991</v>
      </c>
      <c r="K31" s="52">
        <f t="shared" si="4"/>
        <v>681.83211511487991</v>
      </c>
    </row>
    <row r="32" spans="2:15" x14ac:dyDescent="0.3">
      <c r="B32" s="55">
        <v>854</v>
      </c>
      <c r="C32" s="9" t="str">
        <f>C9</f>
        <v>FONTE 90 BOB</v>
      </c>
      <c r="D32" s="42">
        <f>'POLÍTICA COMERCIAL Jan24'!C33*(1+'POLÍTICA COMERCIAL Maio_24'!O$19)</f>
        <v>413.38940000000002</v>
      </c>
      <c r="E32" s="52">
        <f t="shared" si="1"/>
        <v>372.05046000000004</v>
      </c>
      <c r="F32" s="42">
        <f>'POLÍTICA COMERCIAL Jan24'!G33*(1+'POLÍTICA COMERCIAL Maio_24'!O$19)</f>
        <v>445.18940000000003</v>
      </c>
      <c r="G32" s="52">
        <f t="shared" si="2"/>
        <v>422.92993000000001</v>
      </c>
      <c r="H32" s="42">
        <f>'POLÍTICA COMERCIAL Jan24'!I33*(1+'POLÍTICA COMERCIAL Maio_24'!O$19)</f>
        <v>466.38940000000002</v>
      </c>
      <c r="I32" s="52">
        <f t="shared" si="3"/>
        <v>443.06993</v>
      </c>
      <c r="J32" s="42">
        <f>'POLÍTICA COMERCIAL Jan24'!K33*(1+'POLÍTICA COMERCIAL Maio_24'!O$19)</f>
        <v>445.18940000000003</v>
      </c>
      <c r="K32" s="52">
        <f t="shared" si="4"/>
        <v>422.92993000000001</v>
      </c>
    </row>
    <row r="33" spans="2:13" x14ac:dyDescent="0.3">
      <c r="B33" s="55">
        <v>801</v>
      </c>
      <c r="C33" s="9" t="s">
        <v>35</v>
      </c>
      <c r="D33" s="42">
        <f>'POLÍTICA COMERCIAL Jan24'!C34*(1+'POLÍTICA COMERCIAL Maio_24'!O$19)</f>
        <v>493.94940000000003</v>
      </c>
      <c r="E33" s="52">
        <f t="shared" si="1"/>
        <v>444.55446000000001</v>
      </c>
      <c r="F33" s="42">
        <f>'POLÍTICA COMERCIAL Jan24'!G34*(1+'POLÍTICA COMERCIAL Maio_24'!O$19)</f>
        <v>525.74940000000004</v>
      </c>
      <c r="G33" s="52">
        <f t="shared" si="2"/>
        <v>499.46193</v>
      </c>
      <c r="H33" s="42">
        <f>'POLÍTICA COMERCIAL Jan24'!I34*(1+'POLÍTICA COMERCIAL Maio_24'!O$19)</f>
        <v>568.14940000000001</v>
      </c>
      <c r="I33" s="52">
        <f t="shared" si="3"/>
        <v>539.74193000000002</v>
      </c>
      <c r="J33" s="42">
        <f>'POLÍTICA COMERCIAL Jan24'!K34*(1+'POLÍTICA COMERCIAL Maio_24'!O$19)</f>
        <v>525.74940000000004</v>
      </c>
      <c r="K33" s="52">
        <f t="shared" si="4"/>
        <v>499.46193</v>
      </c>
    </row>
    <row r="34" spans="2:13" x14ac:dyDescent="0.3">
      <c r="B34" s="55">
        <v>802</v>
      </c>
      <c r="C34" s="9" t="s">
        <v>34</v>
      </c>
      <c r="D34" s="42">
        <f>'POLÍTICA COMERCIAL Jan24'!C35*(1+'POLÍTICA COMERCIAL Maio_24'!O$19)</f>
        <v>625.38940000000002</v>
      </c>
      <c r="E34" s="52">
        <f t="shared" si="1"/>
        <v>562.85046</v>
      </c>
      <c r="F34" s="42">
        <f>'POLÍTICA COMERCIAL Jan24'!G35*(1+'POLÍTICA COMERCIAL Maio_24'!O$19)</f>
        <v>657.18940000000009</v>
      </c>
      <c r="G34" s="52">
        <f t="shared" si="2"/>
        <v>624.3299300000001</v>
      </c>
      <c r="H34" s="42">
        <f>'POLÍTICA COMERCIAL Jan24'!I35*(1+'POLÍTICA COMERCIAL Maio_24'!O$19)</f>
        <v>731.38940000000002</v>
      </c>
      <c r="I34" s="52">
        <f t="shared" si="3"/>
        <v>694.81993</v>
      </c>
      <c r="J34" s="42">
        <f>'POLÍTICA COMERCIAL Jan24'!K35*(1+'POLÍTICA COMERCIAL Maio_24'!O$19)</f>
        <v>657.18940000000009</v>
      </c>
      <c r="K34" s="52">
        <f t="shared" si="4"/>
        <v>624.3299300000001</v>
      </c>
    </row>
    <row r="35" spans="2:13" x14ac:dyDescent="0.3">
      <c r="B35" s="55">
        <v>800</v>
      </c>
      <c r="C35" s="9" t="str">
        <f>C12</f>
        <v>FONTE 200 MONO</v>
      </c>
      <c r="D35" s="42">
        <f>'POLÍTICA COMERCIAL Jan24'!C36*(1+'POLÍTICA COMERCIAL Maio_24'!O$19)</f>
        <v>669.57038682500001</v>
      </c>
      <c r="E35" s="52">
        <f t="shared" si="1"/>
        <v>602.61334814250006</v>
      </c>
      <c r="F35" s="42">
        <f>'POLÍTICA COMERCIAL Jan24'!G36*(1+'POLÍTICA COMERCIAL Maio_24'!O$19)</f>
        <v>775.37993000000006</v>
      </c>
      <c r="G35" s="52">
        <f t="shared" si="2"/>
        <v>736.61093349999999</v>
      </c>
      <c r="H35" s="42">
        <f>'POLÍTICA COMERCIAL Jan24'!I36*(1+'POLÍTICA COMERCIAL Maio_24'!O$19)</f>
        <v>815.65993000000003</v>
      </c>
      <c r="I35" s="52">
        <f t="shared" si="3"/>
        <v>774.87693349999995</v>
      </c>
      <c r="J35" s="42">
        <f>'POLÍTICA COMERCIAL Jan24'!K36*(1+'POLÍTICA COMERCIAL Maio_24'!O$19)</f>
        <v>775.37993000000006</v>
      </c>
      <c r="K35" s="52">
        <f t="shared" si="4"/>
        <v>736.61093349999999</v>
      </c>
    </row>
    <row r="36" spans="2:13" x14ac:dyDescent="0.3">
      <c r="B36" s="55" t="s">
        <v>151</v>
      </c>
      <c r="C36" s="9" t="s">
        <v>37</v>
      </c>
      <c r="D36" s="42">
        <f>'POLÍTICA COMERCIAL Jan24'!C38*(1+'POLÍTICA COMERCIAL Maio_24'!O$19)</f>
        <v>58.194000000000003</v>
      </c>
      <c r="E36" s="52">
        <f t="shared" si="1"/>
        <v>52.374600000000001</v>
      </c>
      <c r="F36" s="42">
        <f>'POLÍTICA COMERCIAL Jan24'!G38*(1+'POLÍTICA COMERCIAL Maio_24'!O$19)</f>
        <v>64.861188000000013</v>
      </c>
      <c r="G36" s="52">
        <f t="shared" si="2"/>
        <v>61.618128600000006</v>
      </c>
      <c r="H36" s="42">
        <f>'POLÍTICA COMERCIAL Jan24'!I38*(1+'POLÍTICA COMERCIAL Maio_24'!O$19)</f>
        <v>70.169880000000006</v>
      </c>
      <c r="I36" s="52">
        <f t="shared" si="3"/>
        <v>66.661386000000007</v>
      </c>
      <c r="J36" s="42">
        <f>'POLÍTICA COMERCIAL Jan24'!K38*(1+'POLÍTICA COMERCIAL Maio_24'!O$19)</f>
        <v>64.861188000000013</v>
      </c>
      <c r="K36" s="52">
        <f t="shared" si="4"/>
        <v>61.618128600000006</v>
      </c>
    </row>
    <row r="37" spans="2:13" x14ac:dyDescent="0.3">
      <c r="B37" s="55" t="s">
        <v>150</v>
      </c>
      <c r="C37" s="9" t="s">
        <v>36</v>
      </c>
      <c r="D37" s="42">
        <f>'POLÍTICA COMERCIAL Jan24'!C39*(1+'POLÍTICA COMERCIAL Maio_24'!O$19)</f>
        <v>55.284299999999995</v>
      </c>
      <c r="E37" s="52">
        <f t="shared" si="1"/>
        <v>49.755869999999994</v>
      </c>
      <c r="F37" s="42">
        <f>'POLÍTICA COMERCIAL Jan24'!G39*(1+'POLÍTICA COMERCIAL Maio_24'!O$19)</f>
        <v>61.618128600000006</v>
      </c>
      <c r="G37" s="52">
        <f t="shared" si="2"/>
        <v>58.53722217</v>
      </c>
      <c r="H37" s="42">
        <f>'POLÍTICA COMERCIAL Jan24'!I39*(1+'POLÍTICA COMERCIAL Maio_24'!O$19)</f>
        <v>66.661386000000007</v>
      </c>
      <c r="I37" s="52">
        <f t="shared" si="3"/>
        <v>63.328316700000002</v>
      </c>
      <c r="J37" s="42">
        <f>'POLÍTICA COMERCIAL Jan24'!K39*(1+'POLÍTICA COMERCIAL Maio_24'!O$19)</f>
        <v>61.618128600000006</v>
      </c>
      <c r="K37" s="52">
        <f t="shared" si="4"/>
        <v>58.53722217</v>
      </c>
    </row>
    <row r="38" spans="2:13" x14ac:dyDescent="0.3">
      <c r="B38" s="55">
        <v>681</v>
      </c>
      <c r="C38" s="9" t="s">
        <v>38</v>
      </c>
      <c r="D38" s="42">
        <f>'POLÍTICA COMERCIAL Jan24'!C40*(1+'POLÍTICA COMERCIAL Maio_24'!O$19)</f>
        <v>83.740000000000009</v>
      </c>
      <c r="E38" s="52">
        <f t="shared" si="1"/>
        <v>75.366000000000014</v>
      </c>
      <c r="F38" s="42">
        <f>'POLÍTICA COMERCIAL Jan24'!G40*(1+'POLÍTICA COMERCIAL Maio_24'!O$19)</f>
        <v>96.226800000000011</v>
      </c>
      <c r="G38" s="52">
        <f t="shared" si="2"/>
        <v>91.41546000000001</v>
      </c>
      <c r="H38" s="42">
        <f>'POLÍTICA COMERCIAL Jan24'!I40*(1+'POLÍTICA COMERCIAL Maio_24'!O$19)</f>
        <v>107.03880000000001</v>
      </c>
      <c r="I38" s="52">
        <f t="shared" si="3"/>
        <v>101.68686000000001</v>
      </c>
      <c r="J38" s="42">
        <f>'POLÍTICA COMERCIAL Jan24'!K40*(1+'POLÍTICA COMERCIAL Maio_24'!O$19)</f>
        <v>96.226800000000011</v>
      </c>
      <c r="K38" s="52">
        <f t="shared" si="4"/>
        <v>91.41546000000001</v>
      </c>
    </row>
    <row r="39" spans="2:13" x14ac:dyDescent="0.3">
      <c r="B39" s="55" t="s">
        <v>149</v>
      </c>
      <c r="C39" s="9" t="s">
        <v>39</v>
      </c>
      <c r="D39" s="42">
        <f>'POLÍTICA COMERCIAL Jan24'!C41*(1+'POLÍTICA COMERCIAL Maio_24'!O$19)</f>
        <v>73.14</v>
      </c>
      <c r="E39" s="52">
        <f t="shared" si="1"/>
        <v>65.826000000000008</v>
      </c>
      <c r="F39" s="42">
        <f>'POLÍTICA COMERCIAL Jan24'!G41*(1+'POLÍTICA COMERCIAL Maio_24'!O$19)</f>
        <v>83.634000000000015</v>
      </c>
      <c r="G39" s="52">
        <f t="shared" si="2"/>
        <v>79.452300000000008</v>
      </c>
      <c r="H39" s="42">
        <f>'POLÍTICA COMERCIAL Jan24'!I41*(1+'POLÍTICA COMERCIAL Maio_24'!O$19)</f>
        <v>93.174000000000007</v>
      </c>
      <c r="I39" s="52">
        <f t="shared" si="3"/>
        <v>88.515299999999996</v>
      </c>
      <c r="J39" s="42">
        <f>'POLÍTICA COMERCIAL Jan24'!K41*(1+'POLÍTICA COMERCIAL Maio_24'!O$19)</f>
        <v>83.634000000000015</v>
      </c>
      <c r="K39" s="52">
        <f t="shared" si="4"/>
        <v>79.452300000000008</v>
      </c>
    </row>
    <row r="40" spans="2:13" x14ac:dyDescent="0.3">
      <c r="B40" s="55">
        <v>781</v>
      </c>
      <c r="C40" s="9" t="s">
        <v>148</v>
      </c>
      <c r="D40" s="42">
        <f>F40</f>
        <v>173.68</v>
      </c>
      <c r="E40" s="52">
        <f>G40</f>
        <v>164.99600000000001</v>
      </c>
      <c r="F40" s="42">
        <v>173.68</v>
      </c>
      <c r="G40" s="52">
        <f t="shared" si="2"/>
        <v>164.99600000000001</v>
      </c>
      <c r="H40" s="42">
        <f>F40+5</f>
        <v>178.68</v>
      </c>
      <c r="I40" s="52">
        <f t="shared" si="3"/>
        <v>169.74600000000001</v>
      </c>
      <c r="J40" s="42">
        <f>F40</f>
        <v>173.68</v>
      </c>
      <c r="K40" s="52">
        <f t="shared" si="4"/>
        <v>164.99600000000001</v>
      </c>
    </row>
    <row r="41" spans="2:13" x14ac:dyDescent="0.3">
      <c r="C41" s="57"/>
      <c r="D41" s="58"/>
      <c r="E41" s="59"/>
      <c r="F41" s="59"/>
      <c r="G41" s="59"/>
      <c r="H41" s="59"/>
      <c r="I41" s="59"/>
      <c r="J41" s="59"/>
      <c r="K41" s="59"/>
      <c r="L41" s="59"/>
      <c r="M41" s="59"/>
    </row>
    <row r="42" spans="2:13" x14ac:dyDescent="0.3">
      <c r="C42" s="67" t="s">
        <v>142</v>
      </c>
      <c r="D42" s="68"/>
      <c r="E42" s="47" t="s">
        <v>132</v>
      </c>
      <c r="F42" s="45" t="s">
        <v>144</v>
      </c>
      <c r="G42" s="47" t="str">
        <f>E42</f>
        <v>Promo</v>
      </c>
      <c r="H42" s="45" t="s">
        <v>144</v>
      </c>
      <c r="I42" s="47" t="str">
        <f>G42</f>
        <v>Promo</v>
      </c>
      <c r="J42" s="45" t="s">
        <v>144</v>
      </c>
      <c r="K42" s="47" t="str">
        <f>I42</f>
        <v>Promo</v>
      </c>
      <c r="L42" s="59"/>
      <c r="M42" s="59"/>
    </row>
    <row r="43" spans="2:13" x14ac:dyDescent="0.3">
      <c r="B43" s="28" t="s">
        <v>147</v>
      </c>
      <c r="C43" s="28" t="s">
        <v>23</v>
      </c>
      <c r="D43" s="28" t="s">
        <v>154</v>
      </c>
      <c r="E43" s="51">
        <v>0.1</v>
      </c>
      <c r="F43" s="28" t="s">
        <v>26</v>
      </c>
      <c r="G43" s="51">
        <v>0.1</v>
      </c>
      <c r="H43" s="28" t="s">
        <v>27</v>
      </c>
      <c r="I43" s="51">
        <v>0.1</v>
      </c>
      <c r="J43" s="28" t="str">
        <f>J21</f>
        <v xml:space="preserve"> MARKETPLACES</v>
      </c>
      <c r="K43" s="51">
        <v>0.1</v>
      </c>
      <c r="L43" s="59"/>
      <c r="M43" s="59"/>
    </row>
    <row r="44" spans="2:13" x14ac:dyDescent="0.3">
      <c r="B44" s="55">
        <v>901</v>
      </c>
      <c r="C44" s="9" t="s">
        <v>53</v>
      </c>
      <c r="D44" s="42">
        <f>383.61812976*0.93</f>
        <v>356.76486067680003</v>
      </c>
      <c r="E44" s="52">
        <f>D44*(1-E$43)</f>
        <v>321.08837460912002</v>
      </c>
      <c r="F44" s="42">
        <f>413.07133004*0.93</f>
        <v>384.15633693720002</v>
      </c>
      <c r="G44" s="52">
        <f>F44*(1-G$43)</f>
        <v>345.74070324348003</v>
      </c>
      <c r="H44" s="42">
        <f>441.90761032*0.93</f>
        <v>410.9740775976</v>
      </c>
      <c r="I44" s="52">
        <f>H44*(1-I$43)</f>
        <v>369.87666983783998</v>
      </c>
      <c r="J44" s="42">
        <f>413.07133004*0.93</f>
        <v>384.15633693720002</v>
      </c>
      <c r="K44" s="52">
        <f>J44*(1-K$43)</f>
        <v>345.74070324348003</v>
      </c>
    </row>
    <row r="45" spans="2:13" x14ac:dyDescent="0.3">
      <c r="B45" s="55">
        <v>900</v>
      </c>
      <c r="C45" s="9" t="s">
        <v>54</v>
      </c>
      <c r="D45" s="42">
        <f>0.94*428.32364884</f>
        <v>402.62422990959993</v>
      </c>
      <c r="E45" s="52">
        <f t="shared" ref="E45:E47" si="5">D45*(1-E$43)</f>
        <v>362.36180691863996</v>
      </c>
      <c r="F45" s="42">
        <f>0.94*457.70775408</f>
        <v>430.24528883519997</v>
      </c>
      <c r="G45" s="52">
        <f t="shared" ref="G45:G47" si="6">F45*(1-G$43)</f>
        <v>387.22075995168001</v>
      </c>
      <c r="H45" s="42">
        <f>0.94*486.47493932</f>
        <v>457.28644296079995</v>
      </c>
      <c r="I45" s="52">
        <f t="shared" ref="I45:I47" si="7">H45*(1-I$43)</f>
        <v>411.55779866471994</v>
      </c>
      <c r="J45" s="42">
        <f>0.94*457.70775408</f>
        <v>430.24528883519997</v>
      </c>
      <c r="K45" s="52">
        <f t="shared" ref="K45:K47" si="8">J45*(1-K$43)</f>
        <v>387.22075995168001</v>
      </c>
    </row>
    <row r="46" spans="2:13" x14ac:dyDescent="0.3">
      <c r="B46" s="55">
        <v>899</v>
      </c>
      <c r="C46" s="9" t="s">
        <v>55</v>
      </c>
      <c r="D46" s="42">
        <f>561.2676468*0.96</f>
        <v>538.81694092799989</v>
      </c>
      <c r="E46" s="52">
        <f t="shared" si="5"/>
        <v>484.93524683519991</v>
      </c>
      <c r="F46" s="42">
        <f>0.96*588.00208064</f>
        <v>564.48199741439998</v>
      </c>
      <c r="G46" s="52">
        <f t="shared" si="6"/>
        <v>508.03379767296002</v>
      </c>
      <c r="H46" s="42">
        <f>0.95*635.30051448</f>
        <v>603.53548875599995</v>
      </c>
      <c r="I46" s="52">
        <f t="shared" si="7"/>
        <v>543.18193988040002</v>
      </c>
      <c r="J46" s="42">
        <f>0.96*588.00208064</f>
        <v>564.48199741439998</v>
      </c>
      <c r="K46" s="52">
        <f t="shared" si="8"/>
        <v>508.03379767296002</v>
      </c>
    </row>
    <row r="47" spans="2:13" x14ac:dyDescent="0.3">
      <c r="B47" s="55">
        <v>898</v>
      </c>
      <c r="C47" s="9" t="s">
        <v>56</v>
      </c>
      <c r="D47" s="42">
        <f>0.96*722.80156832</f>
        <v>693.88950558720001</v>
      </c>
      <c r="E47" s="52">
        <f t="shared" si="5"/>
        <v>624.50055502847999</v>
      </c>
      <c r="F47" s="42">
        <f>0.96*747.62293324</f>
        <v>717.71801591039991</v>
      </c>
      <c r="G47" s="52">
        <f t="shared" si="6"/>
        <v>645.94621431935991</v>
      </c>
      <c r="H47" s="42">
        <f>0.955*789.98477324</f>
        <v>754.43545844419998</v>
      </c>
      <c r="I47" s="52">
        <f t="shared" si="7"/>
        <v>678.99191259977999</v>
      </c>
      <c r="J47" s="42">
        <f>0.96*747.62293324</f>
        <v>717.71801591039991</v>
      </c>
      <c r="K47" s="52">
        <f t="shared" si="8"/>
        <v>645.94621431935991</v>
      </c>
    </row>
    <row r="48" spans="2:13" x14ac:dyDescent="0.3">
      <c r="G48">
        <v>319.7</v>
      </c>
    </row>
    <row r="49" spans="7:7" x14ac:dyDescent="0.3">
      <c r="G49" s="15">
        <f>G48/G44</f>
        <v>0.92468140719566516</v>
      </c>
    </row>
  </sheetData>
  <mergeCells count="3">
    <mergeCell ref="C20:D20"/>
    <mergeCell ref="C19:K19"/>
    <mergeCell ref="C42:D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F44:J47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showGridLines="0" topLeftCell="A18" zoomScale="80" zoomScaleNormal="80" workbookViewId="0">
      <selection activeCell="E27" sqref="E27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153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O19" s="27">
        <v>0.06</v>
      </c>
    </row>
    <row r="20" spans="2:15" x14ac:dyDescent="0.3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3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3">
      <c r="B22" s="55">
        <v>794</v>
      </c>
      <c r="C22" s="9" t="s">
        <v>28</v>
      </c>
      <c r="D22" s="42">
        <f>'POLÍTICA COMERCIAL Jan24'!C22*(1+'POLÍTICA COMERCIAL Abril_24'!O$19)</f>
        <v>392.18940000000003</v>
      </c>
      <c r="E22" s="52">
        <f>D22*(1-E$21)</f>
        <v>352.97046000000006</v>
      </c>
      <c r="F22" s="42">
        <f>'POLÍTICA COMERCIAL Jan24'!E22*(1+'POLÍTICA COMERCIAL Abril_24'!O$19)</f>
        <v>423.98940000000005</v>
      </c>
      <c r="G22" s="52">
        <f>F22*(1-G$21)</f>
        <v>381.59046000000006</v>
      </c>
      <c r="H22" s="42">
        <f>'POLÍTICA COMERCIAL Jan24'!G22*(1+'POLÍTICA COMERCIAL Abril_24'!O$19)</f>
        <v>423.98940000000005</v>
      </c>
      <c r="I22" s="52">
        <f>H22*(1-I$21)</f>
        <v>402.78993000000003</v>
      </c>
      <c r="J22" s="42">
        <f>'POLÍTICA COMERCIAL Jan24'!I22*(1+'POLÍTICA COMERCIAL Abril_24'!O$19)</f>
        <v>455.78940000000006</v>
      </c>
      <c r="K22" s="52">
        <f>J22*(1-K$21)</f>
        <v>432.99993000000001</v>
      </c>
      <c r="L22" s="42">
        <f>'POLÍTICA COMERCIAL Jan24'!K22*(1+'POLÍTICA COMERCIAL Abril_24'!O$19)</f>
        <v>423.98940000000005</v>
      </c>
      <c r="M22" s="52">
        <f>L22*(1-M$21)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Abril_24'!O$19)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Abril_24'!O$19)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Abril_24'!O$19)</f>
        <v>466.38940000000002</v>
      </c>
      <c r="I23" s="52">
        <f t="shared" ref="I23:I40" si="3">H23*(1-I$21)</f>
        <v>443.06993</v>
      </c>
      <c r="J23" s="42">
        <f>'POLÍTICA COMERCIAL Jan24'!I24*(1+'POLÍTICA COMERCIAL Abril_24'!O$19)</f>
        <v>498.18940000000003</v>
      </c>
      <c r="K23" s="52">
        <f t="shared" ref="K23:K40" si="4">J23*(1-K$21)</f>
        <v>473.27993000000004</v>
      </c>
      <c r="L23" s="42">
        <f>'POLÍTICA COMERCIAL Jan24'!K24*(1+'POLÍTICA COMERCIAL Abril_24'!O$19)</f>
        <v>466.38940000000002</v>
      </c>
      <c r="M23" s="52">
        <f t="shared" ref="M23:M40" si="5">L23*(1-M$21)</f>
        <v>443.06993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345.74070324348003</v>
      </c>
      <c r="H24" s="42">
        <f>413.07133004*0.93</f>
        <v>384.15633693720002</v>
      </c>
      <c r="I24" s="52">
        <f t="shared" si="3"/>
        <v>364.94852009034003</v>
      </c>
      <c r="J24" s="42">
        <f>441.90761032*0.93</f>
        <v>410.9740775976</v>
      </c>
      <c r="K24" s="52">
        <f t="shared" si="4"/>
        <v>390.42537371771999</v>
      </c>
      <c r="L24" s="42">
        <f>413.07133004*0.93</f>
        <v>384.15633693720002</v>
      </c>
      <c r="M24" s="52">
        <f t="shared" si="5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Abril_24'!O$19)</f>
        <v>487.58940000000001</v>
      </c>
      <c r="E25" s="52">
        <f t="shared" si="1"/>
        <v>438.83046000000002</v>
      </c>
      <c r="F25" s="42">
        <f>'POLÍTICA COMERCIAL Jan24'!E26*(1+'POLÍTICA COMERCIAL Abril_24'!O$19)</f>
        <v>519.38940000000002</v>
      </c>
      <c r="G25" s="52">
        <f t="shared" si="2"/>
        <v>467.45046000000002</v>
      </c>
      <c r="H25" s="42">
        <f>'POLÍTICA COMERCIAL Jan24'!G26*(1+'POLÍTICA COMERCIAL Abril_24'!O$19)</f>
        <v>519.38940000000002</v>
      </c>
      <c r="I25" s="52">
        <f t="shared" si="3"/>
        <v>493.41993000000002</v>
      </c>
      <c r="J25" s="42">
        <f>'POLÍTICA COMERCIAL Jan24'!I26*(1+'POLÍTICA COMERCIAL Abril_24'!O$19)</f>
        <v>551.18940000000009</v>
      </c>
      <c r="K25" s="52">
        <f t="shared" si="4"/>
        <v>523.62993000000006</v>
      </c>
      <c r="L25" s="42">
        <f>'POLÍTICA COMERCIAL Jan24'!K26*(1+'POLÍTICA COMERCIAL Abril_24'!O$19)</f>
        <v>519.38940000000002</v>
      </c>
      <c r="M25" s="52">
        <f t="shared" si="5"/>
        <v>493.41993000000002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387.22075995168001</v>
      </c>
      <c r="H26" s="42">
        <f>0.94*457.70775408</f>
        <v>430.24528883519997</v>
      </c>
      <c r="I26" s="52">
        <f t="shared" si="3"/>
        <v>408.73302439343996</v>
      </c>
      <c r="J26" s="42">
        <f>0.94*486.47493932</f>
        <v>457.28644296079995</v>
      </c>
      <c r="K26" s="52">
        <f t="shared" si="4"/>
        <v>434.42212081275994</v>
      </c>
      <c r="L26" s="42">
        <f>0.94*457.70775408</f>
        <v>430.24528883519997</v>
      </c>
      <c r="M26" s="52">
        <f t="shared" si="5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Abril_24'!O$19)</f>
        <v>635.98940000000005</v>
      </c>
      <c r="E27" s="52">
        <f t="shared" si="1"/>
        <v>572.39046000000008</v>
      </c>
      <c r="F27" s="42">
        <f>'POLÍTICA COMERCIAL Jan24'!E28*(1+'POLÍTICA COMERCIAL Abril_24'!O$19)</f>
        <v>667.7894</v>
      </c>
      <c r="G27" s="52">
        <f t="shared" si="2"/>
        <v>601.01045999999997</v>
      </c>
      <c r="H27" s="42">
        <f>'POLÍTICA COMERCIAL Jan24'!G28*(1+'POLÍTICA COMERCIAL Abril_24'!O$19)</f>
        <v>667.7894</v>
      </c>
      <c r="I27" s="52">
        <f t="shared" si="3"/>
        <v>634.39992999999993</v>
      </c>
      <c r="J27" s="42">
        <f>'POLÍTICA COMERCIAL Jan24'!I28*(1+'POLÍTICA COMERCIAL Abril_24'!O$19)</f>
        <v>710.18940000000009</v>
      </c>
      <c r="K27" s="52">
        <f t="shared" si="4"/>
        <v>674.67993000000001</v>
      </c>
      <c r="L27" s="42">
        <f>'POLÍTICA COMERCIAL Jan24'!K28*(1+'POLÍTICA COMERCIAL Abril_24'!O$19)</f>
        <v>667.7894</v>
      </c>
      <c r="M27" s="52">
        <f t="shared" si="5"/>
        <v>634.39992999999993</v>
      </c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588.00208064*0.96</f>
        <v>564.48199741439998</v>
      </c>
      <c r="G28" s="52">
        <f t="shared" si="2"/>
        <v>508.03379767296002</v>
      </c>
      <c r="H28" s="42">
        <f>0.96*588.00208064</f>
        <v>564.48199741439998</v>
      </c>
      <c r="I28" s="52">
        <f t="shared" si="3"/>
        <v>536.25789754367997</v>
      </c>
      <c r="J28" s="42">
        <f>0.95*635.30051448</f>
        <v>603.53548875599995</v>
      </c>
      <c r="K28" s="52">
        <f t="shared" si="4"/>
        <v>573.35871431819987</v>
      </c>
      <c r="L28" s="42">
        <f>0.96*588.00208064</f>
        <v>564.48199741439998</v>
      </c>
      <c r="M28" s="52">
        <f t="shared" si="5"/>
        <v>536.25789754367997</v>
      </c>
    </row>
    <row r="29" spans="2:15" hidden="1" x14ac:dyDescent="0.3">
      <c r="B29" s="56"/>
      <c r="C29" s="41" t="s">
        <v>32</v>
      </c>
      <c r="D29" s="42" t="e">
        <f>'POLÍTICA COMERCIAL Jan24'!C30*(1+'POLÍTICA COMERCIAL Abril_24'!O$19)</f>
        <v>#VALUE!</v>
      </c>
      <c r="E29" s="52" t="e">
        <f t="shared" si="1"/>
        <v>#VALUE!</v>
      </c>
      <c r="F29" s="42" t="e">
        <f>'POLÍTICA COMERCIAL Jan24'!E30*(1+'POLÍTICA COMERCIAL Abril_24'!O$19)</f>
        <v>#VALUE!</v>
      </c>
      <c r="G29" s="52" t="e">
        <f t="shared" si="2"/>
        <v>#VALUE!</v>
      </c>
      <c r="H29" s="42" t="e">
        <f>'POLÍTICA COMERCIAL Jan24'!G30*(1+'POLÍTICA COMERCIAL Abril_24'!O$19)</f>
        <v>#VALUE!</v>
      </c>
      <c r="I29" s="52" t="e">
        <f t="shared" si="3"/>
        <v>#VALUE!</v>
      </c>
      <c r="J29" s="42" t="e">
        <f>'POLÍTICA COMERCIAL Jan24'!I30*(1+'POLÍTICA COMERCIAL Abril_24'!O$19)</f>
        <v>#VALUE!</v>
      </c>
      <c r="K29" s="52" t="e">
        <f t="shared" si="4"/>
        <v>#VALUE!</v>
      </c>
      <c r="L29" s="42" t="e">
        <f>'POLÍTICA COMERCIAL Jan24'!K30*(1+'POLÍTICA COMERCIAL Abril_24'!O$19)</f>
        <v>#VALUE!</v>
      </c>
      <c r="M29" s="52" t="e">
        <f t="shared" si="5"/>
        <v>#VALUE!</v>
      </c>
    </row>
    <row r="30" spans="2:15" x14ac:dyDescent="0.3">
      <c r="B30" s="55">
        <v>799</v>
      </c>
      <c r="C30" s="9" t="s">
        <v>33</v>
      </c>
      <c r="D30" s="42">
        <f>'POLÍTICA COMERCIAL Jan24'!C31*(1+'POLÍTICA COMERCIAL Abril_24'!O$19)</f>
        <v>816.18940000000009</v>
      </c>
      <c r="E30" s="52">
        <f t="shared" si="1"/>
        <v>734.57046000000014</v>
      </c>
      <c r="F30" s="42">
        <f>'POLÍTICA COMERCIAL Jan24'!E31*(1+'POLÍTICA COMERCIAL Abril_24'!O$19)</f>
        <v>847.98940000000005</v>
      </c>
      <c r="G30" s="52">
        <f t="shared" si="2"/>
        <v>763.19046000000003</v>
      </c>
      <c r="H30" s="42">
        <f>'POLÍTICA COMERCIAL Jan24'!G31*(1+'POLÍTICA COMERCIAL Abril_24'!O$19)</f>
        <v>847.98940000000005</v>
      </c>
      <c r="I30" s="52">
        <f t="shared" si="3"/>
        <v>805.58992999999998</v>
      </c>
      <c r="J30" s="42">
        <f>'POLÍTICA COMERCIAL Jan24'!I31*(1+'POLÍTICA COMERCIAL Abril_24'!O$19)</f>
        <v>890.38940000000002</v>
      </c>
      <c r="K30" s="52">
        <f t="shared" si="4"/>
        <v>845.86992999999995</v>
      </c>
      <c r="L30" s="42">
        <f>'POLÍTICA COMERCIAL Jan24'!K31*(1+'POLÍTICA COMERCIAL Abril_24'!O$19)</f>
        <v>847.98940000000005</v>
      </c>
      <c r="M30" s="52">
        <f t="shared" si="5"/>
        <v>805.58992999999998</v>
      </c>
    </row>
    <row r="31" spans="2:15" x14ac:dyDescent="0.3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645.94621431935991</v>
      </c>
      <c r="H31" s="42">
        <f>0.96*747.62293324</f>
        <v>717.71801591039991</v>
      </c>
      <c r="I31" s="52">
        <f t="shared" si="3"/>
        <v>681.83211511487991</v>
      </c>
      <c r="J31" s="42">
        <f>0.955*789.98477324</f>
        <v>754.43545844419998</v>
      </c>
      <c r="K31" s="52">
        <f t="shared" si="4"/>
        <v>716.71368552198999</v>
      </c>
      <c r="L31" s="42">
        <f>0.96*747.62293324</f>
        <v>717.71801591039991</v>
      </c>
      <c r="M31" s="52">
        <f t="shared" si="5"/>
        <v>681.83211511487991</v>
      </c>
    </row>
    <row r="32" spans="2:15" x14ac:dyDescent="0.3">
      <c r="B32" s="55">
        <v>854</v>
      </c>
      <c r="C32" s="9" t="str">
        <f>C9</f>
        <v>FONTE 90 BOB</v>
      </c>
      <c r="D32" s="42">
        <f>'POLÍTICA COMERCIAL Jan24'!C33*(1+'POLÍTICA COMERCIAL Abril_24'!O$19)</f>
        <v>413.38940000000002</v>
      </c>
      <c r="E32" s="52">
        <f t="shared" si="1"/>
        <v>372.05046000000004</v>
      </c>
      <c r="F32" s="42">
        <f>'POLÍTICA COMERCIAL Jan24'!E33*(1+'POLÍTICA COMERCIAL Abril_24'!O$19)</f>
        <v>445.18940000000003</v>
      </c>
      <c r="G32" s="52">
        <f t="shared" si="2"/>
        <v>400.67046000000005</v>
      </c>
      <c r="H32" s="42">
        <f>'POLÍTICA COMERCIAL Jan24'!G33*(1+'POLÍTICA COMERCIAL Abril_24'!O$19)</f>
        <v>445.18940000000003</v>
      </c>
      <c r="I32" s="52">
        <f t="shared" si="3"/>
        <v>422.92993000000001</v>
      </c>
      <c r="J32" s="42">
        <f>'POLÍTICA COMERCIAL Jan24'!I33*(1+'POLÍTICA COMERCIAL Abril_24'!O$19)</f>
        <v>466.38940000000002</v>
      </c>
      <c r="K32" s="52">
        <f t="shared" si="4"/>
        <v>443.06993</v>
      </c>
      <c r="L32" s="42">
        <f>'POLÍTICA COMERCIAL Jan24'!K33*(1+'POLÍTICA COMERCIAL Abril_24'!O$19)</f>
        <v>445.18940000000003</v>
      </c>
      <c r="M32" s="52">
        <f t="shared" si="5"/>
        <v>422.92993000000001</v>
      </c>
    </row>
    <row r="33" spans="2:13" x14ac:dyDescent="0.3">
      <c r="B33" s="55">
        <v>801</v>
      </c>
      <c r="C33" s="9" t="s">
        <v>35</v>
      </c>
      <c r="D33" s="42">
        <f>'POLÍTICA COMERCIAL Jan24'!C34*(1+'POLÍTICA COMERCIAL Abril_24'!O$19)</f>
        <v>493.94940000000003</v>
      </c>
      <c r="E33" s="52">
        <f t="shared" si="1"/>
        <v>444.55446000000001</v>
      </c>
      <c r="F33" s="42">
        <f>'POLÍTICA COMERCIAL Jan24'!E34*(1+'POLÍTICA COMERCIAL Abril_24'!O$19)</f>
        <v>525.74940000000004</v>
      </c>
      <c r="G33" s="52">
        <f t="shared" si="2"/>
        <v>473.17446000000007</v>
      </c>
      <c r="H33" s="42">
        <f>'POLÍTICA COMERCIAL Jan24'!G34*(1+'POLÍTICA COMERCIAL Abril_24'!O$19)</f>
        <v>525.74940000000004</v>
      </c>
      <c r="I33" s="52">
        <f t="shared" si="3"/>
        <v>499.46193</v>
      </c>
      <c r="J33" s="42">
        <f>'POLÍTICA COMERCIAL Jan24'!I34*(1+'POLÍTICA COMERCIAL Abril_24'!O$19)</f>
        <v>568.14940000000001</v>
      </c>
      <c r="K33" s="52">
        <f t="shared" si="4"/>
        <v>539.74193000000002</v>
      </c>
      <c r="L33" s="42">
        <f>'POLÍTICA COMERCIAL Jan24'!K34*(1+'POLÍTICA COMERCIAL Abril_24'!O$19)</f>
        <v>525.74940000000004</v>
      </c>
      <c r="M33" s="52">
        <f t="shared" si="5"/>
        <v>499.46193</v>
      </c>
    </row>
    <row r="34" spans="2:13" x14ac:dyDescent="0.3">
      <c r="B34" s="55">
        <v>802</v>
      </c>
      <c r="C34" s="9" t="s">
        <v>34</v>
      </c>
      <c r="D34" s="42">
        <f>'POLÍTICA COMERCIAL Jan24'!C35*(1+'POLÍTICA COMERCIAL Abril_24'!O$19)</f>
        <v>625.38940000000002</v>
      </c>
      <c r="E34" s="52">
        <f t="shared" si="1"/>
        <v>562.85046</v>
      </c>
      <c r="F34" s="42">
        <f>'POLÍTICA COMERCIAL Jan24'!E35*(1+'POLÍTICA COMERCIAL Abril_24'!O$19)</f>
        <v>657.18940000000009</v>
      </c>
      <c r="G34" s="52">
        <f t="shared" si="2"/>
        <v>591.47046000000012</v>
      </c>
      <c r="H34" s="42">
        <f>'POLÍTICA COMERCIAL Jan24'!G35*(1+'POLÍTICA COMERCIAL Abril_24'!O$19)</f>
        <v>657.18940000000009</v>
      </c>
      <c r="I34" s="52">
        <f t="shared" si="3"/>
        <v>624.3299300000001</v>
      </c>
      <c r="J34" s="42">
        <f>'POLÍTICA COMERCIAL Jan24'!I35*(1+'POLÍTICA COMERCIAL Abril_24'!O$19)</f>
        <v>731.38940000000002</v>
      </c>
      <c r="K34" s="52">
        <f t="shared" si="4"/>
        <v>694.81993</v>
      </c>
      <c r="L34" s="42">
        <f>'POLÍTICA COMERCIAL Jan24'!K35*(1+'POLÍTICA COMERCIAL Abril_24'!O$19)</f>
        <v>657.18940000000009</v>
      </c>
      <c r="M34" s="52">
        <f t="shared" si="5"/>
        <v>624.3299300000001</v>
      </c>
    </row>
    <row r="35" spans="2:13" x14ac:dyDescent="0.3">
      <c r="B35" s="55">
        <v>800</v>
      </c>
      <c r="C35" s="9" t="str">
        <f>C12</f>
        <v>FONTE 200 MONO</v>
      </c>
      <c r="D35" s="42">
        <f>'POLÍTICA COMERCIAL Jan24'!C36*(1+'POLÍTICA COMERCIAL Abril_24'!O$19)</f>
        <v>669.57038682500001</v>
      </c>
      <c r="E35" s="52">
        <f t="shared" si="1"/>
        <v>602.61334814250006</v>
      </c>
      <c r="F35" s="42">
        <f>'POLÍTICA COMERCIAL Jan24'!E36*(1+'POLÍTICA COMERCIAL Abril_24'!O$19)</f>
        <v>736.61093349999999</v>
      </c>
      <c r="G35" s="52">
        <f t="shared" si="2"/>
        <v>662.94984015</v>
      </c>
      <c r="H35" s="42">
        <f>'POLÍTICA COMERCIAL Jan24'!G36*(1+'POLÍTICA COMERCIAL Abril_24'!O$19)</f>
        <v>775.37993000000006</v>
      </c>
      <c r="I35" s="52">
        <f t="shared" si="3"/>
        <v>736.61093349999999</v>
      </c>
      <c r="J35" s="42">
        <f>'POLÍTICA COMERCIAL Jan24'!I36*(1+'POLÍTICA COMERCIAL Abril_24'!O$19)</f>
        <v>815.65993000000003</v>
      </c>
      <c r="K35" s="52">
        <f t="shared" si="4"/>
        <v>774.87693349999995</v>
      </c>
      <c r="L35" s="42">
        <f>'POLÍTICA COMERCIAL Jan24'!K36*(1+'POLÍTICA COMERCIAL Abril_24'!O$19)</f>
        <v>775.37993000000006</v>
      </c>
      <c r="M35" s="52">
        <f t="shared" si="5"/>
        <v>736.61093349999999</v>
      </c>
    </row>
    <row r="36" spans="2:13" x14ac:dyDescent="0.3">
      <c r="B36" s="55" t="s">
        <v>151</v>
      </c>
      <c r="C36" s="9" t="s">
        <v>37</v>
      </c>
      <c r="D36" s="42">
        <f>'POLÍTICA COMERCIAL Jan24'!C38*(1+'POLÍTICA COMERCIAL Abril_24'!O$19)</f>
        <v>58.194000000000003</v>
      </c>
      <c r="E36" s="52">
        <f t="shared" si="1"/>
        <v>52.374600000000001</v>
      </c>
      <c r="F36" s="42">
        <f>'POLÍTICA COMERCIAL Jan24'!E38*(1+'POLÍTICA COMERCIAL Abril_24'!O$19)</f>
        <v>59.357880000000002</v>
      </c>
      <c r="G36" s="52">
        <f t="shared" si="2"/>
        <v>53.422091999999999</v>
      </c>
      <c r="H36" s="42">
        <f>'POLÍTICA COMERCIAL Jan24'!G38*(1+'POLÍTICA COMERCIAL Abril_24'!O$19)</f>
        <v>64.861188000000013</v>
      </c>
      <c r="I36" s="52">
        <f t="shared" si="3"/>
        <v>61.618128600000006</v>
      </c>
      <c r="J36" s="42">
        <f>'POLÍTICA COMERCIAL Jan24'!I38*(1+'POLÍTICA COMERCIAL Abril_24'!O$19)</f>
        <v>70.169880000000006</v>
      </c>
      <c r="K36" s="52">
        <f t="shared" si="4"/>
        <v>66.661386000000007</v>
      </c>
      <c r="L36" s="42">
        <f>'POLÍTICA COMERCIAL Jan24'!K38*(1+'POLÍTICA COMERCIAL Abril_24'!O$19)</f>
        <v>64.861188000000013</v>
      </c>
      <c r="M36" s="52">
        <f t="shared" si="5"/>
        <v>61.618128600000006</v>
      </c>
    </row>
    <row r="37" spans="2:13" x14ac:dyDescent="0.3">
      <c r="B37" s="55" t="s">
        <v>150</v>
      </c>
      <c r="C37" s="9" t="s">
        <v>36</v>
      </c>
      <c r="D37" s="42">
        <f>'POLÍTICA COMERCIAL Jan24'!C39*(1+'POLÍTICA COMERCIAL Abril_24'!O$19)</f>
        <v>55.284299999999995</v>
      </c>
      <c r="E37" s="52">
        <f t="shared" si="1"/>
        <v>49.755869999999994</v>
      </c>
      <c r="F37" s="42">
        <f>'POLÍTICA COMERCIAL Jan24'!E39*(1+'POLÍTICA COMERCIAL Abril_24'!O$19)</f>
        <v>56.389986</v>
      </c>
      <c r="G37" s="52">
        <f t="shared" si="2"/>
        <v>50.7509874</v>
      </c>
      <c r="H37" s="42">
        <f>'POLÍTICA COMERCIAL Jan24'!G39*(1+'POLÍTICA COMERCIAL Abril_24'!O$19)</f>
        <v>61.618128600000006</v>
      </c>
      <c r="I37" s="52">
        <f t="shared" si="3"/>
        <v>58.53722217</v>
      </c>
      <c r="J37" s="42">
        <f>'POLÍTICA COMERCIAL Jan24'!I39*(1+'POLÍTICA COMERCIAL Abril_24'!O$19)</f>
        <v>66.661386000000007</v>
      </c>
      <c r="K37" s="52">
        <f t="shared" si="4"/>
        <v>63.328316700000002</v>
      </c>
      <c r="L37" s="42">
        <f>'POLÍTICA COMERCIAL Jan24'!K39*(1+'POLÍTICA COMERCIAL Abril_24'!O$19)</f>
        <v>61.618128600000006</v>
      </c>
      <c r="M37" s="52">
        <f t="shared" si="5"/>
        <v>58.53722217</v>
      </c>
    </row>
    <row r="38" spans="2:13" x14ac:dyDescent="0.3">
      <c r="B38" s="55">
        <v>681</v>
      </c>
      <c r="C38" s="9" t="s">
        <v>38</v>
      </c>
      <c r="D38" s="42">
        <f>'POLÍTICA COMERCIAL Jan24'!C40*(1+'POLÍTICA COMERCIAL Abril_24'!O$19)</f>
        <v>83.740000000000009</v>
      </c>
      <c r="E38" s="52">
        <f t="shared" si="1"/>
        <v>75.366000000000014</v>
      </c>
      <c r="F38" s="42">
        <f>'POLÍTICA COMERCIAL Jan24'!E40*(1+'POLÍTICA COMERCIAL Abril_24'!O$19)</f>
        <v>85.4148</v>
      </c>
      <c r="G38" s="52">
        <f t="shared" si="2"/>
        <v>76.873320000000007</v>
      </c>
      <c r="H38" s="42">
        <f>'POLÍTICA COMERCIAL Jan24'!G40*(1+'POLÍTICA COMERCIAL Abril_24'!O$19)</f>
        <v>96.226800000000011</v>
      </c>
      <c r="I38" s="52">
        <f t="shared" si="3"/>
        <v>91.41546000000001</v>
      </c>
      <c r="J38" s="42">
        <f>'POLÍTICA COMERCIAL Jan24'!I40*(1+'POLÍTICA COMERCIAL Abril_24'!O$19)</f>
        <v>107.03880000000001</v>
      </c>
      <c r="K38" s="52">
        <f t="shared" si="4"/>
        <v>101.68686000000001</v>
      </c>
      <c r="L38" s="42">
        <f>'POLÍTICA COMERCIAL Jan24'!K40*(1+'POLÍTICA COMERCIAL Abril_24'!O$19)</f>
        <v>96.226800000000011</v>
      </c>
      <c r="M38" s="52">
        <f t="shared" si="5"/>
        <v>91.41546000000001</v>
      </c>
    </row>
    <row r="39" spans="2:13" x14ac:dyDescent="0.3">
      <c r="B39" s="55" t="s">
        <v>149</v>
      </c>
      <c r="C39" s="9" t="s">
        <v>39</v>
      </c>
      <c r="D39" s="42">
        <f>'POLÍTICA COMERCIAL Jan24'!C41*(1+'POLÍTICA COMERCIAL Abril_24'!O$19)</f>
        <v>73.14</v>
      </c>
      <c r="E39" s="52">
        <f t="shared" si="1"/>
        <v>65.826000000000008</v>
      </c>
      <c r="F39" s="42">
        <f>'POLÍTICA COMERCIAL Jan24'!E41*(1+'POLÍTICA COMERCIAL Abril_24'!O$19)</f>
        <v>74.602800000000002</v>
      </c>
      <c r="G39" s="52">
        <f t="shared" si="2"/>
        <v>67.142520000000005</v>
      </c>
      <c r="H39" s="42">
        <f>'POLÍTICA COMERCIAL Jan24'!G41*(1+'POLÍTICA COMERCIAL Abril_24'!O$19)</f>
        <v>83.634000000000015</v>
      </c>
      <c r="I39" s="52">
        <f t="shared" si="3"/>
        <v>79.452300000000008</v>
      </c>
      <c r="J39" s="42">
        <f>'POLÍTICA COMERCIAL Jan24'!I41*(1+'POLÍTICA COMERCIAL Abril_24'!O$19)</f>
        <v>93.174000000000007</v>
      </c>
      <c r="K39" s="52">
        <f t="shared" si="4"/>
        <v>88.515299999999996</v>
      </c>
      <c r="L39" s="42">
        <f>'POLÍTICA COMERCIAL Jan24'!K41*(1+'POLÍTICA COMERCIAL Abril_24'!O$19)</f>
        <v>83.634000000000015</v>
      </c>
      <c r="M39" s="52">
        <f t="shared" si="5"/>
        <v>79.452300000000008</v>
      </c>
    </row>
    <row r="40" spans="2:13" x14ac:dyDescent="0.3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si="3"/>
        <v>164.99600000000001</v>
      </c>
      <c r="J40" s="42">
        <f>H40+5</f>
        <v>178.68</v>
      </c>
      <c r="K40" s="52">
        <f t="shared" si="4"/>
        <v>169.74600000000001</v>
      </c>
      <c r="L40" s="42">
        <f>H40</f>
        <v>173.68</v>
      </c>
      <c r="M40" s="52">
        <f t="shared" si="5"/>
        <v>164.99600000000001</v>
      </c>
    </row>
    <row r="42" spans="2:13" x14ac:dyDescent="0.3">
      <c r="C42" s="53" t="s">
        <v>138</v>
      </c>
      <c r="E42" s="24">
        <f>1-E23/E24</f>
        <v>-0.21813958688521939</v>
      </c>
      <c r="F42" s="24"/>
      <c r="G42" s="24">
        <f t="shared" ref="G42:M42" si="6">1-G23/G24</f>
        <v>-0.2140614514351824</v>
      </c>
      <c r="H42" s="24"/>
      <c r="I42" s="24">
        <f t="shared" si="6"/>
        <v>-0.2140614514351824</v>
      </c>
      <c r="J42" s="24"/>
      <c r="K42" s="24">
        <f t="shared" si="6"/>
        <v>-0.21221611570303422</v>
      </c>
      <c r="L42" s="24"/>
      <c r="M42" s="24">
        <f t="shared" si="6"/>
        <v>-0.2140614514351824</v>
      </c>
    </row>
    <row r="43" spans="2:13" x14ac:dyDescent="0.3">
      <c r="C43" s="53" t="s">
        <v>139</v>
      </c>
      <c r="E43" s="24">
        <f>1-E25/E26</f>
        <v>-0.21102845725275166</v>
      </c>
      <c r="F43" s="24"/>
      <c r="G43" s="24">
        <f t="shared" ref="G43:M43" si="7">1-G25/G26</f>
        <v>-0.20719369503414953</v>
      </c>
      <c r="H43" s="24"/>
      <c r="I43" s="24">
        <f t="shared" si="7"/>
        <v>-0.20719369503414975</v>
      </c>
      <c r="J43" s="24"/>
      <c r="K43" s="24">
        <f t="shared" si="7"/>
        <v>-0.20534821988424823</v>
      </c>
      <c r="L43" s="24"/>
      <c r="M43" s="24">
        <f t="shared" si="7"/>
        <v>-0.20719369503414975</v>
      </c>
    </row>
    <row r="44" spans="2:13" x14ac:dyDescent="0.3">
      <c r="C44" s="53" t="s">
        <v>140</v>
      </c>
      <c r="E44" s="24">
        <f>1-E27/E28</f>
        <v>-0.18034410518837962</v>
      </c>
      <c r="F44" s="24"/>
      <c r="G44" s="24">
        <f t="shared" ref="G44:M44" si="8">1-G27/G28</f>
        <v>-0.18301274984640381</v>
      </c>
      <c r="H44" s="24"/>
      <c r="I44" s="24">
        <f t="shared" si="8"/>
        <v>-0.18301274984640381</v>
      </c>
      <c r="J44" s="24"/>
      <c r="K44" s="24">
        <f t="shared" si="8"/>
        <v>-0.17671522757316871</v>
      </c>
      <c r="L44" s="24"/>
      <c r="M44" s="24">
        <f t="shared" si="8"/>
        <v>-0.18301274984640381</v>
      </c>
    </row>
    <row r="45" spans="2:13" x14ac:dyDescent="0.3">
      <c r="C45" s="53" t="s">
        <v>141</v>
      </c>
      <c r="E45" s="24">
        <f>1-E30/E31</f>
        <v>-0.17625269358887996</v>
      </c>
      <c r="F45" s="24"/>
      <c r="G45" s="24">
        <f t="shared" ref="G45:M45" si="9">1-G30/G31</f>
        <v>-0.1815077526294997</v>
      </c>
      <c r="H45" s="24"/>
      <c r="I45" s="24">
        <f t="shared" si="9"/>
        <v>-0.18150775262949947</v>
      </c>
      <c r="J45" s="24"/>
      <c r="K45" s="24">
        <f t="shared" si="9"/>
        <v>-0.18020619263596749</v>
      </c>
      <c r="L45" s="24"/>
      <c r="M45" s="24">
        <f t="shared" si="9"/>
        <v>-0.18150775262949947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23 H22:H23 J22:J23 L22:L23 F25 H25 J25 L25 F27 H27 J27 L27 F29:F30 H29:H30 J29:J30 L29:L30 F32:F40 H32:H40 J32:J40 L32:L40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showGridLines="0" topLeftCell="A18" zoomScale="80" zoomScaleNormal="80" workbookViewId="0">
      <selection activeCell="I24" sqref="I24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152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O19" s="27">
        <v>0.06</v>
      </c>
    </row>
    <row r="20" spans="2:15" x14ac:dyDescent="0.3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3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3">
      <c r="B22" s="55">
        <v>794</v>
      </c>
      <c r="C22" s="9" t="s">
        <v>28</v>
      </c>
      <c r="D22" s="42">
        <f>'POLÍTICA COMERCIAL Jan24'!C22*(1+'POLÍTICA COMERCIAL Mar24'!O$19)</f>
        <v>392.18940000000003</v>
      </c>
      <c r="E22" s="52">
        <f>D22*(1-E$21)</f>
        <v>352.97046000000006</v>
      </c>
      <c r="F22" s="42">
        <f>'POLÍTICA COMERCIAL Jan24'!E22*(1+'POLÍTICA COMERCIAL Mar24'!O$19)</f>
        <v>423.98940000000005</v>
      </c>
      <c r="G22" s="52">
        <f>F22*(1-G$21)</f>
        <v>381.59046000000006</v>
      </c>
      <c r="H22" s="42">
        <f>'POLÍTICA COMERCIAL Jan24'!G22*(1+'POLÍTICA COMERCIAL Mar24'!O$19)</f>
        <v>423.98940000000005</v>
      </c>
      <c r="I22" s="52">
        <f>H22*(1-I$21)</f>
        <v>402.78993000000003</v>
      </c>
      <c r="J22" s="42">
        <f>'POLÍTICA COMERCIAL Jan24'!I22*(1+'POLÍTICA COMERCIAL Mar24'!O$19)</f>
        <v>455.78940000000006</v>
      </c>
      <c r="K22" s="52">
        <f>J22*(1-K$21)</f>
        <v>432.99993000000001</v>
      </c>
      <c r="L22" s="42">
        <f>'POLÍTICA COMERCIAL Jan24'!K22*(1+'POLÍTICA COMERCIAL Mar24'!O$19)</f>
        <v>423.98940000000005</v>
      </c>
      <c r="M22" s="52">
        <f>L22*(1-M$21)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Mar24'!O$19)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Mar24'!O$19)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Mar24'!O$19)</f>
        <v>466.38940000000002</v>
      </c>
      <c r="I23" s="52">
        <f t="shared" ref="I23:I39" si="3">H23*(1-I$21)</f>
        <v>443.06993</v>
      </c>
      <c r="J23" s="42">
        <f>'POLÍTICA COMERCIAL Jan24'!I24*(1+'POLÍTICA COMERCIAL Mar24'!O$19)</f>
        <v>498.18940000000003</v>
      </c>
      <c r="K23" s="52">
        <f t="shared" ref="K23:K39" si="4">J23*(1-K$21)</f>
        <v>473.27993000000004</v>
      </c>
      <c r="L23" s="42">
        <f>'POLÍTICA COMERCIAL Jan24'!K24*(1+'POLÍTICA COMERCIAL Mar24'!O$19)</f>
        <v>466.38940000000002</v>
      </c>
      <c r="M23" s="52">
        <f t="shared" ref="M23:M39" si="5">L23*(1-M$21)</f>
        <v>443.06993</v>
      </c>
    </row>
    <row r="24" spans="2:15" x14ac:dyDescent="0.3">
      <c r="B24" s="55">
        <v>901</v>
      </c>
      <c r="C24" s="9" t="s">
        <v>53</v>
      </c>
      <c r="D24" s="42">
        <f>'POLÍTICA COMERCIAL Jan24'!C25*(1+'POLÍTICA COMERCIAL Mar24'!O$19)</f>
        <v>395.48260800000003</v>
      </c>
      <c r="E24" s="52">
        <f t="shared" si="1"/>
        <v>355.93434720000005</v>
      </c>
      <c r="F24" s="42">
        <f>'POLÍTICA COMERCIAL Jan24'!E25*(1+'POLÍTICA COMERCIAL Mar24'!O$19)</f>
        <v>425.84673200000003</v>
      </c>
      <c r="G24" s="52">
        <f t="shared" si="2"/>
        <v>383.26205880000003</v>
      </c>
      <c r="H24" s="42">
        <f>'POLÍTICA COMERCIAL Jan24'!G25*(1+'POLÍTICA COMERCIAL Mar24'!O$19)</f>
        <v>425.84673200000003</v>
      </c>
      <c r="I24" s="52">
        <f t="shared" si="3"/>
        <v>404.55439540000003</v>
      </c>
      <c r="J24" s="42">
        <f>'POLÍTICA COMERCIAL Jan24'!I25*(1+'POLÍTICA COMERCIAL Mar24'!O$19)</f>
        <v>455.57485600000001</v>
      </c>
      <c r="K24" s="52">
        <f t="shared" si="4"/>
        <v>432.79611319999998</v>
      </c>
      <c r="L24" s="42">
        <f>'POLÍTICA COMERCIAL Jan24'!K25*(1+'POLÍTICA COMERCIAL Mar24'!O$19)</f>
        <v>425.84673200000003</v>
      </c>
      <c r="M24" s="52">
        <f t="shared" si="5"/>
        <v>404.55439540000003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Mar24'!O$19)</f>
        <v>487.58940000000001</v>
      </c>
      <c r="E25" s="52">
        <f t="shared" si="1"/>
        <v>438.83046000000002</v>
      </c>
      <c r="F25" s="42">
        <f>'POLÍTICA COMERCIAL Jan24'!E26*(1+'POLÍTICA COMERCIAL Mar24'!O$19)</f>
        <v>519.38940000000002</v>
      </c>
      <c r="G25" s="52">
        <f t="shared" si="2"/>
        <v>467.45046000000002</v>
      </c>
      <c r="H25" s="42">
        <f>'POLÍTICA COMERCIAL Jan24'!G26*(1+'POLÍTICA COMERCIAL Mar24'!O$19)</f>
        <v>519.38940000000002</v>
      </c>
      <c r="I25" s="52">
        <f t="shared" si="3"/>
        <v>493.41993000000002</v>
      </c>
      <c r="J25" s="42">
        <f>'POLÍTICA COMERCIAL Jan24'!I26*(1+'POLÍTICA COMERCIAL Mar24'!O$19)</f>
        <v>551.18940000000009</v>
      </c>
      <c r="K25" s="52">
        <f t="shared" si="4"/>
        <v>523.62993000000006</v>
      </c>
      <c r="L25" s="42">
        <f>'POLÍTICA COMERCIAL Jan24'!K26*(1+'POLÍTICA COMERCIAL Mar24'!O$19)</f>
        <v>519.38940000000002</v>
      </c>
      <c r="M25" s="52">
        <f t="shared" si="5"/>
        <v>493.41993000000002</v>
      </c>
    </row>
    <row r="26" spans="2:15" x14ac:dyDescent="0.3">
      <c r="B26" s="55">
        <v>900</v>
      </c>
      <c r="C26" s="9" t="s">
        <v>54</v>
      </c>
      <c r="D26" s="42">
        <f>'POLÍTICA COMERCIAL Jan24'!C27*(1+'POLÍTICA COMERCIAL Mar24'!O$19)</f>
        <v>441.57077200000003</v>
      </c>
      <c r="E26" s="52">
        <f t="shared" si="1"/>
        <v>397.41369480000003</v>
      </c>
      <c r="F26" s="42">
        <f>'POLÍTICA COMERCIAL Jan24'!E27*(1+'POLÍTICA COMERCIAL Mar24'!O$19)</f>
        <v>471.86366400000003</v>
      </c>
      <c r="G26" s="52">
        <f t="shared" si="2"/>
        <v>424.67729760000003</v>
      </c>
      <c r="H26" s="42">
        <f>'POLÍTICA COMERCIAL Jan24'!G27*(1+'POLÍTICA COMERCIAL Mar24'!O$19)</f>
        <v>471.86366400000003</v>
      </c>
      <c r="I26" s="52">
        <f t="shared" si="3"/>
        <v>448.27048080000003</v>
      </c>
      <c r="J26" s="42">
        <f>'POLÍTICA COMERCIAL Jan24'!I27*(1+'POLÍTICA COMERCIAL Mar24'!O$19)</f>
        <v>501.52055600000006</v>
      </c>
      <c r="K26" s="52">
        <f t="shared" si="4"/>
        <v>476.44452820000004</v>
      </c>
      <c r="L26" s="42">
        <f>'POLÍTICA COMERCIAL Jan24'!K27*(1+'POLÍTICA COMERCIAL Mar24'!O$19)</f>
        <v>471.86366400000003</v>
      </c>
      <c r="M26" s="52">
        <f t="shared" si="5"/>
        <v>448.27048080000003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Mar24'!O$19)</f>
        <v>635.98940000000005</v>
      </c>
      <c r="E27" s="52">
        <f t="shared" si="1"/>
        <v>572.39046000000008</v>
      </c>
      <c r="F27" s="42">
        <f>'POLÍTICA COMERCIAL Jan24'!E28*(1+'POLÍTICA COMERCIAL Mar24'!O$19)</f>
        <v>667.7894</v>
      </c>
      <c r="G27" s="52">
        <f t="shared" si="2"/>
        <v>601.01045999999997</v>
      </c>
      <c r="H27" s="42">
        <f>'POLÍTICA COMERCIAL Jan24'!G28*(1+'POLÍTICA COMERCIAL Mar24'!O$19)</f>
        <v>667.7894</v>
      </c>
      <c r="I27" s="52">
        <f t="shared" si="3"/>
        <v>634.39992999999993</v>
      </c>
      <c r="J27" s="42">
        <f>'POLÍTICA COMERCIAL Jan24'!I28*(1+'POLÍTICA COMERCIAL Mar24'!O$19)</f>
        <v>710.18940000000009</v>
      </c>
      <c r="K27" s="52">
        <f t="shared" si="4"/>
        <v>674.67993000000001</v>
      </c>
      <c r="L27" s="42">
        <f>'POLÍTICA COMERCIAL Jan24'!K28*(1+'POLÍTICA COMERCIAL Mar24'!O$19)</f>
        <v>667.7894</v>
      </c>
      <c r="M27" s="52">
        <f t="shared" si="5"/>
        <v>634.39992999999993</v>
      </c>
    </row>
    <row r="28" spans="2:15" x14ac:dyDescent="0.3">
      <c r="B28" s="55">
        <v>899</v>
      </c>
      <c r="C28" s="9" t="s">
        <v>55</v>
      </c>
      <c r="D28" s="42">
        <f>'POLÍTICA COMERCIAL Jan24'!C29*(1+'POLÍTICA COMERCIAL Mar24'!O$19)</f>
        <v>578.62644</v>
      </c>
      <c r="E28" s="52">
        <f t="shared" si="1"/>
        <v>520.76379600000007</v>
      </c>
      <c r="F28" s="42">
        <f>'POLÍTICA COMERCIAL Jan24'!E29*(1+'POLÍTICA COMERCIAL Mar24'!O$19)</f>
        <v>606.18771200000015</v>
      </c>
      <c r="G28" s="52">
        <f t="shared" si="2"/>
        <v>545.56894080000018</v>
      </c>
      <c r="H28" s="42">
        <f>'POLÍTICA COMERCIAL Jan24'!G29*(1+'POLÍTICA COMERCIAL Mar24'!O$19)</f>
        <v>606.18771200000015</v>
      </c>
      <c r="I28" s="52">
        <f t="shared" si="3"/>
        <v>575.87832640000011</v>
      </c>
      <c r="J28" s="42">
        <f>'POLÍTICA COMERCIAL Jan24'!I29*(1+'POLÍTICA COMERCIAL Mar24'!O$19)</f>
        <v>654.948984</v>
      </c>
      <c r="K28" s="52">
        <f t="shared" si="4"/>
        <v>622.20153479999999</v>
      </c>
      <c r="L28" s="42">
        <f>'POLÍTICA COMERCIAL Jan24'!K29*(1+'POLÍTICA COMERCIAL Mar24'!O$19)</f>
        <v>606.18771200000015</v>
      </c>
      <c r="M28" s="52">
        <f t="shared" si="5"/>
        <v>575.87832640000011</v>
      </c>
    </row>
    <row r="29" spans="2:15" hidden="1" x14ac:dyDescent="0.3">
      <c r="B29" s="56"/>
      <c r="C29" s="41" t="s">
        <v>32</v>
      </c>
      <c r="D29" s="42" t="e">
        <f>'POLÍTICA COMERCIAL Jan24'!C30*(1+'POLÍTICA COMERCIAL Mar24'!O$19)</f>
        <v>#VALUE!</v>
      </c>
      <c r="E29" s="52" t="e">
        <f t="shared" si="1"/>
        <v>#VALUE!</v>
      </c>
      <c r="F29" s="42" t="e">
        <f>'POLÍTICA COMERCIAL Jan24'!E30*(1+'POLÍTICA COMERCIAL Mar24'!O$19)</f>
        <v>#VALUE!</v>
      </c>
      <c r="G29" s="52" t="e">
        <f t="shared" si="2"/>
        <v>#VALUE!</v>
      </c>
      <c r="H29" s="42" t="e">
        <f>'POLÍTICA COMERCIAL Jan24'!G30*(1+'POLÍTICA COMERCIAL Mar24'!O$19)</f>
        <v>#VALUE!</v>
      </c>
      <c r="I29" s="52" t="e">
        <f t="shared" si="3"/>
        <v>#VALUE!</v>
      </c>
      <c r="J29" s="42" t="e">
        <f>'POLÍTICA COMERCIAL Jan24'!I30*(1+'POLÍTICA COMERCIAL Mar24'!O$19)</f>
        <v>#VALUE!</v>
      </c>
      <c r="K29" s="52" t="e">
        <f t="shared" si="4"/>
        <v>#VALUE!</v>
      </c>
      <c r="L29" s="42" t="e">
        <f>'POLÍTICA COMERCIAL Jan24'!K30*(1+'POLÍTICA COMERCIAL Mar24'!O$19)</f>
        <v>#VALUE!</v>
      </c>
      <c r="M29" s="52" t="e">
        <f t="shared" si="5"/>
        <v>#VALUE!</v>
      </c>
    </row>
    <row r="30" spans="2:15" x14ac:dyDescent="0.3">
      <c r="B30" s="55">
        <v>799</v>
      </c>
      <c r="C30" s="9" t="s">
        <v>33</v>
      </c>
      <c r="D30" s="42">
        <f>'POLÍTICA COMERCIAL Jan24'!C31*(1+'POLÍTICA COMERCIAL Mar24'!O$19)</f>
        <v>816.18940000000009</v>
      </c>
      <c r="E30" s="52">
        <f t="shared" si="1"/>
        <v>734.57046000000014</v>
      </c>
      <c r="F30" s="42">
        <f>'POLÍTICA COMERCIAL Jan24'!E31*(1+'POLÍTICA COMERCIAL Mar24'!O$19)</f>
        <v>847.98940000000005</v>
      </c>
      <c r="G30" s="52">
        <f t="shared" si="2"/>
        <v>763.19046000000003</v>
      </c>
      <c r="H30" s="42">
        <f>'POLÍTICA COMERCIAL Jan24'!G31*(1+'POLÍTICA COMERCIAL Mar24'!O$19)</f>
        <v>847.98940000000005</v>
      </c>
      <c r="I30" s="52">
        <f t="shared" si="3"/>
        <v>805.58992999999998</v>
      </c>
      <c r="J30" s="42">
        <f>'POLÍTICA COMERCIAL Jan24'!I31*(1+'POLÍTICA COMERCIAL Mar24'!O$19)</f>
        <v>890.38940000000002</v>
      </c>
      <c r="K30" s="52">
        <f t="shared" si="4"/>
        <v>845.86992999999995</v>
      </c>
      <c r="L30" s="42">
        <f>'POLÍTICA COMERCIAL Jan24'!K31*(1+'POLÍTICA COMERCIAL Mar24'!O$19)</f>
        <v>847.98940000000005</v>
      </c>
      <c r="M30" s="52">
        <f t="shared" si="5"/>
        <v>805.58992999999998</v>
      </c>
    </row>
    <row r="31" spans="2:15" x14ac:dyDescent="0.3">
      <c r="B31" s="55">
        <v>898</v>
      </c>
      <c r="C31" s="9" t="s">
        <v>56</v>
      </c>
      <c r="D31" s="42">
        <f>'POLÍTICA COMERCIAL Jan24'!C32*(1+'POLÍTICA COMERCIAL Mar24'!O$19)</f>
        <v>745.1562560000001</v>
      </c>
      <c r="E31" s="52">
        <f t="shared" si="1"/>
        <v>670.64063040000008</v>
      </c>
      <c r="F31" s="42">
        <f>'POLÍTICA COMERCIAL Jan24'!E32*(1+'POLÍTICA COMERCIAL Mar24'!O$19)</f>
        <v>770.74529200000018</v>
      </c>
      <c r="G31" s="52">
        <f t="shared" si="2"/>
        <v>693.67076280000015</v>
      </c>
      <c r="H31" s="42">
        <f>'POLÍTICA COMERCIAL Jan24'!G32*(1+'POLÍTICA COMERCIAL Mar24'!O$19)</f>
        <v>770.74529200000018</v>
      </c>
      <c r="I31" s="52">
        <f t="shared" si="3"/>
        <v>732.20802740000011</v>
      </c>
      <c r="J31" s="42">
        <f>'POLÍTICA COMERCIAL Jan24'!I32*(1+'POLÍTICA COMERCIAL Mar24'!O$19)</f>
        <v>814.41729200000009</v>
      </c>
      <c r="K31" s="52">
        <f t="shared" si="4"/>
        <v>773.69642740000006</v>
      </c>
      <c r="L31" s="42">
        <f>'POLÍTICA COMERCIAL Jan24'!K32*(1+'POLÍTICA COMERCIAL Mar24'!O$19)</f>
        <v>770.74529200000018</v>
      </c>
      <c r="M31" s="52">
        <f t="shared" si="5"/>
        <v>732.20802740000011</v>
      </c>
    </row>
    <row r="32" spans="2:15" x14ac:dyDescent="0.3">
      <c r="B32" s="55">
        <v>854</v>
      </c>
      <c r="C32" s="9" t="str">
        <f>C9</f>
        <v>FONTE 90 BOB</v>
      </c>
      <c r="D32" s="42">
        <f>'POLÍTICA COMERCIAL Jan24'!C33*(1+'POLÍTICA COMERCIAL Mar24'!O$19)</f>
        <v>413.38940000000002</v>
      </c>
      <c r="E32" s="52">
        <f t="shared" si="1"/>
        <v>372.05046000000004</v>
      </c>
      <c r="F32" s="42">
        <f>'POLÍTICA COMERCIAL Jan24'!E33*(1+'POLÍTICA COMERCIAL Mar24'!O$19)</f>
        <v>445.18940000000003</v>
      </c>
      <c r="G32" s="52">
        <f t="shared" si="2"/>
        <v>400.67046000000005</v>
      </c>
      <c r="H32" s="42">
        <f>'POLÍTICA COMERCIAL Jan24'!G33*(1+'POLÍTICA COMERCIAL Mar24'!O$19)</f>
        <v>445.18940000000003</v>
      </c>
      <c r="I32" s="52">
        <f t="shared" si="3"/>
        <v>422.92993000000001</v>
      </c>
      <c r="J32" s="42">
        <f>'POLÍTICA COMERCIAL Jan24'!I33*(1+'POLÍTICA COMERCIAL Mar24'!O$19)</f>
        <v>466.38940000000002</v>
      </c>
      <c r="K32" s="52">
        <f t="shared" si="4"/>
        <v>443.06993</v>
      </c>
      <c r="L32" s="42">
        <f>'POLÍTICA COMERCIAL Jan24'!K33*(1+'POLÍTICA COMERCIAL Mar24'!O$19)</f>
        <v>445.18940000000003</v>
      </c>
      <c r="M32" s="52">
        <f t="shared" si="5"/>
        <v>422.92993000000001</v>
      </c>
    </row>
    <row r="33" spans="2:13" x14ac:dyDescent="0.3">
      <c r="B33" s="55">
        <v>801</v>
      </c>
      <c r="C33" s="9" t="s">
        <v>35</v>
      </c>
      <c r="D33" s="42">
        <f>'POLÍTICA COMERCIAL Jan24'!C34*(1+'POLÍTICA COMERCIAL Mar24'!O$19)</f>
        <v>493.94940000000003</v>
      </c>
      <c r="E33" s="52">
        <f t="shared" si="1"/>
        <v>444.55446000000001</v>
      </c>
      <c r="F33" s="42">
        <f>'POLÍTICA COMERCIAL Jan24'!E34*(1+'POLÍTICA COMERCIAL Mar24'!O$19)</f>
        <v>525.74940000000004</v>
      </c>
      <c r="G33" s="52">
        <f t="shared" si="2"/>
        <v>473.17446000000007</v>
      </c>
      <c r="H33" s="42">
        <f>'POLÍTICA COMERCIAL Jan24'!G34*(1+'POLÍTICA COMERCIAL Mar24'!O$19)</f>
        <v>525.74940000000004</v>
      </c>
      <c r="I33" s="52">
        <f t="shared" si="3"/>
        <v>499.46193</v>
      </c>
      <c r="J33" s="42">
        <f>'POLÍTICA COMERCIAL Jan24'!I34*(1+'POLÍTICA COMERCIAL Mar24'!O$19)</f>
        <v>568.14940000000001</v>
      </c>
      <c r="K33" s="52">
        <f t="shared" si="4"/>
        <v>539.74193000000002</v>
      </c>
      <c r="L33" s="42">
        <f>'POLÍTICA COMERCIAL Jan24'!K34*(1+'POLÍTICA COMERCIAL Mar24'!O$19)</f>
        <v>525.74940000000004</v>
      </c>
      <c r="M33" s="52">
        <f t="shared" si="5"/>
        <v>499.46193</v>
      </c>
    </row>
    <row r="34" spans="2:13" x14ac:dyDescent="0.3">
      <c r="B34" s="55">
        <v>802</v>
      </c>
      <c r="C34" s="9" t="s">
        <v>34</v>
      </c>
      <c r="D34" s="42">
        <f>'POLÍTICA COMERCIAL Jan24'!C35*(1+'POLÍTICA COMERCIAL Mar24'!O$19)</f>
        <v>625.38940000000002</v>
      </c>
      <c r="E34" s="52">
        <f t="shared" si="1"/>
        <v>562.85046</v>
      </c>
      <c r="F34" s="42">
        <f>'POLÍTICA COMERCIAL Jan24'!E35*(1+'POLÍTICA COMERCIAL Mar24'!O$19)</f>
        <v>657.18940000000009</v>
      </c>
      <c r="G34" s="52">
        <f t="shared" si="2"/>
        <v>591.47046000000012</v>
      </c>
      <c r="H34" s="42">
        <f>'POLÍTICA COMERCIAL Jan24'!G35*(1+'POLÍTICA COMERCIAL Mar24'!O$19)</f>
        <v>657.18940000000009</v>
      </c>
      <c r="I34" s="52">
        <f t="shared" si="3"/>
        <v>624.3299300000001</v>
      </c>
      <c r="J34" s="42">
        <f>'POLÍTICA COMERCIAL Jan24'!I35*(1+'POLÍTICA COMERCIAL Mar24'!O$19)</f>
        <v>731.38940000000002</v>
      </c>
      <c r="K34" s="52">
        <f t="shared" si="4"/>
        <v>694.81993</v>
      </c>
      <c r="L34" s="42">
        <f>'POLÍTICA COMERCIAL Jan24'!K35*(1+'POLÍTICA COMERCIAL Mar24'!O$19)</f>
        <v>657.18940000000009</v>
      </c>
      <c r="M34" s="52">
        <f t="shared" si="5"/>
        <v>624.3299300000001</v>
      </c>
    </row>
    <row r="35" spans="2:13" x14ac:dyDescent="0.3">
      <c r="B35" s="55">
        <v>800</v>
      </c>
      <c r="C35" s="9" t="str">
        <f>C12</f>
        <v>FONTE 200 MONO</v>
      </c>
      <c r="D35" s="42">
        <f>'POLÍTICA COMERCIAL Jan24'!C36*(1+'POLÍTICA COMERCIAL Mar24'!O$19)</f>
        <v>669.57038682500001</v>
      </c>
      <c r="E35" s="52">
        <f t="shared" si="1"/>
        <v>602.61334814250006</v>
      </c>
      <c r="F35" s="42">
        <f>'POLÍTICA COMERCIAL Jan24'!E36*(1+'POLÍTICA COMERCIAL Mar24'!O$19)</f>
        <v>736.61093349999999</v>
      </c>
      <c r="G35" s="52">
        <f t="shared" si="2"/>
        <v>662.94984015</v>
      </c>
      <c r="H35" s="42">
        <f>'POLÍTICA COMERCIAL Jan24'!G36*(1+'POLÍTICA COMERCIAL Mar24'!O$19)</f>
        <v>775.37993000000006</v>
      </c>
      <c r="I35" s="52">
        <f t="shared" si="3"/>
        <v>736.61093349999999</v>
      </c>
      <c r="J35" s="42">
        <f>'POLÍTICA COMERCIAL Jan24'!I36*(1+'POLÍTICA COMERCIAL Mar24'!O$19)</f>
        <v>815.65993000000003</v>
      </c>
      <c r="K35" s="52">
        <f t="shared" si="4"/>
        <v>774.87693349999995</v>
      </c>
      <c r="L35" s="42">
        <f>'POLÍTICA COMERCIAL Jan24'!K36*(1+'POLÍTICA COMERCIAL Mar24'!O$19)</f>
        <v>775.37993000000006</v>
      </c>
      <c r="M35" s="52">
        <f t="shared" si="5"/>
        <v>736.61093349999999</v>
      </c>
    </row>
    <row r="36" spans="2:13" x14ac:dyDescent="0.3">
      <c r="B36" s="55" t="s">
        <v>151</v>
      </c>
      <c r="C36" s="9" t="s">
        <v>37</v>
      </c>
      <c r="D36" s="42">
        <f>'POLÍTICA COMERCIAL Jan24'!C38*(1+'POLÍTICA COMERCIAL Mar24'!O$19)</f>
        <v>58.194000000000003</v>
      </c>
      <c r="E36" s="52">
        <f t="shared" si="1"/>
        <v>52.374600000000001</v>
      </c>
      <c r="F36" s="42">
        <f>'POLÍTICA COMERCIAL Jan24'!E38*(1+'POLÍTICA COMERCIAL Mar24'!O$19)</f>
        <v>59.357880000000002</v>
      </c>
      <c r="G36" s="52">
        <f t="shared" si="2"/>
        <v>53.422091999999999</v>
      </c>
      <c r="H36" s="42">
        <f>'POLÍTICA COMERCIAL Jan24'!G38*(1+'POLÍTICA COMERCIAL Mar24'!O$19)</f>
        <v>64.861188000000013</v>
      </c>
      <c r="I36" s="52">
        <f t="shared" si="3"/>
        <v>61.618128600000006</v>
      </c>
      <c r="J36" s="42">
        <f>'POLÍTICA COMERCIAL Jan24'!I38*(1+'POLÍTICA COMERCIAL Mar24'!O$19)</f>
        <v>70.169880000000006</v>
      </c>
      <c r="K36" s="52">
        <f t="shared" si="4"/>
        <v>66.661386000000007</v>
      </c>
      <c r="L36" s="42">
        <f>'POLÍTICA COMERCIAL Jan24'!K38*(1+'POLÍTICA COMERCIAL Mar24'!O$19)</f>
        <v>64.861188000000013</v>
      </c>
      <c r="M36" s="52">
        <f t="shared" si="5"/>
        <v>61.618128600000006</v>
      </c>
    </row>
    <row r="37" spans="2:13" x14ac:dyDescent="0.3">
      <c r="B37" s="55" t="s">
        <v>150</v>
      </c>
      <c r="C37" s="9" t="s">
        <v>36</v>
      </c>
      <c r="D37" s="42">
        <f>'POLÍTICA COMERCIAL Jan24'!C39*(1+'POLÍTICA COMERCIAL Mar24'!O$19)</f>
        <v>55.284299999999995</v>
      </c>
      <c r="E37" s="52">
        <f t="shared" si="1"/>
        <v>49.755869999999994</v>
      </c>
      <c r="F37" s="42">
        <f>'POLÍTICA COMERCIAL Jan24'!E39*(1+'POLÍTICA COMERCIAL Mar24'!O$19)</f>
        <v>56.389986</v>
      </c>
      <c r="G37" s="52">
        <f t="shared" si="2"/>
        <v>50.7509874</v>
      </c>
      <c r="H37" s="42">
        <f>'POLÍTICA COMERCIAL Jan24'!G39*(1+'POLÍTICA COMERCIAL Mar24'!O$19)</f>
        <v>61.618128600000006</v>
      </c>
      <c r="I37" s="52">
        <f t="shared" si="3"/>
        <v>58.53722217</v>
      </c>
      <c r="J37" s="42">
        <f>'POLÍTICA COMERCIAL Jan24'!I39*(1+'POLÍTICA COMERCIAL Mar24'!O$19)</f>
        <v>66.661386000000007</v>
      </c>
      <c r="K37" s="52">
        <f t="shared" si="4"/>
        <v>63.328316700000002</v>
      </c>
      <c r="L37" s="42">
        <f>'POLÍTICA COMERCIAL Jan24'!K39*(1+'POLÍTICA COMERCIAL Mar24'!O$19)</f>
        <v>61.618128600000006</v>
      </c>
      <c r="M37" s="52">
        <f t="shared" si="5"/>
        <v>58.53722217</v>
      </c>
    </row>
    <row r="38" spans="2:13" x14ac:dyDescent="0.3">
      <c r="B38" s="55">
        <v>681</v>
      </c>
      <c r="C38" s="9" t="s">
        <v>38</v>
      </c>
      <c r="D38" s="42">
        <f>'POLÍTICA COMERCIAL Jan24'!C40*(1+'POLÍTICA COMERCIAL Mar24'!O$19)</f>
        <v>83.740000000000009</v>
      </c>
      <c r="E38" s="52">
        <f t="shared" si="1"/>
        <v>75.366000000000014</v>
      </c>
      <c r="F38" s="42">
        <f>'POLÍTICA COMERCIAL Jan24'!E40*(1+'POLÍTICA COMERCIAL Mar24'!O$19)</f>
        <v>85.4148</v>
      </c>
      <c r="G38" s="52">
        <f t="shared" si="2"/>
        <v>76.873320000000007</v>
      </c>
      <c r="H38" s="42">
        <f>'POLÍTICA COMERCIAL Jan24'!G40*(1+'POLÍTICA COMERCIAL Mar24'!O$19)</f>
        <v>96.226800000000011</v>
      </c>
      <c r="I38" s="52">
        <f t="shared" si="3"/>
        <v>91.41546000000001</v>
      </c>
      <c r="J38" s="42">
        <f>'POLÍTICA COMERCIAL Jan24'!I40*(1+'POLÍTICA COMERCIAL Mar24'!O$19)</f>
        <v>107.03880000000001</v>
      </c>
      <c r="K38" s="52">
        <f t="shared" si="4"/>
        <v>101.68686000000001</v>
      </c>
      <c r="L38" s="42">
        <f>'POLÍTICA COMERCIAL Jan24'!K40*(1+'POLÍTICA COMERCIAL Mar24'!O$19)</f>
        <v>96.226800000000011</v>
      </c>
      <c r="M38" s="52">
        <f t="shared" si="5"/>
        <v>91.41546000000001</v>
      </c>
    </row>
    <row r="39" spans="2:13" x14ac:dyDescent="0.3">
      <c r="B39" s="55" t="s">
        <v>149</v>
      </c>
      <c r="C39" s="9" t="s">
        <v>39</v>
      </c>
      <c r="D39" s="42">
        <f>'POLÍTICA COMERCIAL Jan24'!C41*(1+'POLÍTICA COMERCIAL Mar24'!O$19)</f>
        <v>73.14</v>
      </c>
      <c r="E39" s="52">
        <f t="shared" si="1"/>
        <v>65.826000000000008</v>
      </c>
      <c r="F39" s="42">
        <f>'POLÍTICA COMERCIAL Jan24'!E41*(1+'POLÍTICA COMERCIAL Mar24'!O$19)</f>
        <v>74.602800000000002</v>
      </c>
      <c r="G39" s="52">
        <f t="shared" si="2"/>
        <v>67.142520000000005</v>
      </c>
      <c r="H39" s="42">
        <f>'POLÍTICA COMERCIAL Jan24'!G41*(1+'POLÍTICA COMERCIAL Mar24'!O$19)</f>
        <v>83.634000000000015</v>
      </c>
      <c r="I39" s="52">
        <f t="shared" si="3"/>
        <v>79.452300000000008</v>
      </c>
      <c r="J39" s="42">
        <f>'POLÍTICA COMERCIAL Jan24'!I41*(1+'POLÍTICA COMERCIAL Mar24'!O$19)</f>
        <v>93.174000000000007</v>
      </c>
      <c r="K39" s="52">
        <f t="shared" si="4"/>
        <v>88.515299999999996</v>
      </c>
      <c r="L39" s="42">
        <f>'POLÍTICA COMERCIAL Jan24'!K41*(1+'POLÍTICA COMERCIAL Mar24'!O$19)</f>
        <v>83.634000000000015</v>
      </c>
      <c r="M39" s="52">
        <f t="shared" si="5"/>
        <v>79.452300000000008</v>
      </c>
    </row>
    <row r="40" spans="2:13" x14ac:dyDescent="0.3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ref="I40" si="6">H40*(1-I$21)</f>
        <v>164.99600000000001</v>
      </c>
      <c r="J40" s="42">
        <f>H40+5</f>
        <v>178.68</v>
      </c>
      <c r="K40" s="52">
        <f t="shared" ref="K40" si="7">J40*(1-K$21)</f>
        <v>169.74600000000001</v>
      </c>
      <c r="L40" s="42">
        <f>H40</f>
        <v>173.68</v>
      </c>
      <c r="M40" s="52">
        <f t="shared" ref="M40" si="8">L40*(1-M$21)</f>
        <v>164.99600000000001</v>
      </c>
    </row>
    <row r="42" spans="2:13" x14ac:dyDescent="0.3">
      <c r="C42" s="53" t="s">
        <v>138</v>
      </c>
      <c r="E42" s="24">
        <f>1-E23/E24</f>
        <v>-9.8883721329156238E-2</v>
      </c>
      <c r="F42" s="24"/>
      <c r="G42" s="24">
        <f t="shared" ref="G42:M42" si="9">1-G23/G24</f>
        <v>-9.520483533967794E-2</v>
      </c>
      <c r="H42" s="24"/>
      <c r="I42" s="24">
        <f t="shared" si="9"/>
        <v>-9.520483533967794E-2</v>
      </c>
      <c r="J42" s="24"/>
      <c r="K42" s="24">
        <f t="shared" si="9"/>
        <v>-9.3540157975707139E-2</v>
      </c>
      <c r="L42" s="24"/>
      <c r="M42" s="24">
        <f t="shared" si="9"/>
        <v>-9.520483533967794E-2</v>
      </c>
    </row>
    <row r="43" spans="2:13" x14ac:dyDescent="0.3">
      <c r="C43" s="53" t="s">
        <v>139</v>
      </c>
      <c r="E43" s="24">
        <f>1-E25/E26</f>
        <v>-0.10421574732305872</v>
      </c>
      <c r="F43" s="24"/>
      <c r="G43" s="24">
        <f t="shared" ref="G43:M43" si="10">1-G25/G26</f>
        <v>-0.10071921113213755</v>
      </c>
      <c r="H43" s="24"/>
      <c r="I43" s="24">
        <f t="shared" si="10"/>
        <v>-0.10071921113213755</v>
      </c>
      <c r="J43" s="24"/>
      <c r="K43" s="24">
        <f t="shared" si="10"/>
        <v>-9.9036506890457288E-2</v>
      </c>
      <c r="L43" s="24"/>
      <c r="M43" s="24">
        <f t="shared" si="10"/>
        <v>-0.10071921113213755</v>
      </c>
    </row>
    <row r="44" spans="2:13" x14ac:dyDescent="0.3">
      <c r="C44" s="53" t="s">
        <v>140</v>
      </c>
      <c r="E44" s="24">
        <f>1-E27/E28</f>
        <v>-9.9136430751418869E-2</v>
      </c>
      <c r="F44" s="24"/>
      <c r="G44" s="24">
        <f t="shared" ref="G44:M44" si="11">1-G27/G28</f>
        <v>-0.10162147265697086</v>
      </c>
      <c r="H44" s="24"/>
      <c r="I44" s="24">
        <f t="shared" si="11"/>
        <v>-0.10162147265697108</v>
      </c>
      <c r="J44" s="24"/>
      <c r="K44" s="24">
        <f t="shared" si="11"/>
        <v>-8.4343082208674813E-2</v>
      </c>
      <c r="L44" s="24"/>
      <c r="M44" s="24">
        <f t="shared" si="11"/>
        <v>-0.10162147265697108</v>
      </c>
    </row>
    <row r="45" spans="2:13" x14ac:dyDescent="0.3">
      <c r="C45" s="53" t="s">
        <v>141</v>
      </c>
      <c r="E45" s="24">
        <f>1-E30/E31</f>
        <v>-9.5326508269964805E-2</v>
      </c>
      <c r="F45" s="24"/>
      <c r="G45" s="24">
        <f t="shared" ref="G45:M45" si="12">1-G30/G31</f>
        <v>-0.10022001924858959</v>
      </c>
      <c r="H45" s="24"/>
      <c r="I45" s="24">
        <f t="shared" si="12"/>
        <v>-0.10022001924858959</v>
      </c>
      <c r="J45" s="24"/>
      <c r="K45" s="24">
        <f t="shared" si="12"/>
        <v>-9.3284006548328469E-2</v>
      </c>
      <c r="L45" s="24"/>
      <c r="M45" s="24">
        <f t="shared" si="12"/>
        <v>-0.10022001924858959</v>
      </c>
    </row>
    <row r="46" spans="2:13" x14ac:dyDescent="0.3">
      <c r="H46">
        <v>174</v>
      </c>
    </row>
    <row r="47" spans="2:13" x14ac:dyDescent="0.3">
      <c r="H47">
        <f>H46*0.95</f>
        <v>165.29999999999998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L22:L40" 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opLeftCell="A18" zoomScale="80" zoomScaleNormal="80" workbookViewId="0">
      <selection activeCell="H26" sqref="H26"/>
    </sheetView>
  </sheetViews>
  <sheetFormatPr defaultRowHeight="14.4" x14ac:dyDescent="0.3"/>
  <cols>
    <col min="1" max="1" width="1.109375" customWidth="1"/>
    <col min="2" max="2" width="20.6640625" customWidth="1"/>
    <col min="3" max="12" width="18.5546875" customWidth="1"/>
  </cols>
  <sheetData>
    <row r="1" spans="2:12" ht="4.5" hidden="1" customHeight="1" x14ac:dyDescent="0.3"/>
    <row r="2" spans="2:12" hidden="1" x14ac:dyDescent="0.3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3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3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3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3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3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3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3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3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3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3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3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3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3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3"/>
    <row r="17" spans="2:14" ht="12.75" hidden="1" customHeight="1" x14ac:dyDescent="0.3">
      <c r="B17" s="12" t="s">
        <v>50</v>
      </c>
      <c r="C17" s="13">
        <v>0.02</v>
      </c>
      <c r="D17" s="50"/>
    </row>
    <row r="18" spans="2:14" ht="6.75" customHeight="1" x14ac:dyDescent="0.3">
      <c r="B18" s="54"/>
      <c r="C18" s="54"/>
      <c r="D18" s="50"/>
    </row>
    <row r="19" spans="2:14" x14ac:dyDescent="0.3">
      <c r="B19" s="78" t="s">
        <v>145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N19" s="27">
        <v>0.06</v>
      </c>
    </row>
    <row r="20" spans="2:14" x14ac:dyDescent="0.3">
      <c r="B20" s="67" t="s">
        <v>142</v>
      </c>
      <c r="C20" s="68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4" x14ac:dyDescent="0.3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4" x14ac:dyDescent="0.3">
      <c r="B22" s="9" t="s">
        <v>28</v>
      </c>
      <c r="C22" s="42">
        <f>'POLÍTICA COMERCIAL Jan24'!C22*(1+'POLÍTICA COMERCIAL Fev24'!N$19)</f>
        <v>392.18940000000003</v>
      </c>
      <c r="D22" s="52">
        <f>C22*(1-D$21)</f>
        <v>352.97046000000006</v>
      </c>
      <c r="E22" s="42">
        <f>'POLÍTICA COMERCIAL Jan24'!E22*(1+'POLÍTICA COMERCIAL Fev24'!N$19)</f>
        <v>423.98940000000005</v>
      </c>
      <c r="F22" s="52">
        <f>E22*(1-F$21)</f>
        <v>381.59046000000006</v>
      </c>
      <c r="G22" s="42">
        <f>'POLÍTICA COMERCIAL Jan24'!G22*(1+'POLÍTICA COMERCIAL Fev24'!N$19)</f>
        <v>423.98940000000005</v>
      </c>
      <c r="H22" s="52">
        <f>G22*(1-H$21)</f>
        <v>402.78993000000003</v>
      </c>
      <c r="I22" s="42">
        <f>'POLÍTICA COMERCIAL Jan24'!I22*(1+'POLÍTICA COMERCIAL Fev24'!N$19)</f>
        <v>455.78940000000006</v>
      </c>
      <c r="J22" s="52">
        <f>I22*(1-J$21)</f>
        <v>432.99993000000001</v>
      </c>
      <c r="K22" s="42">
        <f>'POLÍTICA COMERCIAL Jan24'!K22*(1+'POLÍTICA COMERCIAL Fev24'!N$19)</f>
        <v>423.98940000000005</v>
      </c>
      <c r="L22" s="52">
        <f>K22*(1-L$21)</f>
        <v>402.78993000000003</v>
      </c>
    </row>
    <row r="23" spans="2:14" x14ac:dyDescent="0.3">
      <c r="B23" s="9" t="s">
        <v>116</v>
      </c>
      <c r="C23" s="42">
        <f>'POLÍTICA COMERCIAL Jan24'!C23*(1+'POLÍTICA COMERCIAL Fev24'!N$19)</f>
        <v>372.57992999999999</v>
      </c>
      <c r="D23" s="52">
        <f t="shared" ref="D23:D41" si="1">C23*(1-D$21)</f>
        <v>335.32193699999999</v>
      </c>
      <c r="E23" s="42">
        <f>'POLÍTICA COMERCIAL Jan24'!E23*(1+'POLÍTICA COMERCIAL Fev24'!N$19)</f>
        <v>402.78993000000003</v>
      </c>
      <c r="F23" s="52">
        <f t="shared" ref="F23:F41" si="2">E23*(1-F$21)</f>
        <v>362.51093700000001</v>
      </c>
      <c r="G23" s="42">
        <f>'POLÍTICA COMERCIAL Jan24'!G23*(1+'POLÍTICA COMERCIAL Fev24'!N$19)</f>
        <v>402.78993000000003</v>
      </c>
      <c r="H23" s="52">
        <f t="shared" ref="H23:H41" si="3">G23*(1-H$21)</f>
        <v>382.65043350000002</v>
      </c>
      <c r="I23" s="42">
        <f>'POLÍTICA COMERCIAL Jan24'!I23*(1+'POLÍTICA COMERCIAL Fev24'!N$19)</f>
        <v>432.99993000000001</v>
      </c>
      <c r="J23" s="52">
        <f t="shared" ref="J23:J41" si="4">I23*(1-J$21)</f>
        <v>411.34993349999996</v>
      </c>
      <c r="K23" s="42">
        <f>'POLÍTICA COMERCIAL Jan24'!K23*(1+'POLÍTICA COMERCIAL Fev24'!N$19)</f>
        <v>402.78993000000003</v>
      </c>
      <c r="L23" s="52">
        <f t="shared" ref="L23:L41" si="5">K23*(1-L$21)</f>
        <v>382.65043350000002</v>
      </c>
    </row>
    <row r="24" spans="2:14" x14ac:dyDescent="0.3">
      <c r="B24" s="9" t="s">
        <v>29</v>
      </c>
      <c r="C24" s="42">
        <f>'POLÍTICA COMERCIAL Jan24'!C24*(1+'POLÍTICA COMERCIAL Fev24'!N$19)</f>
        <v>434.58940000000001</v>
      </c>
      <c r="D24" s="52">
        <f t="shared" si="1"/>
        <v>391.13046000000003</v>
      </c>
      <c r="E24" s="42">
        <f>'POLÍTICA COMERCIAL Jan24'!E24*(1+'POLÍTICA COMERCIAL Fev24'!N$19)</f>
        <v>466.38940000000002</v>
      </c>
      <c r="F24" s="52">
        <f t="shared" si="2"/>
        <v>419.75046000000003</v>
      </c>
      <c r="G24" s="42">
        <f>'POLÍTICA COMERCIAL Jan24'!G24*(1+'POLÍTICA COMERCIAL Fev24'!N$19)</f>
        <v>466.38940000000002</v>
      </c>
      <c r="H24" s="52">
        <f t="shared" si="3"/>
        <v>443.06993</v>
      </c>
      <c r="I24" s="42">
        <f>'POLÍTICA COMERCIAL Jan24'!I24*(1+'POLÍTICA COMERCIAL Fev24'!N$19)</f>
        <v>498.18940000000003</v>
      </c>
      <c r="J24" s="52">
        <f t="shared" si="4"/>
        <v>473.27993000000004</v>
      </c>
      <c r="K24" s="42">
        <f>'POLÍTICA COMERCIAL Jan24'!K24*(1+'POLÍTICA COMERCIAL Fev24'!N$19)</f>
        <v>466.38940000000002</v>
      </c>
      <c r="L24" s="52">
        <f t="shared" si="5"/>
        <v>443.06993</v>
      </c>
    </row>
    <row r="25" spans="2:14" x14ac:dyDescent="0.3">
      <c r="B25" s="9" t="s">
        <v>53</v>
      </c>
      <c r="C25" s="42">
        <f>'POLÍTICA COMERCIAL Jan24'!C25*(1+'POLÍTICA COMERCIAL Fev24'!N$19)</f>
        <v>395.48260800000003</v>
      </c>
      <c r="D25" s="52">
        <f t="shared" si="1"/>
        <v>355.93434720000005</v>
      </c>
      <c r="E25" s="42">
        <f>'POLÍTICA COMERCIAL Jan24'!E25*(1+'POLÍTICA COMERCIAL Fev24'!N$19)</f>
        <v>425.84673200000003</v>
      </c>
      <c r="F25" s="52">
        <f t="shared" si="2"/>
        <v>383.26205880000003</v>
      </c>
      <c r="G25" s="42">
        <f>'POLÍTICA COMERCIAL Jan24'!G25*(1+'POLÍTICA COMERCIAL Fev24'!N$19)</f>
        <v>425.84673200000003</v>
      </c>
      <c r="H25" s="52">
        <f t="shared" si="3"/>
        <v>404.55439540000003</v>
      </c>
      <c r="I25" s="42">
        <f>'POLÍTICA COMERCIAL Jan24'!I25*(1+'POLÍTICA COMERCIAL Fev24'!N$19)</f>
        <v>455.57485600000001</v>
      </c>
      <c r="J25" s="52">
        <f t="shared" si="4"/>
        <v>432.79611319999998</v>
      </c>
      <c r="K25" s="42">
        <f>'POLÍTICA COMERCIAL Jan24'!K25*(1+'POLÍTICA COMERCIAL Fev24'!N$19)</f>
        <v>425.84673200000003</v>
      </c>
      <c r="L25" s="52">
        <f t="shared" si="5"/>
        <v>404.55439540000003</v>
      </c>
    </row>
    <row r="26" spans="2:14" x14ac:dyDescent="0.3">
      <c r="B26" s="9" t="s">
        <v>30</v>
      </c>
      <c r="C26" s="42">
        <f>'POLÍTICA COMERCIAL Jan24'!C26*(1+'POLÍTICA COMERCIAL Fev24'!N$19)</f>
        <v>487.58940000000001</v>
      </c>
      <c r="D26" s="52">
        <f t="shared" si="1"/>
        <v>438.83046000000002</v>
      </c>
      <c r="E26" s="42">
        <f>'POLÍTICA COMERCIAL Jan24'!E26*(1+'POLÍTICA COMERCIAL Fev24'!N$19)</f>
        <v>519.38940000000002</v>
      </c>
      <c r="F26" s="52">
        <f t="shared" si="2"/>
        <v>467.45046000000002</v>
      </c>
      <c r="G26" s="42">
        <f>'POLÍTICA COMERCIAL Jan24'!G26*(1+'POLÍTICA COMERCIAL Fev24'!N$19)</f>
        <v>519.38940000000002</v>
      </c>
      <c r="H26" s="52">
        <f t="shared" si="3"/>
        <v>493.41993000000002</v>
      </c>
      <c r="I26" s="42">
        <f>'POLÍTICA COMERCIAL Jan24'!I26*(1+'POLÍTICA COMERCIAL Fev24'!N$19)</f>
        <v>551.18940000000009</v>
      </c>
      <c r="J26" s="52">
        <f t="shared" si="4"/>
        <v>523.62993000000006</v>
      </c>
      <c r="K26" s="42">
        <f>'POLÍTICA COMERCIAL Jan24'!K26*(1+'POLÍTICA COMERCIAL Fev24'!N$19)</f>
        <v>519.38940000000002</v>
      </c>
      <c r="L26" s="52">
        <f t="shared" si="5"/>
        <v>493.41993000000002</v>
      </c>
    </row>
    <row r="27" spans="2:14" x14ac:dyDescent="0.3">
      <c r="B27" s="9" t="s">
        <v>54</v>
      </c>
      <c r="C27" s="42">
        <f>'POLÍTICA COMERCIAL Jan24'!C27*(1+'POLÍTICA COMERCIAL Fev24'!N$19)</f>
        <v>441.57077200000003</v>
      </c>
      <c r="D27" s="52">
        <f t="shared" si="1"/>
        <v>397.41369480000003</v>
      </c>
      <c r="E27" s="42">
        <f>'POLÍTICA COMERCIAL Jan24'!E27*(1+'POLÍTICA COMERCIAL Fev24'!N$19)</f>
        <v>471.86366400000003</v>
      </c>
      <c r="F27" s="52">
        <f t="shared" si="2"/>
        <v>424.67729760000003</v>
      </c>
      <c r="G27" s="42">
        <f>'POLÍTICA COMERCIAL Jan24'!G27*(1+'POLÍTICA COMERCIAL Fev24'!N$19)</f>
        <v>471.86366400000003</v>
      </c>
      <c r="H27" s="52">
        <f t="shared" si="3"/>
        <v>448.27048080000003</v>
      </c>
      <c r="I27" s="42">
        <f>'POLÍTICA COMERCIAL Jan24'!I27*(1+'POLÍTICA COMERCIAL Fev24'!N$19)</f>
        <v>501.52055600000006</v>
      </c>
      <c r="J27" s="52">
        <f t="shared" si="4"/>
        <v>476.44452820000004</v>
      </c>
      <c r="K27" s="42">
        <f>'POLÍTICA COMERCIAL Jan24'!K27*(1+'POLÍTICA COMERCIAL Fev24'!N$19)</f>
        <v>471.86366400000003</v>
      </c>
      <c r="L27" s="52">
        <f t="shared" si="5"/>
        <v>448.27048080000003</v>
      </c>
    </row>
    <row r="28" spans="2:14" x14ac:dyDescent="0.3">
      <c r="B28" s="9" t="s">
        <v>31</v>
      </c>
      <c r="C28" s="42">
        <f>'POLÍTICA COMERCIAL Jan24'!C28*(1+'POLÍTICA COMERCIAL Fev24'!N$19)</f>
        <v>635.98940000000005</v>
      </c>
      <c r="D28" s="52">
        <f t="shared" si="1"/>
        <v>572.39046000000008</v>
      </c>
      <c r="E28" s="42">
        <f>'POLÍTICA COMERCIAL Jan24'!E28*(1+'POLÍTICA COMERCIAL Fev24'!N$19)</f>
        <v>667.7894</v>
      </c>
      <c r="F28" s="52">
        <f t="shared" si="2"/>
        <v>601.01045999999997</v>
      </c>
      <c r="G28" s="42">
        <f>'POLÍTICA COMERCIAL Jan24'!G28*(1+'POLÍTICA COMERCIAL Fev24'!N$19)</f>
        <v>667.7894</v>
      </c>
      <c r="H28" s="52">
        <f t="shared" si="3"/>
        <v>634.39992999999993</v>
      </c>
      <c r="I28" s="42">
        <f>'POLÍTICA COMERCIAL Jan24'!I28*(1+'POLÍTICA COMERCIAL Fev24'!N$19)</f>
        <v>710.18940000000009</v>
      </c>
      <c r="J28" s="52">
        <f t="shared" si="4"/>
        <v>674.67993000000001</v>
      </c>
      <c r="K28" s="42">
        <f>'POLÍTICA COMERCIAL Jan24'!K28*(1+'POLÍTICA COMERCIAL Fev24'!N$19)</f>
        <v>667.7894</v>
      </c>
      <c r="L28" s="52">
        <f t="shared" si="5"/>
        <v>634.39992999999993</v>
      </c>
    </row>
    <row r="29" spans="2:14" x14ac:dyDescent="0.3">
      <c r="B29" s="9" t="s">
        <v>55</v>
      </c>
      <c r="C29" s="42">
        <f>'POLÍTICA COMERCIAL Jan24'!C29*(1+'POLÍTICA COMERCIAL Fev24'!N$19)</f>
        <v>578.62644</v>
      </c>
      <c r="D29" s="52">
        <f t="shared" si="1"/>
        <v>520.76379600000007</v>
      </c>
      <c r="E29" s="42">
        <f>'POLÍTICA COMERCIAL Jan24'!E29*(1+'POLÍTICA COMERCIAL Fev24'!N$19)</f>
        <v>606.18771200000015</v>
      </c>
      <c r="F29" s="52">
        <f t="shared" si="2"/>
        <v>545.56894080000018</v>
      </c>
      <c r="G29" s="42">
        <f>'POLÍTICA COMERCIAL Jan24'!G29*(1+'POLÍTICA COMERCIAL Fev24'!N$19)</f>
        <v>606.18771200000015</v>
      </c>
      <c r="H29" s="52">
        <f t="shared" si="3"/>
        <v>575.87832640000011</v>
      </c>
      <c r="I29" s="42">
        <f>'POLÍTICA COMERCIAL Jan24'!I29*(1+'POLÍTICA COMERCIAL Fev24'!N$19)</f>
        <v>654.948984</v>
      </c>
      <c r="J29" s="52">
        <f t="shared" si="4"/>
        <v>622.20153479999999</v>
      </c>
      <c r="K29" s="42">
        <f>'POLÍTICA COMERCIAL Jan24'!K29*(1+'POLÍTICA COMERCIAL Fev24'!N$19)</f>
        <v>606.18771200000015</v>
      </c>
      <c r="L29" s="52">
        <f t="shared" si="5"/>
        <v>575.87832640000011</v>
      </c>
    </row>
    <row r="30" spans="2:14" hidden="1" x14ac:dyDescent="0.3">
      <c r="B30" s="41" t="s">
        <v>32</v>
      </c>
      <c r="C30" s="42" t="e">
        <f>'POLÍTICA COMERCIAL Jan24'!C30*(1+'POLÍTICA COMERCIAL Fev24'!N$19)</f>
        <v>#VALUE!</v>
      </c>
      <c r="D30" s="52" t="e">
        <f t="shared" si="1"/>
        <v>#VALUE!</v>
      </c>
      <c r="E30" s="42" t="e">
        <f>'POLÍTICA COMERCIAL Jan24'!E30*(1+'POLÍTICA COMERCIAL Fev24'!N$19)</f>
        <v>#VALUE!</v>
      </c>
      <c r="F30" s="52" t="e">
        <f t="shared" si="2"/>
        <v>#VALUE!</v>
      </c>
      <c r="G30" s="42" t="e">
        <f>'POLÍTICA COMERCIAL Jan24'!G30*(1+'POLÍTICA COMERCIAL Fev24'!N$19)</f>
        <v>#VALUE!</v>
      </c>
      <c r="H30" s="52" t="e">
        <f t="shared" si="3"/>
        <v>#VALUE!</v>
      </c>
      <c r="I30" s="42" t="e">
        <f>'POLÍTICA COMERCIAL Jan24'!I30*(1+'POLÍTICA COMERCIAL Fev24'!N$19)</f>
        <v>#VALUE!</v>
      </c>
      <c r="J30" s="52" t="e">
        <f t="shared" si="4"/>
        <v>#VALUE!</v>
      </c>
      <c r="K30" s="42" t="e">
        <f>'POLÍTICA COMERCIAL Jan24'!K30*(1+'POLÍTICA COMERCIAL Fev24'!N$19)</f>
        <v>#VALUE!</v>
      </c>
      <c r="L30" s="52" t="e">
        <f t="shared" si="5"/>
        <v>#VALUE!</v>
      </c>
    </row>
    <row r="31" spans="2:14" x14ac:dyDescent="0.3">
      <c r="B31" s="9" t="s">
        <v>33</v>
      </c>
      <c r="C31" s="42">
        <f>'POLÍTICA COMERCIAL Jan24'!C31*(1+'POLÍTICA COMERCIAL Fev24'!N$19)</f>
        <v>816.18940000000009</v>
      </c>
      <c r="D31" s="52">
        <f t="shared" si="1"/>
        <v>734.57046000000014</v>
      </c>
      <c r="E31" s="42">
        <f>'POLÍTICA COMERCIAL Jan24'!E31*(1+'POLÍTICA COMERCIAL Fev24'!N$19)</f>
        <v>847.98940000000005</v>
      </c>
      <c r="F31" s="52">
        <f t="shared" si="2"/>
        <v>763.19046000000003</v>
      </c>
      <c r="G31" s="42">
        <f>'POLÍTICA COMERCIAL Jan24'!G31*(1+'POLÍTICA COMERCIAL Fev24'!N$19)</f>
        <v>847.98940000000005</v>
      </c>
      <c r="H31" s="52">
        <f t="shared" si="3"/>
        <v>805.58992999999998</v>
      </c>
      <c r="I31" s="42">
        <f>'POLÍTICA COMERCIAL Jan24'!I31*(1+'POLÍTICA COMERCIAL Fev24'!N$19)</f>
        <v>890.38940000000002</v>
      </c>
      <c r="J31" s="52">
        <f t="shared" si="4"/>
        <v>845.86992999999995</v>
      </c>
      <c r="K31" s="42">
        <f>'POLÍTICA COMERCIAL Jan24'!K31*(1+'POLÍTICA COMERCIAL Fev24'!N$19)</f>
        <v>847.98940000000005</v>
      </c>
      <c r="L31" s="52">
        <f t="shared" si="5"/>
        <v>805.58992999999998</v>
      </c>
    </row>
    <row r="32" spans="2:14" x14ac:dyDescent="0.3">
      <c r="B32" s="9" t="s">
        <v>56</v>
      </c>
      <c r="C32" s="42">
        <f>'POLÍTICA COMERCIAL Jan24'!C32*(1+'POLÍTICA COMERCIAL Fev24'!N$19)</f>
        <v>745.1562560000001</v>
      </c>
      <c r="D32" s="52">
        <f t="shared" si="1"/>
        <v>670.64063040000008</v>
      </c>
      <c r="E32" s="42">
        <f>'POLÍTICA COMERCIAL Jan24'!E32*(1+'POLÍTICA COMERCIAL Fev24'!N$19)</f>
        <v>770.74529200000018</v>
      </c>
      <c r="F32" s="52">
        <f t="shared" si="2"/>
        <v>693.67076280000015</v>
      </c>
      <c r="G32" s="42">
        <f>'POLÍTICA COMERCIAL Jan24'!G32*(1+'POLÍTICA COMERCIAL Fev24'!N$19)</f>
        <v>770.74529200000018</v>
      </c>
      <c r="H32" s="52">
        <f t="shared" si="3"/>
        <v>732.20802740000011</v>
      </c>
      <c r="I32" s="42">
        <f>'POLÍTICA COMERCIAL Jan24'!I32*(1+'POLÍTICA COMERCIAL Fev24'!N$19)</f>
        <v>814.41729200000009</v>
      </c>
      <c r="J32" s="52">
        <f t="shared" si="4"/>
        <v>773.69642740000006</v>
      </c>
      <c r="K32" s="42">
        <f>'POLÍTICA COMERCIAL Jan24'!K32*(1+'POLÍTICA COMERCIAL Fev24'!N$19)</f>
        <v>770.74529200000018</v>
      </c>
      <c r="L32" s="52">
        <f t="shared" si="5"/>
        <v>732.20802740000011</v>
      </c>
    </row>
    <row r="33" spans="2:12" x14ac:dyDescent="0.3">
      <c r="B33" s="9" t="str">
        <f>B9</f>
        <v>FONTE 90 BOB</v>
      </c>
      <c r="C33" s="42">
        <f>'POLÍTICA COMERCIAL Jan24'!C33*(1+'POLÍTICA COMERCIAL Fev24'!N$19)</f>
        <v>413.38940000000002</v>
      </c>
      <c r="D33" s="52">
        <f t="shared" si="1"/>
        <v>372.05046000000004</v>
      </c>
      <c r="E33" s="42">
        <f>'POLÍTICA COMERCIAL Jan24'!E33*(1+'POLÍTICA COMERCIAL Fev24'!N$19)</f>
        <v>445.18940000000003</v>
      </c>
      <c r="F33" s="52">
        <f t="shared" si="2"/>
        <v>400.67046000000005</v>
      </c>
      <c r="G33" s="42">
        <f>'POLÍTICA COMERCIAL Jan24'!G33*(1+'POLÍTICA COMERCIAL Fev24'!N$19)</f>
        <v>445.18940000000003</v>
      </c>
      <c r="H33" s="52">
        <f t="shared" si="3"/>
        <v>422.92993000000001</v>
      </c>
      <c r="I33" s="42">
        <f>'POLÍTICA COMERCIAL Jan24'!I33*(1+'POLÍTICA COMERCIAL Fev24'!N$19)</f>
        <v>466.38940000000002</v>
      </c>
      <c r="J33" s="52">
        <f t="shared" si="4"/>
        <v>443.06993</v>
      </c>
      <c r="K33" s="42">
        <f>'POLÍTICA COMERCIAL Jan24'!K33*(1+'POLÍTICA COMERCIAL Fev24'!N$19)</f>
        <v>445.18940000000003</v>
      </c>
      <c r="L33" s="52">
        <f t="shared" si="5"/>
        <v>422.92993000000001</v>
      </c>
    </row>
    <row r="34" spans="2:12" x14ac:dyDescent="0.3">
      <c r="B34" s="9" t="s">
        <v>35</v>
      </c>
      <c r="C34" s="42">
        <f>'POLÍTICA COMERCIAL Jan24'!C34*(1+'POLÍTICA COMERCIAL Fev24'!N$19)</f>
        <v>493.94940000000003</v>
      </c>
      <c r="D34" s="52">
        <f t="shared" si="1"/>
        <v>444.55446000000001</v>
      </c>
      <c r="E34" s="42">
        <f>'POLÍTICA COMERCIAL Jan24'!E34*(1+'POLÍTICA COMERCIAL Fev24'!N$19)</f>
        <v>525.74940000000004</v>
      </c>
      <c r="F34" s="52">
        <f t="shared" si="2"/>
        <v>473.17446000000007</v>
      </c>
      <c r="G34" s="42">
        <f>'POLÍTICA COMERCIAL Jan24'!G34*(1+'POLÍTICA COMERCIAL Fev24'!N$19)</f>
        <v>525.74940000000004</v>
      </c>
      <c r="H34" s="52">
        <f t="shared" si="3"/>
        <v>499.46193</v>
      </c>
      <c r="I34" s="42">
        <f>'POLÍTICA COMERCIAL Jan24'!I34*(1+'POLÍTICA COMERCIAL Fev24'!N$19)</f>
        <v>568.14940000000001</v>
      </c>
      <c r="J34" s="52">
        <f t="shared" si="4"/>
        <v>539.74193000000002</v>
      </c>
      <c r="K34" s="42">
        <f>'POLÍTICA COMERCIAL Jan24'!K34*(1+'POLÍTICA COMERCIAL Fev24'!N$19)</f>
        <v>525.74940000000004</v>
      </c>
      <c r="L34" s="52">
        <f t="shared" si="5"/>
        <v>499.46193</v>
      </c>
    </row>
    <row r="35" spans="2:12" x14ac:dyDescent="0.3">
      <c r="B35" s="9" t="s">
        <v>34</v>
      </c>
      <c r="C35" s="42">
        <f>'POLÍTICA COMERCIAL Jan24'!C35*(1+'POLÍTICA COMERCIAL Fev24'!N$19)</f>
        <v>625.38940000000002</v>
      </c>
      <c r="D35" s="52">
        <f t="shared" si="1"/>
        <v>562.85046</v>
      </c>
      <c r="E35" s="42">
        <f>'POLÍTICA COMERCIAL Jan24'!E35*(1+'POLÍTICA COMERCIAL Fev24'!N$19)</f>
        <v>657.18940000000009</v>
      </c>
      <c r="F35" s="52">
        <f t="shared" si="2"/>
        <v>591.47046000000012</v>
      </c>
      <c r="G35" s="42">
        <f>'POLÍTICA COMERCIAL Jan24'!G35*(1+'POLÍTICA COMERCIAL Fev24'!N$19)</f>
        <v>657.18940000000009</v>
      </c>
      <c r="H35" s="52">
        <f t="shared" si="3"/>
        <v>624.3299300000001</v>
      </c>
      <c r="I35" s="42">
        <f>'POLÍTICA COMERCIAL Jan24'!I35*(1+'POLÍTICA COMERCIAL Fev24'!N$19)</f>
        <v>731.38940000000002</v>
      </c>
      <c r="J35" s="52">
        <f t="shared" si="4"/>
        <v>694.81993</v>
      </c>
      <c r="K35" s="42">
        <f>'POLÍTICA COMERCIAL Jan24'!K35*(1+'POLÍTICA COMERCIAL Fev24'!N$19)</f>
        <v>657.18940000000009</v>
      </c>
      <c r="L35" s="52">
        <f t="shared" si="5"/>
        <v>624.3299300000001</v>
      </c>
    </row>
    <row r="36" spans="2:12" x14ac:dyDescent="0.3">
      <c r="B36" s="9" t="str">
        <f>B12</f>
        <v>FONTE 200 MONO</v>
      </c>
      <c r="C36" s="42">
        <f>'POLÍTICA COMERCIAL Jan24'!C36*(1+'POLÍTICA COMERCIAL Fev24'!N$19)</f>
        <v>669.57038682500001</v>
      </c>
      <c r="D36" s="52">
        <f t="shared" si="1"/>
        <v>602.61334814250006</v>
      </c>
      <c r="E36" s="42">
        <f>'POLÍTICA COMERCIAL Jan24'!E36*(1+'POLÍTICA COMERCIAL Fev24'!N$19)</f>
        <v>736.61093349999999</v>
      </c>
      <c r="F36" s="52">
        <f t="shared" si="2"/>
        <v>662.94984015</v>
      </c>
      <c r="G36" s="42">
        <f>'POLÍTICA COMERCIAL Jan24'!G36*(1+'POLÍTICA COMERCIAL Fev24'!N$19)</f>
        <v>775.37993000000006</v>
      </c>
      <c r="H36" s="52">
        <f t="shared" si="3"/>
        <v>736.61093349999999</v>
      </c>
      <c r="I36" s="42">
        <f>'POLÍTICA COMERCIAL Jan24'!I36*(1+'POLÍTICA COMERCIAL Fev24'!N$19)</f>
        <v>815.65993000000003</v>
      </c>
      <c r="J36" s="52">
        <f t="shared" si="4"/>
        <v>774.87693349999995</v>
      </c>
      <c r="K36" s="42">
        <f>'POLÍTICA COMERCIAL Jan24'!K36*(1+'POLÍTICA COMERCIAL Fev24'!N$19)</f>
        <v>775.37993000000006</v>
      </c>
      <c r="L36" s="52">
        <f t="shared" si="5"/>
        <v>736.61093349999999</v>
      </c>
    </row>
    <row r="37" spans="2:12" x14ac:dyDescent="0.3">
      <c r="B37" s="9" t="s">
        <v>117</v>
      </c>
      <c r="C37" s="42">
        <f>'POLÍTICA COMERCIAL Jan24'!C37*(1+'POLÍTICA COMERCIAL Fev24'!N$19)</f>
        <v>636.09186748374998</v>
      </c>
      <c r="D37" s="52">
        <f t="shared" si="1"/>
        <v>572.48268073537497</v>
      </c>
      <c r="E37" s="42">
        <f>'POLÍTICA COMERCIAL Jan24'!E37*(1+'POLÍTICA COMERCIAL Fev24'!N$19)</f>
        <v>699.78038682499994</v>
      </c>
      <c r="F37" s="52">
        <f t="shared" si="2"/>
        <v>629.80234814249991</v>
      </c>
      <c r="G37" s="42">
        <f>'POLÍTICA COMERCIAL Jan24'!G37*(1+'POLÍTICA COMERCIAL Fev24'!N$19)</f>
        <v>736.61093349999999</v>
      </c>
      <c r="H37" s="52">
        <f t="shared" si="3"/>
        <v>699.78038682499994</v>
      </c>
      <c r="I37" s="42">
        <f>'POLÍTICA COMERCIAL Jan24'!I37*(1+'POLÍTICA COMERCIAL Fev24'!N$19)</f>
        <v>774.87693349999995</v>
      </c>
      <c r="J37" s="52">
        <f t="shared" si="4"/>
        <v>736.13308682499996</v>
      </c>
      <c r="K37" s="42">
        <f>'POLÍTICA COMERCIAL Jan24'!K37*(1+'POLÍTICA COMERCIAL Fev24'!N$19)</f>
        <v>736.61093349999999</v>
      </c>
      <c r="L37" s="52">
        <f t="shared" si="5"/>
        <v>699.78038682499994</v>
      </c>
    </row>
    <row r="38" spans="2:12" x14ac:dyDescent="0.3">
      <c r="B38" s="9" t="s">
        <v>37</v>
      </c>
      <c r="C38" s="42">
        <f>'POLÍTICA COMERCIAL Jan24'!C38*(1+'POLÍTICA COMERCIAL Fev24'!N$19)</f>
        <v>58.194000000000003</v>
      </c>
      <c r="D38" s="52">
        <f t="shared" si="1"/>
        <v>52.374600000000001</v>
      </c>
      <c r="E38" s="42">
        <f>'POLÍTICA COMERCIAL Jan24'!E38*(1+'POLÍTICA COMERCIAL Fev24'!N$19)</f>
        <v>59.357880000000002</v>
      </c>
      <c r="F38" s="52">
        <f t="shared" si="2"/>
        <v>53.422091999999999</v>
      </c>
      <c r="G38" s="42">
        <f>'POLÍTICA COMERCIAL Jan24'!G38*(1+'POLÍTICA COMERCIAL Fev24'!N$19)</f>
        <v>64.861188000000013</v>
      </c>
      <c r="H38" s="52">
        <f t="shared" si="3"/>
        <v>61.618128600000006</v>
      </c>
      <c r="I38" s="42">
        <f>'POLÍTICA COMERCIAL Jan24'!I38*(1+'POLÍTICA COMERCIAL Fev24'!N$19)</f>
        <v>70.169880000000006</v>
      </c>
      <c r="J38" s="52">
        <f t="shared" si="4"/>
        <v>66.661386000000007</v>
      </c>
      <c r="K38" s="42">
        <f>'POLÍTICA COMERCIAL Jan24'!K38*(1+'POLÍTICA COMERCIAL Fev24'!N$19)</f>
        <v>64.861188000000013</v>
      </c>
      <c r="L38" s="52">
        <f t="shared" si="5"/>
        <v>61.618128600000006</v>
      </c>
    </row>
    <row r="39" spans="2:12" x14ac:dyDescent="0.3">
      <c r="B39" s="9" t="s">
        <v>36</v>
      </c>
      <c r="C39" s="42">
        <f>'POLÍTICA COMERCIAL Jan24'!C39*(1+'POLÍTICA COMERCIAL Fev24'!N$19)</f>
        <v>55.284299999999995</v>
      </c>
      <c r="D39" s="52">
        <f t="shared" si="1"/>
        <v>49.755869999999994</v>
      </c>
      <c r="E39" s="42">
        <f>'POLÍTICA COMERCIAL Jan24'!E39*(1+'POLÍTICA COMERCIAL Fev24'!N$19)</f>
        <v>56.389986</v>
      </c>
      <c r="F39" s="52">
        <f t="shared" si="2"/>
        <v>50.7509874</v>
      </c>
      <c r="G39" s="42">
        <f>'POLÍTICA COMERCIAL Jan24'!G39*(1+'POLÍTICA COMERCIAL Fev24'!N$19)</f>
        <v>61.618128600000006</v>
      </c>
      <c r="H39" s="52">
        <f t="shared" si="3"/>
        <v>58.53722217</v>
      </c>
      <c r="I39" s="42">
        <f>'POLÍTICA COMERCIAL Jan24'!I39*(1+'POLÍTICA COMERCIAL Fev24'!N$19)</f>
        <v>66.661386000000007</v>
      </c>
      <c r="J39" s="52">
        <f t="shared" si="4"/>
        <v>63.328316700000002</v>
      </c>
      <c r="K39" s="42">
        <f>'POLÍTICA COMERCIAL Jan24'!K39*(1+'POLÍTICA COMERCIAL Fev24'!N$19)</f>
        <v>61.618128600000006</v>
      </c>
      <c r="L39" s="52">
        <f t="shared" si="5"/>
        <v>58.53722217</v>
      </c>
    </row>
    <row r="40" spans="2:12" x14ac:dyDescent="0.3">
      <c r="B40" s="9" t="s">
        <v>38</v>
      </c>
      <c r="C40" s="42">
        <f>'POLÍTICA COMERCIAL Jan24'!C40*(1+'POLÍTICA COMERCIAL Fev24'!N$19)</f>
        <v>83.740000000000009</v>
      </c>
      <c r="D40" s="52">
        <f t="shared" si="1"/>
        <v>75.366000000000014</v>
      </c>
      <c r="E40" s="42">
        <f>'POLÍTICA COMERCIAL Jan24'!E40*(1+'POLÍTICA COMERCIAL Fev24'!N$19)</f>
        <v>85.4148</v>
      </c>
      <c r="F40" s="52">
        <f t="shared" si="2"/>
        <v>76.873320000000007</v>
      </c>
      <c r="G40" s="42">
        <f>'POLÍTICA COMERCIAL Jan24'!G40*(1+'POLÍTICA COMERCIAL Fev24'!N$19)</f>
        <v>96.226800000000011</v>
      </c>
      <c r="H40" s="52">
        <f t="shared" si="3"/>
        <v>91.41546000000001</v>
      </c>
      <c r="I40" s="42">
        <f>'POLÍTICA COMERCIAL Jan24'!I40*(1+'POLÍTICA COMERCIAL Fev24'!N$19)</f>
        <v>107.03880000000001</v>
      </c>
      <c r="J40" s="52">
        <f t="shared" si="4"/>
        <v>101.68686000000001</v>
      </c>
      <c r="K40" s="42">
        <f>'POLÍTICA COMERCIAL Jan24'!K40*(1+'POLÍTICA COMERCIAL Fev24'!N$19)</f>
        <v>96.226800000000011</v>
      </c>
      <c r="L40" s="52">
        <f t="shared" si="5"/>
        <v>91.41546000000001</v>
      </c>
    </row>
    <row r="41" spans="2:12" x14ac:dyDescent="0.3">
      <c r="B41" s="9" t="s">
        <v>39</v>
      </c>
      <c r="C41" s="42">
        <f>'POLÍTICA COMERCIAL Jan24'!C41*(1+'POLÍTICA COMERCIAL Fev24'!N$19)</f>
        <v>73.14</v>
      </c>
      <c r="D41" s="52">
        <f t="shared" si="1"/>
        <v>65.826000000000008</v>
      </c>
      <c r="E41" s="42">
        <f>'POLÍTICA COMERCIAL Jan24'!E41*(1+'POLÍTICA COMERCIAL Fev24'!N$19)</f>
        <v>74.602800000000002</v>
      </c>
      <c r="F41" s="52">
        <f t="shared" si="2"/>
        <v>67.142520000000005</v>
      </c>
      <c r="G41" s="42">
        <f>'POLÍTICA COMERCIAL Jan24'!G41*(1+'POLÍTICA COMERCIAL Fev24'!N$19)</f>
        <v>83.634000000000015</v>
      </c>
      <c r="H41" s="52">
        <f t="shared" si="3"/>
        <v>79.452300000000008</v>
      </c>
      <c r="I41" s="42">
        <f>'POLÍTICA COMERCIAL Jan24'!I41*(1+'POLÍTICA COMERCIAL Fev24'!N$19)</f>
        <v>93.174000000000007</v>
      </c>
      <c r="J41" s="52">
        <f t="shared" si="4"/>
        <v>88.515299999999996</v>
      </c>
      <c r="K41" s="42">
        <f>'POLÍTICA COMERCIAL Jan24'!K41*(1+'POLÍTICA COMERCIAL Fev24'!N$19)</f>
        <v>83.634000000000015</v>
      </c>
      <c r="L41" s="52">
        <f t="shared" si="5"/>
        <v>79.452300000000008</v>
      </c>
    </row>
    <row r="42" spans="2:12" x14ac:dyDescent="0.3">
      <c r="B42" s="32" t="s">
        <v>146</v>
      </c>
    </row>
    <row r="44" spans="2:12" x14ac:dyDescent="0.3">
      <c r="B44" s="53" t="s">
        <v>138</v>
      </c>
      <c r="D44" s="24">
        <f>1-D24/D25</f>
        <v>-9.8883721329156238E-2</v>
      </c>
      <c r="E44" s="24"/>
      <c r="F44" s="24">
        <f t="shared" ref="F44:L44" si="6">1-F24/F25</f>
        <v>-9.520483533967794E-2</v>
      </c>
      <c r="G44" s="24"/>
      <c r="H44" s="24">
        <f t="shared" si="6"/>
        <v>-9.520483533967794E-2</v>
      </c>
      <c r="I44" s="24"/>
      <c r="J44" s="24">
        <f t="shared" si="6"/>
        <v>-9.3540157975707139E-2</v>
      </c>
      <c r="K44" s="24"/>
      <c r="L44" s="24">
        <f t="shared" si="6"/>
        <v>-9.520483533967794E-2</v>
      </c>
    </row>
    <row r="45" spans="2:12" x14ac:dyDescent="0.3">
      <c r="B45" s="53" t="s">
        <v>139</v>
      </c>
      <c r="D45" s="24">
        <f>1-D26/D27</f>
        <v>-0.10421574732305872</v>
      </c>
      <c r="E45" s="24"/>
      <c r="F45" s="24">
        <f t="shared" ref="F45:L45" si="7">1-F26/F27</f>
        <v>-0.10071921113213755</v>
      </c>
      <c r="G45" s="24"/>
      <c r="H45" s="24">
        <f t="shared" si="7"/>
        <v>-0.10071921113213755</v>
      </c>
      <c r="I45" s="24"/>
      <c r="J45" s="24">
        <f t="shared" si="7"/>
        <v>-9.9036506890457288E-2</v>
      </c>
      <c r="K45" s="24"/>
      <c r="L45" s="24">
        <f t="shared" si="7"/>
        <v>-0.10071921113213755</v>
      </c>
    </row>
    <row r="46" spans="2:12" x14ac:dyDescent="0.3">
      <c r="B46" s="53" t="s">
        <v>140</v>
      </c>
      <c r="D46" s="24">
        <f>1-D28/D29</f>
        <v>-9.9136430751418869E-2</v>
      </c>
      <c r="E46" s="24"/>
      <c r="F46" s="24">
        <f t="shared" ref="F46:L46" si="8">1-F28/F29</f>
        <v>-0.10162147265697086</v>
      </c>
      <c r="G46" s="24"/>
      <c r="H46" s="24">
        <f t="shared" si="8"/>
        <v>-0.10162147265697108</v>
      </c>
      <c r="I46" s="24"/>
      <c r="J46" s="24">
        <f t="shared" si="8"/>
        <v>-8.4343082208674813E-2</v>
      </c>
      <c r="K46" s="24"/>
      <c r="L46" s="24">
        <f t="shared" si="8"/>
        <v>-0.10162147265697108</v>
      </c>
    </row>
    <row r="47" spans="2:12" x14ac:dyDescent="0.3">
      <c r="B47" s="53" t="s">
        <v>141</v>
      </c>
      <c r="D47" s="24">
        <f>1-D31/D32</f>
        <v>-9.5326508269964805E-2</v>
      </c>
      <c r="E47" s="24"/>
      <c r="F47" s="24">
        <f t="shared" ref="F47:L47" si="9">1-F31/F32</f>
        <v>-0.10022001924858959</v>
      </c>
      <c r="G47" s="24"/>
      <c r="H47" s="24">
        <f t="shared" si="9"/>
        <v>-0.10022001924858959</v>
      </c>
      <c r="I47" s="24"/>
      <c r="J47" s="24">
        <f t="shared" si="9"/>
        <v>-9.3284006548328469E-2</v>
      </c>
      <c r="K47" s="24"/>
      <c r="L47" s="24">
        <f t="shared" si="9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2:E41 G22:G41 I22:I41 K22:K4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showGridLines="0" topLeftCell="A18" zoomScale="80" zoomScaleNormal="80" workbookViewId="0">
      <selection activeCell="H34" sqref="H34"/>
    </sheetView>
  </sheetViews>
  <sheetFormatPr defaultRowHeight="14.4" x14ac:dyDescent="0.3"/>
  <cols>
    <col min="1" max="1" width="1.109375" customWidth="1"/>
    <col min="2" max="2" width="20.6640625" customWidth="1"/>
    <col min="3" max="12" width="18.5546875" customWidth="1"/>
  </cols>
  <sheetData>
    <row r="1" spans="2:12" ht="4.5" hidden="1" customHeight="1" x14ac:dyDescent="0.3"/>
    <row r="2" spans="2:12" hidden="1" x14ac:dyDescent="0.3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3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3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3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3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3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3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3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3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3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3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3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3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3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3"/>
    <row r="17" spans="2:12" ht="12.75" hidden="1" customHeight="1" x14ac:dyDescent="0.3">
      <c r="B17" s="12" t="s">
        <v>50</v>
      </c>
      <c r="C17" s="13">
        <v>0.02</v>
      </c>
      <c r="D17" s="50"/>
    </row>
    <row r="18" spans="2:12" ht="6.75" customHeight="1" x14ac:dyDescent="0.3">
      <c r="B18" s="54"/>
      <c r="C18" s="54"/>
      <c r="D18" s="50"/>
    </row>
    <row r="19" spans="2:12" x14ac:dyDescent="0.3">
      <c r="B19" s="78" t="s">
        <v>143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 x14ac:dyDescent="0.3">
      <c r="B20" s="67" t="s">
        <v>142</v>
      </c>
      <c r="C20" s="68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2" x14ac:dyDescent="0.3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2" x14ac:dyDescent="0.3">
      <c r="B22" s="9" t="s">
        <v>28</v>
      </c>
      <c r="C22" s="42">
        <f t="shared" ref="C22:C28" si="1">E22-30</f>
        <v>369.99</v>
      </c>
      <c r="D22" s="52">
        <f>C22*(1-D$21)</f>
        <v>332.99100000000004</v>
      </c>
      <c r="E22" s="42">
        <f t="shared" ref="E22:E28" si="2">G22</f>
        <v>399.99</v>
      </c>
      <c r="F22" s="52">
        <f>E22*(1-F$21)</f>
        <v>359.99100000000004</v>
      </c>
      <c r="G22" s="42">
        <v>399.99</v>
      </c>
      <c r="H22" s="52">
        <f>G22*(1-H$21)</f>
        <v>379.9905</v>
      </c>
      <c r="I22" s="42">
        <v>429.99</v>
      </c>
      <c r="J22" s="52">
        <f>I22*(1-J$21)</f>
        <v>408.4905</v>
      </c>
      <c r="K22" s="42">
        <f>G22</f>
        <v>399.99</v>
      </c>
      <c r="L22" s="52">
        <f>K22*(1-L$21)</f>
        <v>379.9905</v>
      </c>
    </row>
    <row r="23" spans="2:12" x14ac:dyDescent="0.3">
      <c r="B23" s="9" t="s">
        <v>116</v>
      </c>
      <c r="C23" s="42">
        <f>C22*0.95</f>
        <v>351.4905</v>
      </c>
      <c r="D23" s="52">
        <f t="shared" ref="D23:D41" si="3">C23*(1-D$21)</f>
        <v>316.34145000000001</v>
      </c>
      <c r="E23" s="42">
        <f t="shared" ref="E23:I23" si="4">E22*0.95</f>
        <v>379.9905</v>
      </c>
      <c r="F23" s="52">
        <f t="shared" ref="F23:F41" si="5">E23*(1-F$21)</f>
        <v>341.99144999999999</v>
      </c>
      <c r="G23" s="42">
        <f t="shared" si="4"/>
        <v>379.9905</v>
      </c>
      <c r="H23" s="52">
        <f t="shared" ref="H23:H41" si="6">G23*(1-H$21)</f>
        <v>360.99097499999999</v>
      </c>
      <c r="I23" s="42">
        <f t="shared" si="4"/>
        <v>408.4905</v>
      </c>
      <c r="J23" s="52">
        <f t="shared" ref="J23:J41" si="7">I23*(1-J$21)</f>
        <v>388.06597499999998</v>
      </c>
      <c r="K23" s="42">
        <f t="shared" ref="K23:K41" si="8">G23</f>
        <v>379.9905</v>
      </c>
      <c r="L23" s="52">
        <f t="shared" ref="L23:L41" si="9">K23*(1-L$21)</f>
        <v>360.99097499999999</v>
      </c>
    </row>
    <row r="24" spans="2:12" x14ac:dyDescent="0.3">
      <c r="B24" s="9" t="s">
        <v>29</v>
      </c>
      <c r="C24" s="42">
        <f t="shared" si="1"/>
        <v>409.99</v>
      </c>
      <c r="D24" s="52">
        <f t="shared" si="3"/>
        <v>368.99100000000004</v>
      </c>
      <c r="E24" s="42">
        <f t="shared" si="2"/>
        <v>439.99</v>
      </c>
      <c r="F24" s="52">
        <f t="shared" si="5"/>
        <v>395.99100000000004</v>
      </c>
      <c r="G24" s="42">
        <v>439.99</v>
      </c>
      <c r="H24" s="52">
        <f t="shared" si="6"/>
        <v>417.9905</v>
      </c>
      <c r="I24" s="42">
        <v>469.99</v>
      </c>
      <c r="J24" s="52">
        <f t="shared" si="7"/>
        <v>446.4905</v>
      </c>
      <c r="K24" s="42">
        <f t="shared" si="8"/>
        <v>439.99</v>
      </c>
      <c r="L24" s="52">
        <f t="shared" si="9"/>
        <v>417.9905</v>
      </c>
    </row>
    <row r="25" spans="2:12" x14ac:dyDescent="0.3">
      <c r="B25" s="9" t="s">
        <v>53</v>
      </c>
      <c r="C25" s="42">
        <f>345.46*1.08</f>
        <v>373.09680000000003</v>
      </c>
      <c r="D25" s="52">
        <f t="shared" si="3"/>
        <v>335.78712000000002</v>
      </c>
      <c r="E25" s="42">
        <f>375.46*1.07</f>
        <v>401.74220000000003</v>
      </c>
      <c r="F25" s="52">
        <f t="shared" si="5"/>
        <v>361.56798000000003</v>
      </c>
      <c r="G25" s="42">
        <f>375.46*1.07</f>
        <v>401.74220000000003</v>
      </c>
      <c r="H25" s="52">
        <f t="shared" si="6"/>
        <v>381.65509000000003</v>
      </c>
      <c r="I25" s="42">
        <f>405.46*1.06</f>
        <v>429.7876</v>
      </c>
      <c r="J25" s="52">
        <f t="shared" si="7"/>
        <v>408.29821999999996</v>
      </c>
      <c r="K25" s="42">
        <f t="shared" si="8"/>
        <v>401.74220000000003</v>
      </c>
      <c r="L25" s="52">
        <f t="shared" si="9"/>
        <v>381.65509000000003</v>
      </c>
    </row>
    <row r="26" spans="2:12" x14ac:dyDescent="0.3">
      <c r="B26" s="9" t="s">
        <v>30</v>
      </c>
      <c r="C26" s="42">
        <f t="shared" si="1"/>
        <v>459.99</v>
      </c>
      <c r="D26" s="52">
        <f t="shared" si="3"/>
        <v>413.99100000000004</v>
      </c>
      <c r="E26" s="42">
        <f t="shared" si="2"/>
        <v>489.99</v>
      </c>
      <c r="F26" s="52">
        <f t="shared" si="5"/>
        <v>440.99100000000004</v>
      </c>
      <c r="G26" s="42">
        <v>489.99</v>
      </c>
      <c r="H26" s="52">
        <f t="shared" si="6"/>
        <v>465.4905</v>
      </c>
      <c r="I26" s="42">
        <v>519.99</v>
      </c>
      <c r="J26" s="52">
        <f t="shared" si="7"/>
        <v>493.9905</v>
      </c>
      <c r="K26" s="42">
        <f t="shared" si="8"/>
        <v>489.99</v>
      </c>
      <c r="L26" s="52">
        <f t="shared" si="9"/>
        <v>465.4905</v>
      </c>
    </row>
    <row r="27" spans="2:12" x14ac:dyDescent="0.3">
      <c r="B27" s="9" t="s">
        <v>54</v>
      </c>
      <c r="C27" s="42">
        <f>382.18*1.09</f>
        <v>416.57620000000003</v>
      </c>
      <c r="D27" s="52">
        <f t="shared" si="3"/>
        <v>374.91858000000002</v>
      </c>
      <c r="E27" s="42">
        <f>412.18*1.08</f>
        <v>445.15440000000001</v>
      </c>
      <c r="F27" s="52">
        <f t="shared" si="5"/>
        <v>400.63896</v>
      </c>
      <c r="G27" s="42">
        <f>412.18*1.08</f>
        <v>445.15440000000001</v>
      </c>
      <c r="H27" s="52">
        <f t="shared" si="6"/>
        <v>422.89668</v>
      </c>
      <c r="I27" s="42">
        <f>442.18*1.07</f>
        <v>473.13260000000002</v>
      </c>
      <c r="J27" s="52">
        <f t="shared" si="7"/>
        <v>449.47597000000002</v>
      </c>
      <c r="K27" s="42">
        <f t="shared" si="8"/>
        <v>445.15440000000001</v>
      </c>
      <c r="L27" s="52">
        <f t="shared" si="9"/>
        <v>422.89668</v>
      </c>
    </row>
    <row r="28" spans="2:12" x14ac:dyDescent="0.3">
      <c r="B28" s="9" t="s">
        <v>31</v>
      </c>
      <c r="C28" s="42">
        <f t="shared" si="1"/>
        <v>599.99</v>
      </c>
      <c r="D28" s="52">
        <f t="shared" si="3"/>
        <v>539.99099999999999</v>
      </c>
      <c r="E28" s="42">
        <f t="shared" si="2"/>
        <v>629.99</v>
      </c>
      <c r="F28" s="52">
        <f t="shared" si="5"/>
        <v>566.99099999999999</v>
      </c>
      <c r="G28" s="42">
        <v>629.99</v>
      </c>
      <c r="H28" s="52">
        <f t="shared" si="6"/>
        <v>598.4905</v>
      </c>
      <c r="I28" s="42">
        <v>669.99</v>
      </c>
      <c r="J28" s="52">
        <f t="shared" si="7"/>
        <v>636.4905</v>
      </c>
      <c r="K28" s="42">
        <f t="shared" si="8"/>
        <v>629.99</v>
      </c>
      <c r="L28" s="52">
        <f t="shared" si="9"/>
        <v>598.4905</v>
      </c>
    </row>
    <row r="29" spans="2:12" x14ac:dyDescent="0.3">
      <c r="B29" s="9" t="s">
        <v>55</v>
      </c>
      <c r="C29" s="42">
        <f>519.88*1.05</f>
        <v>545.87400000000002</v>
      </c>
      <c r="D29" s="52">
        <f t="shared" si="3"/>
        <v>491.28660000000002</v>
      </c>
      <c r="E29" s="42">
        <f>549.88*1.04</f>
        <v>571.87520000000006</v>
      </c>
      <c r="F29" s="52">
        <f t="shared" si="5"/>
        <v>514.68768000000011</v>
      </c>
      <c r="G29" s="42">
        <f>549.88*1.04</f>
        <v>571.87520000000006</v>
      </c>
      <c r="H29" s="52">
        <f t="shared" si="6"/>
        <v>543.28144000000009</v>
      </c>
      <c r="I29" s="42">
        <f>599.88*1.03</f>
        <v>617.87639999999999</v>
      </c>
      <c r="J29" s="52">
        <f t="shared" si="7"/>
        <v>586.98257999999998</v>
      </c>
      <c r="K29" s="42">
        <f t="shared" si="8"/>
        <v>571.87520000000006</v>
      </c>
      <c r="L29" s="52">
        <f t="shared" si="9"/>
        <v>543.28144000000009</v>
      </c>
    </row>
    <row r="30" spans="2:12" hidden="1" x14ac:dyDescent="0.3">
      <c r="B30" s="41" t="s">
        <v>32</v>
      </c>
      <c r="C30" s="14" t="s">
        <v>46</v>
      </c>
      <c r="D30" s="52" t="e">
        <f t="shared" si="3"/>
        <v>#VALUE!</v>
      </c>
      <c r="E30" s="14" t="s">
        <v>46</v>
      </c>
      <c r="F30" s="52" t="e">
        <f t="shared" si="5"/>
        <v>#VALUE!</v>
      </c>
      <c r="G30" s="14" t="s">
        <v>46</v>
      </c>
      <c r="H30" s="52" t="e">
        <f t="shared" si="6"/>
        <v>#VALUE!</v>
      </c>
      <c r="I30" s="14" t="s">
        <v>46</v>
      </c>
      <c r="J30" s="52" t="e">
        <f t="shared" si="7"/>
        <v>#VALUE!</v>
      </c>
      <c r="K30" s="42" t="str">
        <f t="shared" si="8"/>
        <v>LIVRE</v>
      </c>
      <c r="L30" s="52" t="e">
        <f t="shared" si="9"/>
        <v>#VALUE!</v>
      </c>
    </row>
    <row r="31" spans="2:12" x14ac:dyDescent="0.3">
      <c r="B31" s="9" t="s">
        <v>33</v>
      </c>
      <c r="C31" s="42">
        <f t="shared" ref="C31:C35" si="10">E31-30</f>
        <v>769.99</v>
      </c>
      <c r="D31" s="52">
        <f t="shared" si="3"/>
        <v>692.99099999999999</v>
      </c>
      <c r="E31" s="42">
        <f t="shared" ref="E31:E35" si="11">G31</f>
        <v>799.99</v>
      </c>
      <c r="F31" s="52">
        <f t="shared" si="5"/>
        <v>719.99099999999999</v>
      </c>
      <c r="G31" s="42">
        <v>799.99</v>
      </c>
      <c r="H31" s="52">
        <f t="shared" si="6"/>
        <v>759.9905</v>
      </c>
      <c r="I31" s="42">
        <v>839.99</v>
      </c>
      <c r="J31" s="52">
        <f t="shared" si="7"/>
        <v>797.9905</v>
      </c>
      <c r="K31" s="42">
        <f t="shared" si="8"/>
        <v>799.99</v>
      </c>
      <c r="L31" s="52">
        <f t="shared" si="9"/>
        <v>759.9905</v>
      </c>
    </row>
    <row r="32" spans="2:12" x14ac:dyDescent="0.3">
      <c r="B32" s="9" t="s">
        <v>56</v>
      </c>
      <c r="C32" s="42">
        <f>675.94*1.04</f>
        <v>702.97760000000005</v>
      </c>
      <c r="D32" s="52">
        <f t="shared" si="3"/>
        <v>632.67984000000001</v>
      </c>
      <c r="E32" s="42">
        <f>705.94*1.03</f>
        <v>727.11820000000012</v>
      </c>
      <c r="F32" s="52">
        <f t="shared" si="5"/>
        <v>654.40638000000013</v>
      </c>
      <c r="G32" s="42">
        <f>705.94*1.03</f>
        <v>727.11820000000012</v>
      </c>
      <c r="H32" s="52">
        <f t="shared" si="6"/>
        <v>690.76229000000012</v>
      </c>
      <c r="I32" s="42">
        <f>745.94*1.03</f>
        <v>768.31820000000005</v>
      </c>
      <c r="J32" s="52">
        <f t="shared" si="7"/>
        <v>729.90228999999999</v>
      </c>
      <c r="K32" s="42">
        <f t="shared" si="8"/>
        <v>727.11820000000012</v>
      </c>
      <c r="L32" s="52">
        <f t="shared" si="9"/>
        <v>690.76229000000012</v>
      </c>
    </row>
    <row r="33" spans="2:12" x14ac:dyDescent="0.3">
      <c r="B33" s="9" t="str">
        <f>B9</f>
        <v>FONTE 90 BOB</v>
      </c>
      <c r="C33" s="42">
        <f t="shared" si="10"/>
        <v>389.99</v>
      </c>
      <c r="D33" s="52">
        <f t="shared" si="3"/>
        <v>350.99100000000004</v>
      </c>
      <c r="E33" s="42">
        <f t="shared" si="11"/>
        <v>419.99</v>
      </c>
      <c r="F33" s="52">
        <f t="shared" si="5"/>
        <v>377.99100000000004</v>
      </c>
      <c r="G33" s="42">
        <v>419.99</v>
      </c>
      <c r="H33" s="52">
        <f t="shared" si="6"/>
        <v>398.9905</v>
      </c>
      <c r="I33" s="42">
        <v>439.99</v>
      </c>
      <c r="J33" s="52">
        <f t="shared" si="7"/>
        <v>417.9905</v>
      </c>
      <c r="K33" s="42">
        <f t="shared" si="8"/>
        <v>419.99</v>
      </c>
      <c r="L33" s="52">
        <f t="shared" si="9"/>
        <v>398.9905</v>
      </c>
    </row>
    <row r="34" spans="2:12" x14ac:dyDescent="0.3">
      <c r="B34" s="9" t="s">
        <v>35</v>
      </c>
      <c r="C34" s="42">
        <f t="shared" si="10"/>
        <v>465.99</v>
      </c>
      <c r="D34" s="52">
        <f t="shared" si="3"/>
        <v>419.39100000000002</v>
      </c>
      <c r="E34" s="42">
        <f t="shared" si="11"/>
        <v>495.99</v>
      </c>
      <c r="F34" s="52">
        <f t="shared" si="5"/>
        <v>446.39100000000002</v>
      </c>
      <c r="G34" s="42">
        <v>495.99</v>
      </c>
      <c r="H34" s="52">
        <f t="shared" si="6"/>
        <v>471.19049999999999</v>
      </c>
      <c r="I34" s="42">
        <v>535.99</v>
      </c>
      <c r="J34" s="52">
        <f t="shared" si="7"/>
        <v>509.19049999999999</v>
      </c>
      <c r="K34" s="42">
        <f t="shared" si="8"/>
        <v>495.99</v>
      </c>
      <c r="L34" s="52">
        <f t="shared" si="9"/>
        <v>471.19049999999999</v>
      </c>
    </row>
    <row r="35" spans="2:12" x14ac:dyDescent="0.3">
      <c r="B35" s="9" t="s">
        <v>34</v>
      </c>
      <c r="C35" s="42">
        <f t="shared" si="10"/>
        <v>589.99</v>
      </c>
      <c r="D35" s="52">
        <f t="shared" si="3"/>
        <v>530.99099999999999</v>
      </c>
      <c r="E35" s="42">
        <f t="shared" si="11"/>
        <v>619.99</v>
      </c>
      <c r="F35" s="52">
        <f t="shared" si="5"/>
        <v>557.99099999999999</v>
      </c>
      <c r="G35" s="42">
        <v>619.99</v>
      </c>
      <c r="H35" s="52">
        <f t="shared" si="6"/>
        <v>588.9905</v>
      </c>
      <c r="I35" s="42">
        <v>689.99</v>
      </c>
      <c r="J35" s="52">
        <f t="shared" si="7"/>
        <v>655.4905</v>
      </c>
      <c r="K35" s="42">
        <f t="shared" si="8"/>
        <v>619.99</v>
      </c>
      <c r="L35" s="52">
        <f t="shared" si="9"/>
        <v>588.9905</v>
      </c>
    </row>
    <row r="36" spans="2:12" x14ac:dyDescent="0.3">
      <c r="B36" s="9" t="str">
        <f>B12</f>
        <v>FONTE 200 MONO</v>
      </c>
      <c r="C36" s="42">
        <f>(E36-30)*0.95</f>
        <v>631.67017624999994</v>
      </c>
      <c r="D36" s="52">
        <f t="shared" si="3"/>
        <v>568.50315862499997</v>
      </c>
      <c r="E36" s="42">
        <f>G36*0.95</f>
        <v>694.915975</v>
      </c>
      <c r="F36" s="52">
        <f t="shared" si="5"/>
        <v>625.42437749999999</v>
      </c>
      <c r="G36" s="42">
        <f>0.95*769.99</f>
        <v>731.4905</v>
      </c>
      <c r="H36" s="52">
        <f t="shared" si="6"/>
        <v>694.915975</v>
      </c>
      <c r="I36" s="42">
        <f>0.95*809.99</f>
        <v>769.4905</v>
      </c>
      <c r="J36" s="52">
        <f t="shared" si="7"/>
        <v>731.01597499999991</v>
      </c>
      <c r="K36" s="42">
        <f t="shared" si="8"/>
        <v>731.4905</v>
      </c>
      <c r="L36" s="52">
        <f t="shared" si="9"/>
        <v>694.915975</v>
      </c>
    </row>
    <row r="37" spans="2:12" x14ac:dyDescent="0.3">
      <c r="B37" s="9" t="s">
        <v>117</v>
      </c>
      <c r="C37" s="42">
        <f>C36*0.95</f>
        <v>600.08666743749995</v>
      </c>
      <c r="D37" s="52">
        <f t="shared" si="3"/>
        <v>540.07800069375003</v>
      </c>
      <c r="E37" s="42">
        <f>E36*0.95</f>
        <v>660.17017624999994</v>
      </c>
      <c r="F37" s="52">
        <f t="shared" si="5"/>
        <v>594.15315862499995</v>
      </c>
      <c r="G37" s="42">
        <f>G36*0.95</f>
        <v>694.915975</v>
      </c>
      <c r="H37" s="52">
        <f t="shared" si="6"/>
        <v>660.17017624999994</v>
      </c>
      <c r="I37" s="42">
        <f>I36*0.95</f>
        <v>731.01597499999991</v>
      </c>
      <c r="J37" s="52">
        <f t="shared" si="7"/>
        <v>694.4651762499999</v>
      </c>
      <c r="K37" s="42">
        <f t="shared" si="8"/>
        <v>694.915975</v>
      </c>
      <c r="L37" s="52">
        <f t="shared" si="9"/>
        <v>660.17017624999994</v>
      </c>
    </row>
    <row r="38" spans="2:12" x14ac:dyDescent="0.3">
      <c r="B38" s="9" t="s">
        <v>37</v>
      </c>
      <c r="C38" s="42">
        <f>'POLÍTICA COMERCIAL 2023'!C32</f>
        <v>54.9</v>
      </c>
      <c r="D38" s="52">
        <f t="shared" si="3"/>
        <v>49.41</v>
      </c>
      <c r="E38" s="42">
        <f>E13*(1+C$17)</f>
        <v>55.997999999999998</v>
      </c>
      <c r="F38" s="52">
        <f t="shared" si="5"/>
        <v>50.398199999999996</v>
      </c>
      <c r="G38" s="42">
        <f>G13*(1+C$17)</f>
        <v>61.189800000000005</v>
      </c>
      <c r="H38" s="52">
        <f t="shared" si="6"/>
        <v>58.130310000000001</v>
      </c>
      <c r="I38" s="42">
        <f>I13*(1+C$17)</f>
        <v>66.198000000000008</v>
      </c>
      <c r="J38" s="52">
        <f t="shared" si="7"/>
        <v>62.888100000000001</v>
      </c>
      <c r="K38" s="42">
        <f t="shared" si="8"/>
        <v>61.189800000000005</v>
      </c>
      <c r="L38" s="52">
        <f t="shared" si="9"/>
        <v>58.130310000000001</v>
      </c>
    </row>
    <row r="39" spans="2:12" x14ac:dyDescent="0.3">
      <c r="B39" s="9" t="s">
        <v>36</v>
      </c>
      <c r="C39" s="42">
        <f>C38*0.95</f>
        <v>52.154999999999994</v>
      </c>
      <c r="D39" s="52">
        <f t="shared" si="3"/>
        <v>46.939499999999995</v>
      </c>
      <c r="E39" s="42">
        <f t="shared" ref="E39:I39" si="12">E38*0.95</f>
        <v>53.198099999999997</v>
      </c>
      <c r="F39" s="52">
        <f t="shared" si="5"/>
        <v>47.87829</v>
      </c>
      <c r="G39" s="42">
        <f t="shared" si="12"/>
        <v>58.130310000000001</v>
      </c>
      <c r="H39" s="52">
        <f t="shared" si="6"/>
        <v>55.223794499999997</v>
      </c>
      <c r="I39" s="42">
        <f t="shared" si="12"/>
        <v>62.888100000000001</v>
      </c>
      <c r="J39" s="52">
        <f t="shared" si="7"/>
        <v>59.743694999999995</v>
      </c>
      <c r="K39" s="42">
        <f t="shared" si="8"/>
        <v>58.130310000000001</v>
      </c>
      <c r="L39" s="52">
        <f t="shared" si="9"/>
        <v>55.223794499999997</v>
      </c>
    </row>
    <row r="40" spans="2:12" x14ac:dyDescent="0.3">
      <c r="B40" s="9" t="s">
        <v>38</v>
      </c>
      <c r="C40" s="42">
        <f>'POLÍTICA COMERCIAL 2023'!C33</f>
        <v>79</v>
      </c>
      <c r="D40" s="52">
        <f t="shared" si="3"/>
        <v>71.100000000000009</v>
      </c>
      <c r="E40" s="42">
        <f>E14*(1+C$17)</f>
        <v>80.58</v>
      </c>
      <c r="F40" s="52">
        <f t="shared" si="5"/>
        <v>72.522000000000006</v>
      </c>
      <c r="G40" s="42">
        <f>G14*(1+C$17)</f>
        <v>90.78</v>
      </c>
      <c r="H40" s="52">
        <f t="shared" si="6"/>
        <v>86.241</v>
      </c>
      <c r="I40" s="42">
        <f>I14*(1+C$17)</f>
        <v>100.98</v>
      </c>
      <c r="J40" s="52">
        <f t="shared" si="7"/>
        <v>95.930999999999997</v>
      </c>
      <c r="K40" s="42">
        <f t="shared" si="8"/>
        <v>90.78</v>
      </c>
      <c r="L40" s="52">
        <f t="shared" si="9"/>
        <v>86.241</v>
      </c>
    </row>
    <row r="41" spans="2:12" x14ac:dyDescent="0.3">
      <c r="B41" s="9" t="s">
        <v>39</v>
      </c>
      <c r="C41" s="42">
        <f>'POLÍTICA COMERCIAL 2023'!C34</f>
        <v>69</v>
      </c>
      <c r="D41" s="52">
        <f t="shared" si="3"/>
        <v>62.1</v>
      </c>
      <c r="E41" s="42">
        <f>E15*(1+C$17)</f>
        <v>70.38</v>
      </c>
      <c r="F41" s="52">
        <f t="shared" si="5"/>
        <v>63.341999999999999</v>
      </c>
      <c r="G41" s="42">
        <v>78.900000000000006</v>
      </c>
      <c r="H41" s="52">
        <f t="shared" si="6"/>
        <v>74.954999999999998</v>
      </c>
      <c r="I41" s="42">
        <v>87.9</v>
      </c>
      <c r="J41" s="52">
        <f t="shared" si="7"/>
        <v>83.504999999999995</v>
      </c>
      <c r="K41" s="42">
        <f t="shared" si="8"/>
        <v>78.900000000000006</v>
      </c>
      <c r="L41" s="52">
        <f t="shared" si="9"/>
        <v>74.954999999999998</v>
      </c>
    </row>
    <row r="42" spans="2:12" x14ac:dyDescent="0.3">
      <c r="B42" s="32" t="s">
        <v>137</v>
      </c>
    </row>
    <row r="44" spans="2:12" x14ac:dyDescent="0.3">
      <c r="B44" s="53" t="s">
        <v>138</v>
      </c>
      <c r="D44" s="24">
        <f>1-D24/D25</f>
        <v>-9.888372132915646E-2</v>
      </c>
      <c r="E44" s="24"/>
      <c r="F44" s="24">
        <f t="shared" ref="F44:L44" si="13">1-F24/F25</f>
        <v>-9.520483533967794E-2</v>
      </c>
      <c r="G44" s="24"/>
      <c r="H44" s="24">
        <f t="shared" si="13"/>
        <v>-9.520483533967794E-2</v>
      </c>
      <c r="I44" s="24"/>
      <c r="J44" s="24">
        <f t="shared" si="13"/>
        <v>-9.3540157975707139E-2</v>
      </c>
      <c r="K44" s="24"/>
      <c r="L44" s="24">
        <f t="shared" si="13"/>
        <v>-9.520483533967794E-2</v>
      </c>
    </row>
    <row r="45" spans="2:12" x14ac:dyDescent="0.3">
      <c r="B45" s="53" t="s">
        <v>139</v>
      </c>
      <c r="D45" s="24">
        <f>1-D26/D27</f>
        <v>-0.10421574732305894</v>
      </c>
      <c r="E45" s="24"/>
      <c r="F45" s="24">
        <f t="shared" ref="F45:L45" si="14">1-F26/F27</f>
        <v>-0.10071921113213755</v>
      </c>
      <c r="G45" s="24"/>
      <c r="H45" s="24">
        <f t="shared" si="14"/>
        <v>-0.10071921113213755</v>
      </c>
      <c r="I45" s="24"/>
      <c r="J45" s="24">
        <f t="shared" si="14"/>
        <v>-9.9036506890457288E-2</v>
      </c>
      <c r="K45" s="24"/>
      <c r="L45" s="24">
        <f t="shared" si="14"/>
        <v>-0.10071921113213755</v>
      </c>
    </row>
    <row r="46" spans="2:12" x14ac:dyDescent="0.3">
      <c r="B46" s="53" t="s">
        <v>140</v>
      </c>
      <c r="D46" s="24">
        <f>1-D28/D29</f>
        <v>-9.9136430751418647E-2</v>
      </c>
      <c r="E46" s="24"/>
      <c r="F46" s="24">
        <f t="shared" ref="F46:L46" si="15">1-F28/F29</f>
        <v>-0.10162147265697108</v>
      </c>
      <c r="G46" s="24"/>
      <c r="H46" s="24">
        <f t="shared" si="15"/>
        <v>-0.10162147265697108</v>
      </c>
      <c r="I46" s="24"/>
      <c r="J46" s="24">
        <f t="shared" si="15"/>
        <v>-8.4343082208674813E-2</v>
      </c>
      <c r="K46" s="24"/>
      <c r="L46" s="24">
        <f t="shared" si="15"/>
        <v>-0.10162147265697108</v>
      </c>
    </row>
    <row r="47" spans="2:12" x14ac:dyDescent="0.3">
      <c r="B47" s="53" t="s">
        <v>141</v>
      </c>
      <c r="D47" s="24">
        <f>1-D31/D32</f>
        <v>-9.5326508269964805E-2</v>
      </c>
      <c r="E47" s="24"/>
      <c r="F47" s="24">
        <f t="shared" ref="F47:L47" si="16">1-F31/F32</f>
        <v>-0.10022001924858959</v>
      </c>
      <c r="G47" s="24"/>
      <c r="H47" s="24">
        <f t="shared" si="16"/>
        <v>-0.10022001924858959</v>
      </c>
      <c r="I47" s="24"/>
      <c r="J47" s="24">
        <f t="shared" si="16"/>
        <v>-9.3284006548328469E-2</v>
      </c>
      <c r="K47" s="24"/>
      <c r="L47" s="24">
        <f t="shared" si="16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K22:K41 I23:I40 G23:G40 E22:E41 C23:C38 D37:D39 F37:F39 H37:H39 F23:F32 D23 H23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showGridLines="0" topLeftCell="A18" zoomScale="80" zoomScaleNormal="80" workbookViewId="0">
      <selection activeCell="G31" sqref="G31"/>
    </sheetView>
  </sheetViews>
  <sheetFormatPr defaultRowHeight="14.4" x14ac:dyDescent="0.3"/>
  <cols>
    <col min="1" max="1" width="1.109375" customWidth="1"/>
    <col min="2" max="2" width="20.6640625" customWidth="1"/>
    <col min="3" max="12" width="20.5546875" customWidth="1"/>
  </cols>
  <sheetData>
    <row r="1" spans="2:12" ht="4.5" hidden="1" customHeight="1" x14ac:dyDescent="0.3"/>
    <row r="2" spans="2:12" hidden="1" x14ac:dyDescent="0.3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3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3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3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3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3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3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3">
      <c r="B9" s="9" t="s">
        <v>42</v>
      </c>
      <c r="C9" s="7">
        <f>C4</f>
        <v>379</v>
      </c>
      <c r="D9" s="7"/>
      <c r="E9" s="7">
        <f t="shared" ref="E9:K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ref="L9" si="1">L4</f>
        <v>419</v>
      </c>
    </row>
    <row r="10" spans="2:12" hidden="1" x14ac:dyDescent="0.3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3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3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3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3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3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3"/>
    <row r="17" spans="2:12" ht="12.75" hidden="1" customHeight="1" x14ac:dyDescent="0.3">
      <c r="B17" s="12" t="s">
        <v>50</v>
      </c>
      <c r="C17" s="13">
        <v>0.02</v>
      </c>
      <c r="D17" s="50"/>
    </row>
    <row r="18" spans="2:12" x14ac:dyDescent="0.3">
      <c r="B18" s="78" t="s">
        <v>135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 x14ac:dyDescent="0.3">
      <c r="B19" s="44" t="s">
        <v>133</v>
      </c>
      <c r="C19" s="45"/>
      <c r="D19" s="47" t="s">
        <v>132</v>
      </c>
      <c r="E19" s="45"/>
      <c r="F19" s="47" t="str">
        <f>D19</f>
        <v>Promo</v>
      </c>
      <c r="G19" s="45"/>
      <c r="H19" s="47" t="str">
        <f>F19</f>
        <v>Promo</v>
      </c>
      <c r="I19" s="45"/>
      <c r="J19" s="47" t="str">
        <f>H19</f>
        <v>Promo</v>
      </c>
      <c r="K19" s="46"/>
      <c r="L19" s="47" t="str">
        <f>J19</f>
        <v>Promo</v>
      </c>
    </row>
    <row r="20" spans="2:12" x14ac:dyDescent="0.3">
      <c r="B20" s="28" t="s">
        <v>134</v>
      </c>
      <c r="C20" s="28" t="s">
        <v>24</v>
      </c>
      <c r="D20" s="51">
        <v>0.1</v>
      </c>
      <c r="E20" s="28" t="s">
        <v>25</v>
      </c>
      <c r="F20" s="51">
        <v>0.1</v>
      </c>
      <c r="G20" s="28" t="s">
        <v>26</v>
      </c>
      <c r="H20" s="51">
        <v>0.05</v>
      </c>
      <c r="I20" s="28" t="s">
        <v>27</v>
      </c>
      <c r="J20" s="51">
        <v>0.05</v>
      </c>
      <c r="K20" s="28" t="str">
        <f>K2</f>
        <v xml:space="preserve"> MARKETPLACES</v>
      </c>
      <c r="L20" s="51">
        <v>0.05</v>
      </c>
    </row>
    <row r="21" spans="2:12" x14ac:dyDescent="0.3">
      <c r="B21" s="9" t="s">
        <v>28</v>
      </c>
      <c r="C21" s="42">
        <f t="shared" ref="C21:C27" si="2">E21-30</f>
        <v>369.99</v>
      </c>
      <c r="D21" s="52">
        <f>C21*(1-D$20)</f>
        <v>332.99100000000004</v>
      </c>
      <c r="E21" s="42">
        <f t="shared" ref="E21:E27" si="3">G21</f>
        <v>399.99</v>
      </c>
      <c r="F21" s="52">
        <f>E21*(1-F$20)</f>
        <v>359.99100000000004</v>
      </c>
      <c r="G21" s="42">
        <v>399.99</v>
      </c>
      <c r="H21" s="52">
        <f>G21*(1-H$20)</f>
        <v>379.9905</v>
      </c>
      <c r="I21" s="42">
        <v>429.99</v>
      </c>
      <c r="J21" s="52">
        <f>I21*(1-J$20)</f>
        <v>408.4905</v>
      </c>
      <c r="K21" s="42">
        <v>409.99</v>
      </c>
      <c r="L21" s="52">
        <f>K21*(1-L$20)</f>
        <v>389.4905</v>
      </c>
    </row>
    <row r="22" spans="2:12" x14ac:dyDescent="0.3">
      <c r="B22" s="9" t="s">
        <v>116</v>
      </c>
      <c r="C22" s="42">
        <f>C21*0.95</f>
        <v>351.4905</v>
      </c>
      <c r="D22" s="52">
        <f t="shared" ref="D22:D40" si="4">C22*(1-D$20)</f>
        <v>316.34145000000001</v>
      </c>
      <c r="E22" s="42">
        <f t="shared" ref="E22:K22" si="5">E21*0.95</f>
        <v>379.9905</v>
      </c>
      <c r="F22" s="52">
        <f t="shared" ref="F22:F40" si="6">E22*(1-F$20)</f>
        <v>341.99144999999999</v>
      </c>
      <c r="G22" s="42">
        <f t="shared" si="5"/>
        <v>379.9905</v>
      </c>
      <c r="H22" s="52">
        <f t="shared" ref="H22:H40" si="7">G22*(1-H$20)</f>
        <v>360.99097499999999</v>
      </c>
      <c r="I22" s="42">
        <f t="shared" si="5"/>
        <v>408.4905</v>
      </c>
      <c r="J22" s="52">
        <f t="shared" ref="J22:J40" si="8">I22*(1-J$20)</f>
        <v>388.06597499999998</v>
      </c>
      <c r="K22" s="42">
        <f t="shared" si="5"/>
        <v>389.4905</v>
      </c>
      <c r="L22" s="52">
        <f t="shared" ref="L22:L40" si="9">K22*(1-L$20)</f>
        <v>370.01597499999997</v>
      </c>
    </row>
    <row r="23" spans="2:12" x14ac:dyDescent="0.3">
      <c r="B23" s="9" t="s">
        <v>29</v>
      </c>
      <c r="C23" s="42">
        <f t="shared" si="2"/>
        <v>409.99</v>
      </c>
      <c r="D23" s="52">
        <f t="shared" si="4"/>
        <v>368.99100000000004</v>
      </c>
      <c r="E23" s="42">
        <f t="shared" si="3"/>
        <v>439.99</v>
      </c>
      <c r="F23" s="52">
        <f t="shared" si="6"/>
        <v>395.99100000000004</v>
      </c>
      <c r="G23" s="42">
        <v>439.99</v>
      </c>
      <c r="H23" s="52">
        <f t="shared" si="7"/>
        <v>417.9905</v>
      </c>
      <c r="I23" s="42">
        <v>469.99</v>
      </c>
      <c r="J23" s="52">
        <f t="shared" si="8"/>
        <v>446.4905</v>
      </c>
      <c r="K23" s="42">
        <v>449.99</v>
      </c>
      <c r="L23" s="52">
        <f t="shared" si="9"/>
        <v>427.4905</v>
      </c>
    </row>
    <row r="24" spans="2:12" x14ac:dyDescent="0.3">
      <c r="B24" s="9" t="s">
        <v>53</v>
      </c>
      <c r="C24" s="42">
        <f>345.46*1.03</f>
        <v>355.82380000000001</v>
      </c>
      <c r="D24" s="52">
        <f t="shared" si="4"/>
        <v>320.24142000000001</v>
      </c>
      <c r="E24" s="42">
        <f>375.46*1.03</f>
        <v>386.72379999999998</v>
      </c>
      <c r="F24" s="52">
        <f t="shared" si="6"/>
        <v>348.05142000000001</v>
      </c>
      <c r="G24" s="42">
        <f>375.46*1.03</f>
        <v>386.72379999999998</v>
      </c>
      <c r="H24" s="52">
        <f t="shared" si="7"/>
        <v>367.38760999999994</v>
      </c>
      <c r="I24" s="42">
        <f>405.46*1.03</f>
        <v>417.62380000000002</v>
      </c>
      <c r="J24" s="52">
        <f t="shared" si="8"/>
        <v>396.74261000000001</v>
      </c>
      <c r="K24" s="42">
        <f>G24</f>
        <v>386.72379999999998</v>
      </c>
      <c r="L24" s="52">
        <f t="shared" si="9"/>
        <v>367.38760999999994</v>
      </c>
    </row>
    <row r="25" spans="2:12" x14ac:dyDescent="0.3">
      <c r="B25" s="9" t="s">
        <v>30</v>
      </c>
      <c r="C25" s="42">
        <f t="shared" si="2"/>
        <v>459.99</v>
      </c>
      <c r="D25" s="52">
        <f t="shared" si="4"/>
        <v>413.99100000000004</v>
      </c>
      <c r="E25" s="42">
        <f t="shared" si="3"/>
        <v>489.99</v>
      </c>
      <c r="F25" s="52">
        <f t="shared" si="6"/>
        <v>440.99100000000004</v>
      </c>
      <c r="G25" s="42">
        <v>489.99</v>
      </c>
      <c r="H25" s="52">
        <f t="shared" si="7"/>
        <v>465.4905</v>
      </c>
      <c r="I25" s="42">
        <v>519.99</v>
      </c>
      <c r="J25" s="52">
        <f t="shared" si="8"/>
        <v>493.9905</v>
      </c>
      <c r="K25" s="42">
        <f>G25+10</f>
        <v>499.99</v>
      </c>
      <c r="L25" s="52">
        <f t="shared" si="9"/>
        <v>474.9905</v>
      </c>
    </row>
    <row r="26" spans="2:12" x14ac:dyDescent="0.3">
      <c r="B26" s="9" t="s">
        <v>54</v>
      </c>
      <c r="C26" s="42">
        <f>382.18*1.03</f>
        <v>393.6454</v>
      </c>
      <c r="D26" s="52">
        <f t="shared" si="4"/>
        <v>354.28086000000002</v>
      </c>
      <c r="E26" s="42">
        <f>412.18*1.03</f>
        <v>424.54540000000003</v>
      </c>
      <c r="F26" s="52">
        <f t="shared" si="6"/>
        <v>382.09086000000002</v>
      </c>
      <c r="G26" s="42">
        <f>412.18*1.03</f>
        <v>424.54540000000003</v>
      </c>
      <c r="H26" s="52">
        <f t="shared" si="7"/>
        <v>403.31813</v>
      </c>
      <c r="I26" s="42">
        <f>442.18*1.03</f>
        <v>455.44540000000001</v>
      </c>
      <c r="J26" s="52">
        <f t="shared" si="8"/>
        <v>432.67312999999996</v>
      </c>
      <c r="K26" s="42">
        <f>G26</f>
        <v>424.54540000000003</v>
      </c>
      <c r="L26" s="52">
        <f t="shared" si="9"/>
        <v>403.31813</v>
      </c>
    </row>
    <row r="27" spans="2:12" x14ac:dyDescent="0.3">
      <c r="B27" s="9" t="s">
        <v>31</v>
      </c>
      <c r="C27" s="42">
        <f t="shared" si="2"/>
        <v>599.99</v>
      </c>
      <c r="D27" s="52">
        <f t="shared" si="4"/>
        <v>539.99099999999999</v>
      </c>
      <c r="E27" s="42">
        <f t="shared" si="3"/>
        <v>629.99</v>
      </c>
      <c r="F27" s="52">
        <f t="shared" si="6"/>
        <v>566.99099999999999</v>
      </c>
      <c r="G27" s="42">
        <v>629.99</v>
      </c>
      <c r="H27" s="52">
        <f t="shared" si="7"/>
        <v>598.4905</v>
      </c>
      <c r="I27" s="42">
        <v>669.99</v>
      </c>
      <c r="J27" s="52">
        <f t="shared" si="8"/>
        <v>636.4905</v>
      </c>
      <c r="K27" s="42">
        <f>G27+10</f>
        <v>639.99</v>
      </c>
      <c r="L27" s="52">
        <f t="shared" si="9"/>
        <v>607.9905</v>
      </c>
    </row>
    <row r="28" spans="2:12" x14ac:dyDescent="0.3">
      <c r="B28" s="9" t="s">
        <v>55</v>
      </c>
      <c r="C28" s="42">
        <f>519.88*1.02</f>
        <v>530.27760000000001</v>
      </c>
      <c r="D28" s="52">
        <f t="shared" si="4"/>
        <v>477.24984000000001</v>
      </c>
      <c r="E28" s="42">
        <f>549.88*1.02</f>
        <v>560.87760000000003</v>
      </c>
      <c r="F28" s="52">
        <f t="shared" si="6"/>
        <v>504.78984000000003</v>
      </c>
      <c r="G28" s="42">
        <f>549.88*1.02</f>
        <v>560.87760000000003</v>
      </c>
      <c r="H28" s="52">
        <f t="shared" si="7"/>
        <v>532.83371999999997</v>
      </c>
      <c r="I28" s="42">
        <f>599.88*1.02</f>
        <v>611.87760000000003</v>
      </c>
      <c r="J28" s="52">
        <f t="shared" si="8"/>
        <v>581.28372000000002</v>
      </c>
      <c r="K28" s="42">
        <f>G28</f>
        <v>560.87760000000003</v>
      </c>
      <c r="L28" s="52">
        <f t="shared" si="9"/>
        <v>532.83371999999997</v>
      </c>
    </row>
    <row r="29" spans="2:12" hidden="1" x14ac:dyDescent="0.3">
      <c r="B29" s="41" t="s">
        <v>32</v>
      </c>
      <c r="C29" s="14" t="s">
        <v>46</v>
      </c>
      <c r="D29" s="52" t="e">
        <f t="shared" si="4"/>
        <v>#VALUE!</v>
      </c>
      <c r="E29" s="14" t="s">
        <v>46</v>
      </c>
      <c r="F29" s="52" t="e">
        <f t="shared" si="6"/>
        <v>#VALUE!</v>
      </c>
      <c r="G29" s="14" t="s">
        <v>46</v>
      </c>
      <c r="H29" s="52" t="e">
        <f t="shared" si="7"/>
        <v>#VALUE!</v>
      </c>
      <c r="I29" s="14" t="s">
        <v>46</v>
      </c>
      <c r="J29" s="52" t="e">
        <f t="shared" si="8"/>
        <v>#VALUE!</v>
      </c>
      <c r="K29" s="14" t="s">
        <v>46</v>
      </c>
      <c r="L29" s="52" t="e">
        <f t="shared" si="9"/>
        <v>#VALUE!</v>
      </c>
    </row>
    <row r="30" spans="2:12" x14ac:dyDescent="0.3">
      <c r="B30" s="9" t="s">
        <v>33</v>
      </c>
      <c r="C30" s="42">
        <f t="shared" ref="C30:C34" si="10">E30-30</f>
        <v>769.99</v>
      </c>
      <c r="D30" s="52">
        <f t="shared" si="4"/>
        <v>692.99099999999999</v>
      </c>
      <c r="E30" s="42">
        <f t="shared" ref="E30:E34" si="11">G30</f>
        <v>799.99</v>
      </c>
      <c r="F30" s="52">
        <f t="shared" si="6"/>
        <v>719.99099999999999</v>
      </c>
      <c r="G30" s="42">
        <v>799.99</v>
      </c>
      <c r="H30" s="52">
        <f t="shared" si="7"/>
        <v>759.9905</v>
      </c>
      <c r="I30" s="42">
        <v>839.99</v>
      </c>
      <c r="J30" s="52">
        <f t="shared" si="8"/>
        <v>797.9905</v>
      </c>
      <c r="K30" s="42">
        <f t="shared" ref="K30:K34" si="12">G30+10</f>
        <v>809.99</v>
      </c>
      <c r="L30" s="52">
        <f t="shared" si="9"/>
        <v>769.4905</v>
      </c>
    </row>
    <row r="31" spans="2:12" x14ac:dyDescent="0.3">
      <c r="B31" s="9" t="s">
        <v>56</v>
      </c>
      <c r="C31" s="42">
        <f>675.94*1.03</f>
        <v>696.21820000000002</v>
      </c>
      <c r="D31" s="52">
        <f t="shared" si="4"/>
        <v>626.59638000000007</v>
      </c>
      <c r="E31" s="42">
        <f>705.94*1.03</f>
        <v>727.11820000000012</v>
      </c>
      <c r="F31" s="52">
        <f t="shared" si="6"/>
        <v>654.40638000000013</v>
      </c>
      <c r="G31" s="42">
        <f>705.94*1.03</f>
        <v>727.11820000000012</v>
      </c>
      <c r="H31" s="52">
        <f t="shared" si="7"/>
        <v>690.76229000000012</v>
      </c>
      <c r="I31" s="42">
        <f>745.94*1.03</f>
        <v>768.31820000000005</v>
      </c>
      <c r="J31" s="52">
        <f t="shared" si="8"/>
        <v>729.90228999999999</v>
      </c>
      <c r="K31" s="42">
        <f>G31</f>
        <v>727.11820000000012</v>
      </c>
      <c r="L31" s="52">
        <f t="shared" si="9"/>
        <v>690.76229000000012</v>
      </c>
    </row>
    <row r="32" spans="2:12" x14ac:dyDescent="0.3">
      <c r="B32" s="9" t="str">
        <f>B9</f>
        <v>FONTE 90 BOB</v>
      </c>
      <c r="C32" s="42">
        <f t="shared" si="10"/>
        <v>389.99</v>
      </c>
      <c r="D32" s="52">
        <f t="shared" si="4"/>
        <v>350.99100000000004</v>
      </c>
      <c r="E32" s="42">
        <f t="shared" si="11"/>
        <v>419.99</v>
      </c>
      <c r="F32" s="52">
        <f t="shared" si="6"/>
        <v>377.99100000000004</v>
      </c>
      <c r="G32" s="42">
        <v>419.99</v>
      </c>
      <c r="H32" s="52">
        <f t="shared" si="7"/>
        <v>398.9905</v>
      </c>
      <c r="I32" s="42">
        <v>439.99</v>
      </c>
      <c r="J32" s="52">
        <f t="shared" si="8"/>
        <v>417.9905</v>
      </c>
      <c r="K32" s="42">
        <f t="shared" si="12"/>
        <v>429.99</v>
      </c>
      <c r="L32" s="52">
        <f t="shared" si="9"/>
        <v>408.4905</v>
      </c>
    </row>
    <row r="33" spans="2:12" x14ac:dyDescent="0.3">
      <c r="B33" s="9" t="s">
        <v>35</v>
      </c>
      <c r="C33" s="42">
        <f t="shared" si="10"/>
        <v>465.99</v>
      </c>
      <c r="D33" s="52">
        <f t="shared" si="4"/>
        <v>419.39100000000002</v>
      </c>
      <c r="E33" s="42">
        <f t="shared" si="11"/>
        <v>495.99</v>
      </c>
      <c r="F33" s="52">
        <f t="shared" si="6"/>
        <v>446.39100000000002</v>
      </c>
      <c r="G33" s="42">
        <v>495.99</v>
      </c>
      <c r="H33" s="52">
        <f t="shared" si="7"/>
        <v>471.19049999999999</v>
      </c>
      <c r="I33" s="42">
        <v>535.99</v>
      </c>
      <c r="J33" s="52">
        <f t="shared" si="8"/>
        <v>509.19049999999999</v>
      </c>
      <c r="K33" s="42">
        <f t="shared" si="12"/>
        <v>505.99</v>
      </c>
      <c r="L33" s="52">
        <f t="shared" si="9"/>
        <v>480.69049999999999</v>
      </c>
    </row>
    <row r="34" spans="2:12" x14ac:dyDescent="0.3">
      <c r="B34" s="9" t="s">
        <v>34</v>
      </c>
      <c r="C34" s="42">
        <f t="shared" si="10"/>
        <v>589.99</v>
      </c>
      <c r="D34" s="52">
        <f t="shared" si="4"/>
        <v>530.99099999999999</v>
      </c>
      <c r="E34" s="42">
        <f t="shared" si="11"/>
        <v>619.99</v>
      </c>
      <c r="F34" s="52">
        <f t="shared" si="6"/>
        <v>557.99099999999999</v>
      </c>
      <c r="G34" s="42">
        <v>619.99</v>
      </c>
      <c r="H34" s="52">
        <f t="shared" si="7"/>
        <v>588.9905</v>
      </c>
      <c r="I34" s="42">
        <v>689.99</v>
      </c>
      <c r="J34" s="52">
        <f t="shared" si="8"/>
        <v>655.4905</v>
      </c>
      <c r="K34" s="42">
        <f t="shared" si="12"/>
        <v>629.99</v>
      </c>
      <c r="L34" s="52">
        <f t="shared" si="9"/>
        <v>598.4905</v>
      </c>
    </row>
    <row r="35" spans="2:12" x14ac:dyDescent="0.3">
      <c r="B35" s="9" t="str">
        <f>B12</f>
        <v>FONTE 200 MONO</v>
      </c>
      <c r="C35" s="42">
        <f>(E35-30)*0.95</f>
        <v>631.67017624999994</v>
      </c>
      <c r="D35" s="52">
        <f t="shared" si="4"/>
        <v>568.50315862499997</v>
      </c>
      <c r="E35" s="42">
        <f>G35*0.95</f>
        <v>694.915975</v>
      </c>
      <c r="F35" s="52">
        <f t="shared" si="6"/>
        <v>625.42437749999999</v>
      </c>
      <c r="G35" s="42">
        <f>0.95*769.99</f>
        <v>731.4905</v>
      </c>
      <c r="H35" s="52">
        <f t="shared" si="7"/>
        <v>694.915975</v>
      </c>
      <c r="I35" s="42">
        <f>0.95*809.99</f>
        <v>769.4905</v>
      </c>
      <c r="J35" s="52">
        <f t="shared" si="8"/>
        <v>731.01597499999991</v>
      </c>
      <c r="K35" s="42">
        <f>(G35+10)*0.95</f>
        <v>704.415975</v>
      </c>
      <c r="L35" s="52">
        <f t="shared" si="9"/>
        <v>669.19517624999992</v>
      </c>
    </row>
    <row r="36" spans="2:12" x14ac:dyDescent="0.3">
      <c r="B36" s="9" t="s">
        <v>117</v>
      </c>
      <c r="C36" s="42">
        <f>C35*0.95</f>
        <v>600.08666743749995</v>
      </c>
      <c r="D36" s="52">
        <f t="shared" si="4"/>
        <v>540.07800069375003</v>
      </c>
      <c r="E36" s="42">
        <f>E35*0.95</f>
        <v>660.17017624999994</v>
      </c>
      <c r="F36" s="52">
        <f t="shared" si="6"/>
        <v>594.15315862499995</v>
      </c>
      <c r="G36" s="42">
        <f>G35*0.95</f>
        <v>694.915975</v>
      </c>
      <c r="H36" s="52">
        <f t="shared" si="7"/>
        <v>660.17017624999994</v>
      </c>
      <c r="I36" s="42">
        <f>I35*0.95</f>
        <v>731.01597499999991</v>
      </c>
      <c r="J36" s="52">
        <f t="shared" si="8"/>
        <v>694.4651762499999</v>
      </c>
      <c r="K36" s="42">
        <f>K35*0.95</f>
        <v>669.19517624999992</v>
      </c>
      <c r="L36" s="52">
        <f t="shared" si="9"/>
        <v>635.7354174374999</v>
      </c>
    </row>
    <row r="37" spans="2:12" x14ac:dyDescent="0.3">
      <c r="B37" s="9" t="s">
        <v>37</v>
      </c>
      <c r="C37" s="42">
        <f>'POLÍTICA COMERCIAL 2023'!C32</f>
        <v>54.9</v>
      </c>
      <c r="D37" s="52">
        <f t="shared" si="4"/>
        <v>49.41</v>
      </c>
      <c r="E37" s="42">
        <f>E13*(1+C$17)</f>
        <v>55.997999999999998</v>
      </c>
      <c r="F37" s="52">
        <f t="shared" si="6"/>
        <v>50.398199999999996</v>
      </c>
      <c r="G37" s="42">
        <f>G13*(1+C$17)</f>
        <v>61.189800000000005</v>
      </c>
      <c r="H37" s="52">
        <f t="shared" si="7"/>
        <v>58.130310000000001</v>
      </c>
      <c r="I37" s="42">
        <f>I13*(1+C$17)</f>
        <v>66.198000000000008</v>
      </c>
      <c r="J37" s="52">
        <f t="shared" si="8"/>
        <v>62.888100000000001</v>
      </c>
      <c r="K37" s="42">
        <f>K13*(1+C$17)</f>
        <v>61.189800000000005</v>
      </c>
      <c r="L37" s="52">
        <f t="shared" si="9"/>
        <v>58.130310000000001</v>
      </c>
    </row>
    <row r="38" spans="2:12" x14ac:dyDescent="0.3">
      <c r="B38" s="9" t="s">
        <v>36</v>
      </c>
      <c r="C38" s="42">
        <f>C37*0.95</f>
        <v>52.154999999999994</v>
      </c>
      <c r="D38" s="52">
        <f t="shared" si="4"/>
        <v>46.939499999999995</v>
      </c>
      <c r="E38" s="42">
        <f t="shared" ref="E38:K38" si="13">E37*0.95</f>
        <v>53.198099999999997</v>
      </c>
      <c r="F38" s="52">
        <f t="shared" si="6"/>
        <v>47.87829</v>
      </c>
      <c r="G38" s="42">
        <f t="shared" si="13"/>
        <v>58.130310000000001</v>
      </c>
      <c r="H38" s="52">
        <f t="shared" si="7"/>
        <v>55.223794499999997</v>
      </c>
      <c r="I38" s="42">
        <f t="shared" si="13"/>
        <v>62.888100000000001</v>
      </c>
      <c r="J38" s="52">
        <f t="shared" si="8"/>
        <v>59.743694999999995</v>
      </c>
      <c r="K38" s="42">
        <f t="shared" si="13"/>
        <v>58.130310000000001</v>
      </c>
      <c r="L38" s="52">
        <f t="shared" si="9"/>
        <v>55.223794499999997</v>
      </c>
    </row>
    <row r="39" spans="2:12" x14ac:dyDescent="0.3">
      <c r="B39" s="9" t="s">
        <v>38</v>
      </c>
      <c r="C39" s="42">
        <f>'POLÍTICA COMERCIAL 2023'!C33</f>
        <v>79</v>
      </c>
      <c r="D39" s="52">
        <f t="shared" si="4"/>
        <v>71.100000000000009</v>
      </c>
      <c r="E39" s="42">
        <f>E14*(1+C$17)</f>
        <v>80.58</v>
      </c>
      <c r="F39" s="52">
        <f t="shared" si="6"/>
        <v>72.522000000000006</v>
      </c>
      <c r="G39" s="42">
        <f>G14*(1+C$17)</f>
        <v>90.78</v>
      </c>
      <c r="H39" s="52">
        <f t="shared" si="7"/>
        <v>86.241</v>
      </c>
      <c r="I39" s="42">
        <f>I14*(1+C$17)</f>
        <v>100.98</v>
      </c>
      <c r="J39" s="52">
        <f t="shared" si="8"/>
        <v>95.930999999999997</v>
      </c>
      <c r="K39" s="42">
        <f>K14*(1+C$17)</f>
        <v>90.78</v>
      </c>
      <c r="L39" s="52">
        <f t="shared" si="9"/>
        <v>86.241</v>
      </c>
    </row>
    <row r="40" spans="2:12" x14ac:dyDescent="0.3">
      <c r="B40" s="9" t="s">
        <v>39</v>
      </c>
      <c r="C40" s="42">
        <f>'POLÍTICA COMERCIAL 2023'!C34</f>
        <v>69</v>
      </c>
      <c r="D40" s="52">
        <f t="shared" si="4"/>
        <v>62.1</v>
      </c>
      <c r="E40" s="42">
        <f>E15*(1+C$17)</f>
        <v>70.38</v>
      </c>
      <c r="F40" s="52">
        <f t="shared" si="6"/>
        <v>63.341999999999999</v>
      </c>
      <c r="G40" s="42">
        <v>78.900000000000006</v>
      </c>
      <c r="H40" s="52">
        <f t="shared" si="7"/>
        <v>74.954999999999998</v>
      </c>
      <c r="I40" s="42">
        <v>87.9</v>
      </c>
      <c r="J40" s="52">
        <f t="shared" si="8"/>
        <v>83.504999999999995</v>
      </c>
      <c r="K40" s="42">
        <f>K15*(1+C$17)</f>
        <v>80.58</v>
      </c>
      <c r="L40" s="52">
        <f t="shared" si="9"/>
        <v>76.550999999999988</v>
      </c>
    </row>
    <row r="41" spans="2:12" x14ac:dyDescent="0.3">
      <c r="B41" s="32" t="s">
        <v>136</v>
      </c>
    </row>
    <row r="43" spans="2:12" x14ac:dyDescent="0.3">
      <c r="B43" s="53" t="s">
        <v>138</v>
      </c>
      <c r="D43" s="24">
        <f>1-D23/D24</f>
        <v>-0.15222759129659136</v>
      </c>
      <c r="E43" s="24"/>
      <c r="F43" s="24">
        <f t="shared" ref="F43:L43" si="14">1-F23/F24</f>
        <v>-0.13773706195481128</v>
      </c>
      <c r="G43" s="24"/>
      <c r="H43" s="24">
        <f t="shared" si="14"/>
        <v>-0.13773706195481128</v>
      </c>
      <c r="I43" s="24"/>
      <c r="J43" s="24">
        <f t="shared" si="14"/>
        <v>-0.12539084218859164</v>
      </c>
      <c r="K43" s="24"/>
      <c r="L43" s="24">
        <f t="shared" si="14"/>
        <v>-0.16359531014124307</v>
      </c>
    </row>
    <row r="44" spans="2:12" x14ac:dyDescent="0.3">
      <c r="B44" s="53" t="s">
        <v>139</v>
      </c>
      <c r="D44" s="24">
        <f>1-D25/D26</f>
        <v>-0.16853899473993605</v>
      </c>
      <c r="E44" s="24"/>
      <c r="F44" s="24">
        <f t="shared" ref="F44:L44" si="15">1-F25/F26</f>
        <v>-0.15415218254631902</v>
      </c>
      <c r="G44" s="24"/>
      <c r="H44" s="24">
        <f t="shared" si="15"/>
        <v>-0.15415218254631902</v>
      </c>
      <c r="I44" s="24"/>
      <c r="J44" s="24">
        <f t="shared" si="15"/>
        <v>-0.14171753628426154</v>
      </c>
      <c r="K44" s="24"/>
      <c r="L44" s="24">
        <f t="shared" si="15"/>
        <v>-0.17770678942699658</v>
      </c>
    </row>
    <row r="45" spans="2:12" x14ac:dyDescent="0.3">
      <c r="B45" s="53" t="s">
        <v>140</v>
      </c>
      <c r="D45" s="24">
        <f>1-D27/D28</f>
        <v>-0.13146397283234279</v>
      </c>
      <c r="E45" s="24"/>
      <c r="F45" s="24">
        <f t="shared" ref="F45:L45" si="16">1-F27/F28</f>
        <v>-0.1232218936894609</v>
      </c>
      <c r="G45" s="24"/>
      <c r="H45" s="24">
        <f t="shared" si="16"/>
        <v>-0.1232218936894609</v>
      </c>
      <c r="I45" s="24"/>
      <c r="J45" s="24">
        <f t="shared" si="16"/>
        <v>-9.4973896740132346E-2</v>
      </c>
      <c r="K45" s="24"/>
      <c r="L45" s="24">
        <f t="shared" si="16"/>
        <v>-0.14105109564011831</v>
      </c>
    </row>
    <row r="46" spans="2:12" x14ac:dyDescent="0.3">
      <c r="B46" s="53" t="s">
        <v>141</v>
      </c>
      <c r="D46" s="24">
        <f>1-D30/D31</f>
        <v>-0.10596074621433327</v>
      </c>
      <c r="E46" s="24"/>
      <c r="F46" s="24">
        <f t="shared" ref="F46:L46" si="17">1-F30/F31</f>
        <v>-0.10022001924858959</v>
      </c>
      <c r="G46" s="24"/>
      <c r="H46" s="24">
        <f t="shared" si="17"/>
        <v>-0.10022001924858959</v>
      </c>
      <c r="I46" s="24"/>
      <c r="J46" s="24">
        <f t="shared" si="17"/>
        <v>-9.3284006548328469E-2</v>
      </c>
      <c r="K46" s="24"/>
      <c r="L46" s="24">
        <f t="shared" si="17"/>
        <v>-0.113972941400724</v>
      </c>
    </row>
  </sheetData>
  <mergeCells count="1">
    <mergeCell ref="B18:L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1:E40 C22:C37 G22:G39 I22:I39 K22:K40 F22:F38 D22:D38 H22 J22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18" zoomScale="80" zoomScaleNormal="80" workbookViewId="0">
      <selection activeCell="F35" sqref="F35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94" t="s">
        <v>130</v>
      </c>
      <c r="C18" s="95"/>
      <c r="D18" s="95"/>
      <c r="E18" s="95"/>
      <c r="F18" s="95"/>
      <c r="G18" s="96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3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3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3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3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3">
      <c r="B42" s="67" t="s">
        <v>131</v>
      </c>
      <c r="C42" s="68"/>
      <c r="D42" s="68"/>
      <c r="E42" s="68"/>
      <c r="F42" s="68"/>
      <c r="G42" s="92"/>
    </row>
    <row r="43" spans="2:7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3">
      <c r="B44" s="9" t="s">
        <v>28</v>
      </c>
      <c r="C44" s="7">
        <f t="shared" ref="C44:C51" si="8">C20*(1-C$41)</f>
        <v>332.99100000000004</v>
      </c>
      <c r="D44" s="7">
        <f t="shared" ref="D44:D51" si="9">D20*(1-C$41)</f>
        <v>359.99100000000004</v>
      </c>
      <c r="E44" s="7">
        <f t="shared" ref="E44:E51" si="10">E20*(1-F$41)</f>
        <v>379.9905</v>
      </c>
      <c r="F44" s="7">
        <f t="shared" ref="F44:F51" si="11">F20*(1-F$41)</f>
        <v>408.4905</v>
      </c>
      <c r="G44" s="7">
        <f t="shared" ref="G44:G51" si="12">G20*(1-F$41)</f>
        <v>389.4905</v>
      </c>
    </row>
    <row r="45" spans="2:7" x14ac:dyDescent="0.3">
      <c r="B45" s="9" t="str">
        <f>B21</f>
        <v>FONTE 40A LITE</v>
      </c>
      <c r="C45" s="7">
        <f t="shared" si="8"/>
        <v>316.34145000000001</v>
      </c>
      <c r="D45" s="7">
        <f t="shared" si="9"/>
        <v>341.99144999999999</v>
      </c>
      <c r="E45" s="7">
        <f t="shared" si="10"/>
        <v>360.99097499999999</v>
      </c>
      <c r="F45" s="7">
        <f t="shared" si="11"/>
        <v>388.06597499999998</v>
      </c>
      <c r="G45" s="7">
        <f t="shared" si="12"/>
        <v>370.01597499999997</v>
      </c>
    </row>
    <row r="46" spans="2:7" x14ac:dyDescent="0.3">
      <c r="B46" s="9" t="s">
        <v>29</v>
      </c>
      <c r="C46" s="7">
        <f t="shared" si="8"/>
        <v>368.99100000000004</v>
      </c>
      <c r="D46" s="7">
        <f t="shared" si="9"/>
        <v>395.99100000000004</v>
      </c>
      <c r="E46" s="7">
        <f t="shared" si="10"/>
        <v>417.9905</v>
      </c>
      <c r="F46" s="7">
        <f t="shared" si="11"/>
        <v>446.4905</v>
      </c>
      <c r="G46" s="7">
        <f t="shared" si="12"/>
        <v>427.4905</v>
      </c>
    </row>
    <row r="47" spans="2:7" x14ac:dyDescent="0.3">
      <c r="B47" s="9" t="s">
        <v>53</v>
      </c>
      <c r="C47" s="7">
        <f t="shared" si="8"/>
        <v>320.24142000000001</v>
      </c>
      <c r="D47" s="7">
        <f t="shared" si="9"/>
        <v>348.05142000000001</v>
      </c>
      <c r="E47" s="7">
        <f t="shared" si="10"/>
        <v>367.38760999999994</v>
      </c>
      <c r="F47" s="7">
        <f t="shared" si="11"/>
        <v>396.74261000000001</v>
      </c>
      <c r="G47" s="7">
        <f t="shared" si="12"/>
        <v>367.38760999999994</v>
      </c>
    </row>
    <row r="48" spans="2:7" x14ac:dyDescent="0.3">
      <c r="B48" s="9" t="s">
        <v>30</v>
      </c>
      <c r="C48" s="7">
        <f t="shared" si="8"/>
        <v>413.99100000000004</v>
      </c>
      <c r="D48" s="7">
        <f t="shared" si="9"/>
        <v>440.99100000000004</v>
      </c>
      <c r="E48" s="7">
        <f t="shared" si="10"/>
        <v>465.4905</v>
      </c>
      <c r="F48" s="7">
        <f t="shared" si="11"/>
        <v>493.9905</v>
      </c>
      <c r="G48" s="7">
        <f t="shared" si="12"/>
        <v>474.9905</v>
      </c>
    </row>
    <row r="49" spans="2:7" x14ac:dyDescent="0.3">
      <c r="B49" s="9" t="s">
        <v>54</v>
      </c>
      <c r="C49" s="7">
        <f t="shared" si="8"/>
        <v>354.28086000000002</v>
      </c>
      <c r="D49" s="7">
        <f t="shared" si="9"/>
        <v>382.09086000000002</v>
      </c>
      <c r="E49" s="7">
        <f t="shared" si="10"/>
        <v>403.31813</v>
      </c>
      <c r="F49" s="7">
        <f t="shared" si="11"/>
        <v>432.67312999999996</v>
      </c>
      <c r="G49" s="7">
        <f t="shared" si="12"/>
        <v>403.31813</v>
      </c>
    </row>
    <row r="50" spans="2:7" x14ac:dyDescent="0.3">
      <c r="B50" s="9" t="s">
        <v>31</v>
      </c>
      <c r="C50" s="7">
        <f t="shared" si="8"/>
        <v>539.99099999999999</v>
      </c>
      <c r="D50" s="7">
        <f t="shared" si="9"/>
        <v>566.99099999999999</v>
      </c>
      <c r="E50" s="7">
        <f t="shared" si="10"/>
        <v>598.4905</v>
      </c>
      <c r="F50" s="7">
        <f t="shared" si="11"/>
        <v>636.4905</v>
      </c>
      <c r="G50" s="7">
        <f t="shared" si="12"/>
        <v>607.9905</v>
      </c>
    </row>
    <row r="51" spans="2:7" x14ac:dyDescent="0.3">
      <c r="B51" s="9" t="s">
        <v>55</v>
      </c>
      <c r="C51" s="7">
        <f t="shared" si="8"/>
        <v>477.24984000000001</v>
      </c>
      <c r="D51" s="7">
        <f t="shared" si="9"/>
        <v>504.78984000000003</v>
      </c>
      <c r="E51" s="7">
        <f t="shared" si="10"/>
        <v>532.83371999999997</v>
      </c>
      <c r="F51" s="7">
        <f t="shared" si="11"/>
        <v>581.28372000000002</v>
      </c>
      <c r="G51" s="7">
        <f t="shared" si="12"/>
        <v>532.83371999999997</v>
      </c>
    </row>
    <row r="52" spans="2:7" hidden="1" x14ac:dyDescent="0.3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3">
      <c r="B53" s="9" t="s">
        <v>33</v>
      </c>
      <c r="C53" s="7">
        <f t="shared" ref="C53:C60" si="14">C29*(1-C$41)</f>
        <v>692.99099999999999</v>
      </c>
      <c r="D53" s="7">
        <f t="shared" ref="D53:D60" si="15">D29*(1-C$41)</f>
        <v>719.99099999999999</v>
      </c>
      <c r="E53" s="7">
        <f t="shared" ref="E53:E60" si="16">E29*(1-F$41)</f>
        <v>759.9905</v>
      </c>
      <c r="F53" s="7">
        <f t="shared" ref="F53:F60" si="17">F29*(1-F$41)</f>
        <v>797.9905</v>
      </c>
      <c r="G53" s="7">
        <f t="shared" ref="G53:G60" si="18">G29*(1-F$41)</f>
        <v>769.4905</v>
      </c>
    </row>
    <row r="54" spans="2:7" x14ac:dyDescent="0.3">
      <c r="B54" s="9" t="s">
        <v>56</v>
      </c>
      <c r="C54" s="7">
        <f t="shared" si="14"/>
        <v>626.59638000000007</v>
      </c>
      <c r="D54" s="7">
        <f t="shared" si="15"/>
        <v>654.40638000000013</v>
      </c>
      <c r="E54" s="7">
        <f t="shared" si="16"/>
        <v>690.76229000000012</v>
      </c>
      <c r="F54" s="7">
        <f t="shared" si="17"/>
        <v>729.90228999999999</v>
      </c>
      <c r="G54" s="7">
        <f t="shared" si="18"/>
        <v>690.76229000000012</v>
      </c>
    </row>
    <row r="55" spans="2:7" x14ac:dyDescent="0.3">
      <c r="B55" s="9" t="str">
        <f>B31</f>
        <v>FONTE 90 BOB</v>
      </c>
      <c r="C55" s="7">
        <f t="shared" si="14"/>
        <v>350.99100000000004</v>
      </c>
      <c r="D55" s="7">
        <f t="shared" si="15"/>
        <v>377.99100000000004</v>
      </c>
      <c r="E55" s="7">
        <f t="shared" si="16"/>
        <v>398.9905</v>
      </c>
      <c r="F55" s="7">
        <f t="shared" si="17"/>
        <v>417.9905</v>
      </c>
      <c r="G55" s="7">
        <f t="shared" si="18"/>
        <v>408.4905</v>
      </c>
    </row>
    <row r="56" spans="2:7" x14ac:dyDescent="0.3">
      <c r="B56" s="9" t="s">
        <v>35</v>
      </c>
      <c r="C56" s="7">
        <f t="shared" si="14"/>
        <v>419.39100000000002</v>
      </c>
      <c r="D56" s="7">
        <f t="shared" si="15"/>
        <v>446.39100000000002</v>
      </c>
      <c r="E56" s="7">
        <f t="shared" si="16"/>
        <v>471.19049999999999</v>
      </c>
      <c r="F56" s="7">
        <f t="shared" si="17"/>
        <v>509.19049999999999</v>
      </c>
      <c r="G56" s="7">
        <f t="shared" si="18"/>
        <v>480.69049999999999</v>
      </c>
    </row>
    <row r="57" spans="2:7" x14ac:dyDescent="0.3">
      <c r="B57" s="9" t="s">
        <v>34</v>
      </c>
      <c r="C57" s="7">
        <f t="shared" si="14"/>
        <v>530.99099999999999</v>
      </c>
      <c r="D57" s="7">
        <f t="shared" si="15"/>
        <v>557.99099999999999</v>
      </c>
      <c r="E57" s="7">
        <f t="shared" si="16"/>
        <v>588.9905</v>
      </c>
      <c r="F57" s="7">
        <f t="shared" si="17"/>
        <v>655.4905</v>
      </c>
      <c r="G57" s="7">
        <f t="shared" si="18"/>
        <v>598.4905</v>
      </c>
    </row>
    <row r="58" spans="2:7" x14ac:dyDescent="0.3">
      <c r="B58" s="17" t="str">
        <f>B34</f>
        <v>FONTE 200 MONO</v>
      </c>
      <c r="C58" s="7">
        <f t="shared" si="14"/>
        <v>568.50315862499997</v>
      </c>
      <c r="D58" s="7">
        <f t="shared" si="15"/>
        <v>625.42437749999999</v>
      </c>
      <c r="E58" s="7">
        <f t="shared" si="16"/>
        <v>694.915975</v>
      </c>
      <c r="F58" s="7">
        <f t="shared" si="17"/>
        <v>731.01597499999991</v>
      </c>
      <c r="G58" s="7">
        <f t="shared" si="18"/>
        <v>669.19517624999992</v>
      </c>
    </row>
    <row r="59" spans="2:7" x14ac:dyDescent="0.3">
      <c r="B59" s="17" t="str">
        <f>B35</f>
        <v>FONTE 200 MONO LITE</v>
      </c>
      <c r="C59" s="7">
        <f t="shared" si="14"/>
        <v>540.07800069375003</v>
      </c>
      <c r="D59" s="7">
        <f t="shared" si="15"/>
        <v>594.15315862499995</v>
      </c>
      <c r="E59" s="7">
        <f t="shared" si="16"/>
        <v>660.17017624999994</v>
      </c>
      <c r="F59" s="7">
        <f t="shared" si="17"/>
        <v>694.4651762499999</v>
      </c>
      <c r="G59" s="7">
        <f t="shared" si="18"/>
        <v>635.7354174374999</v>
      </c>
    </row>
    <row r="60" spans="2:7" x14ac:dyDescent="0.3">
      <c r="B60" s="9" t="s">
        <v>37</v>
      </c>
      <c r="C60" s="7">
        <f t="shared" si="14"/>
        <v>49.41</v>
      </c>
      <c r="D60" s="7">
        <f t="shared" si="15"/>
        <v>50.398199999999996</v>
      </c>
      <c r="E60" s="7">
        <f t="shared" si="16"/>
        <v>58.130310000000001</v>
      </c>
      <c r="F60" s="7">
        <f t="shared" si="17"/>
        <v>62.888100000000001</v>
      </c>
      <c r="G60" s="7">
        <f t="shared" si="18"/>
        <v>58.130310000000001</v>
      </c>
    </row>
    <row r="61" spans="2:7" x14ac:dyDescent="0.3">
      <c r="B61" s="9" t="str">
        <f>B37</f>
        <v>K600</v>
      </c>
      <c r="C61" s="7">
        <f>C60*0.95</f>
        <v>46.939499999999995</v>
      </c>
      <c r="D61" s="7">
        <f t="shared" ref="D61:G61" si="19">D60*0.95</f>
        <v>47.878289999999993</v>
      </c>
      <c r="E61" s="7">
        <f t="shared" si="19"/>
        <v>55.223794499999997</v>
      </c>
      <c r="F61" s="7">
        <f t="shared" si="19"/>
        <v>59.743694999999995</v>
      </c>
      <c r="G61" s="7">
        <f t="shared" si="19"/>
        <v>55.223794499999997</v>
      </c>
    </row>
    <row r="62" spans="2:7" x14ac:dyDescent="0.3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3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41" zoomScale="80" zoomScaleNormal="80" workbookViewId="0">
      <selection activeCell="F54" sqref="F54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94" t="s">
        <v>128</v>
      </c>
      <c r="C18" s="95"/>
      <c r="D18" s="95"/>
      <c r="E18" s="95"/>
      <c r="F18" s="95"/>
      <c r="G18" s="96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3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3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3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3">
      <c r="B41" s="12" t="s">
        <v>122</v>
      </c>
      <c r="C41" s="13">
        <v>0.15</v>
      </c>
      <c r="E41" s="12" t="s">
        <v>123</v>
      </c>
      <c r="F41" s="13">
        <v>0.1</v>
      </c>
    </row>
    <row r="42" spans="2:7" x14ac:dyDescent="0.3">
      <c r="B42" s="67" t="s">
        <v>129</v>
      </c>
      <c r="C42" s="68"/>
      <c r="D42" s="68"/>
      <c r="E42" s="68"/>
      <c r="F42" s="68"/>
      <c r="G42" s="92"/>
    </row>
    <row r="43" spans="2:7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3">
      <c r="B44" s="9" t="s">
        <v>28</v>
      </c>
      <c r="C44" s="7">
        <f t="shared" ref="C44:C51" si="8">C20*(1-C$41)</f>
        <v>314.49149999999997</v>
      </c>
      <c r="D44" s="7">
        <f t="shared" ref="D44:D51" si="9">D20*(1-C$41)</f>
        <v>339.99149999999997</v>
      </c>
      <c r="E44" s="7">
        <f t="shared" ref="E44:E51" si="10">E20*(1-F$41)</f>
        <v>359.99100000000004</v>
      </c>
      <c r="F44" s="7">
        <f t="shared" ref="F44:F51" si="11">F20*(1-F$41)</f>
        <v>386.99100000000004</v>
      </c>
      <c r="G44" s="7">
        <f t="shared" ref="G44:G51" si="12">G20*(1-F$41)</f>
        <v>368.99100000000004</v>
      </c>
    </row>
    <row r="45" spans="2:7" x14ac:dyDescent="0.3">
      <c r="B45" s="9" t="str">
        <f>B21</f>
        <v>FONTE 40A LITE</v>
      </c>
      <c r="C45" s="7">
        <f t="shared" si="8"/>
        <v>298.76692500000001</v>
      </c>
      <c r="D45" s="7">
        <f t="shared" si="9"/>
        <v>322.99192499999998</v>
      </c>
      <c r="E45" s="7">
        <f t="shared" si="10"/>
        <v>341.99144999999999</v>
      </c>
      <c r="F45" s="7">
        <f t="shared" si="11"/>
        <v>367.64145000000002</v>
      </c>
      <c r="G45" s="7">
        <f t="shared" si="12"/>
        <v>350.54145</v>
      </c>
    </row>
    <row r="46" spans="2:7" x14ac:dyDescent="0.3">
      <c r="B46" s="9" t="s">
        <v>29</v>
      </c>
      <c r="C46" s="7">
        <f t="shared" si="8"/>
        <v>348.49149999999997</v>
      </c>
      <c r="D46" s="7">
        <f t="shared" si="9"/>
        <v>373.99149999999997</v>
      </c>
      <c r="E46" s="7">
        <f t="shared" si="10"/>
        <v>395.99100000000004</v>
      </c>
      <c r="F46" s="7">
        <f t="shared" si="11"/>
        <v>422.99100000000004</v>
      </c>
      <c r="G46" s="7">
        <f t="shared" si="12"/>
        <v>404.99100000000004</v>
      </c>
    </row>
    <row r="47" spans="2:7" x14ac:dyDescent="0.3">
      <c r="B47" s="9" t="s">
        <v>53</v>
      </c>
      <c r="C47" s="7">
        <f t="shared" si="8"/>
        <v>302.45022999999998</v>
      </c>
      <c r="D47" s="7">
        <f t="shared" si="9"/>
        <v>328.71522999999996</v>
      </c>
      <c r="E47" s="7">
        <f t="shared" si="10"/>
        <v>348.05142000000001</v>
      </c>
      <c r="F47" s="7">
        <f t="shared" si="11"/>
        <v>375.86142000000001</v>
      </c>
      <c r="G47" s="7">
        <f t="shared" si="12"/>
        <v>348.05142000000001</v>
      </c>
    </row>
    <row r="48" spans="2:7" x14ac:dyDescent="0.3">
      <c r="B48" s="9" t="s">
        <v>30</v>
      </c>
      <c r="C48" s="7">
        <f t="shared" si="8"/>
        <v>390.99149999999997</v>
      </c>
      <c r="D48" s="7">
        <f t="shared" si="9"/>
        <v>416.49149999999997</v>
      </c>
      <c r="E48" s="7">
        <f t="shared" si="10"/>
        <v>440.99100000000004</v>
      </c>
      <c r="F48" s="7">
        <f t="shared" si="11"/>
        <v>467.99100000000004</v>
      </c>
      <c r="G48" s="7">
        <f t="shared" si="12"/>
        <v>449.99100000000004</v>
      </c>
    </row>
    <row r="49" spans="2:7" x14ac:dyDescent="0.3">
      <c r="B49" s="9" t="s">
        <v>54</v>
      </c>
      <c r="C49" s="7">
        <f t="shared" si="8"/>
        <v>334.59859</v>
      </c>
      <c r="D49" s="7">
        <f t="shared" si="9"/>
        <v>360.86358999999999</v>
      </c>
      <c r="E49" s="7">
        <f t="shared" si="10"/>
        <v>382.09086000000002</v>
      </c>
      <c r="F49" s="7">
        <f t="shared" si="11"/>
        <v>409.90086000000002</v>
      </c>
      <c r="G49" s="7">
        <f t="shared" si="12"/>
        <v>382.09086000000002</v>
      </c>
    </row>
    <row r="50" spans="2:7" x14ac:dyDescent="0.3">
      <c r="B50" s="9" t="s">
        <v>31</v>
      </c>
      <c r="C50" s="7">
        <f t="shared" si="8"/>
        <v>509.99149999999997</v>
      </c>
      <c r="D50" s="7">
        <f t="shared" si="9"/>
        <v>535.49149999999997</v>
      </c>
      <c r="E50" s="7">
        <f t="shared" si="10"/>
        <v>566.99099999999999</v>
      </c>
      <c r="F50" s="7">
        <f t="shared" si="11"/>
        <v>602.99099999999999</v>
      </c>
      <c r="G50" s="7">
        <f t="shared" si="12"/>
        <v>575.99099999999999</v>
      </c>
    </row>
    <row r="51" spans="2:7" x14ac:dyDescent="0.3">
      <c r="B51" s="9" t="s">
        <v>55</v>
      </c>
      <c r="C51" s="7">
        <f t="shared" si="8"/>
        <v>450.73595999999998</v>
      </c>
      <c r="D51" s="7">
        <f t="shared" si="9"/>
        <v>476.74596000000003</v>
      </c>
      <c r="E51" s="7">
        <f t="shared" si="10"/>
        <v>504.78984000000003</v>
      </c>
      <c r="F51" s="7">
        <f t="shared" si="11"/>
        <v>550.68984</v>
      </c>
      <c r="G51" s="7">
        <f t="shared" si="12"/>
        <v>504.78984000000003</v>
      </c>
    </row>
    <row r="52" spans="2:7" hidden="1" x14ac:dyDescent="0.3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3">
      <c r="B53" s="9" t="s">
        <v>33</v>
      </c>
      <c r="C53" s="7">
        <f t="shared" ref="C53:C60" si="14">C29*(1-C$41)</f>
        <v>654.49149999999997</v>
      </c>
      <c r="D53" s="7">
        <f t="shared" ref="D53:D60" si="15">D29*(1-C$41)</f>
        <v>679.99149999999997</v>
      </c>
      <c r="E53" s="7">
        <f t="shared" ref="E53:E60" si="16">E29*(1-F$41)</f>
        <v>719.99099999999999</v>
      </c>
      <c r="F53" s="7">
        <f t="shared" ref="F53:F60" si="17">F29*(1-F$41)</f>
        <v>755.99099999999999</v>
      </c>
      <c r="G53" s="7">
        <f t="shared" ref="G53:G60" si="18">G29*(1-F$41)</f>
        <v>728.99099999999999</v>
      </c>
    </row>
    <row r="54" spans="2:7" x14ac:dyDescent="0.3">
      <c r="B54" s="9" t="s">
        <v>56</v>
      </c>
      <c r="C54" s="7">
        <f t="shared" si="14"/>
        <v>591.78547000000003</v>
      </c>
      <c r="D54" s="7">
        <f t="shared" si="15"/>
        <v>618.05047000000013</v>
      </c>
      <c r="E54" s="7">
        <f t="shared" si="16"/>
        <v>654.40638000000013</v>
      </c>
      <c r="F54" s="7">
        <f t="shared" si="17"/>
        <v>691.48638000000005</v>
      </c>
      <c r="G54" s="7">
        <f t="shared" si="18"/>
        <v>654.40638000000013</v>
      </c>
    </row>
    <row r="55" spans="2:7" x14ac:dyDescent="0.3">
      <c r="B55" s="9" t="str">
        <f>B31</f>
        <v>FONTE 90 BOB</v>
      </c>
      <c r="C55" s="7">
        <f t="shared" si="14"/>
        <v>331.49149999999997</v>
      </c>
      <c r="D55" s="7">
        <f t="shared" si="15"/>
        <v>356.99149999999997</v>
      </c>
      <c r="E55" s="7">
        <f t="shared" si="16"/>
        <v>377.99100000000004</v>
      </c>
      <c r="F55" s="7">
        <f t="shared" si="17"/>
        <v>395.99100000000004</v>
      </c>
      <c r="G55" s="7">
        <f t="shared" si="18"/>
        <v>386.99100000000004</v>
      </c>
    </row>
    <row r="56" spans="2:7" x14ac:dyDescent="0.3">
      <c r="B56" s="9" t="s">
        <v>35</v>
      </c>
      <c r="C56" s="7">
        <f t="shared" si="14"/>
        <v>396.0915</v>
      </c>
      <c r="D56" s="7">
        <f t="shared" si="15"/>
        <v>421.5915</v>
      </c>
      <c r="E56" s="7">
        <f t="shared" si="16"/>
        <v>446.39100000000002</v>
      </c>
      <c r="F56" s="7">
        <f t="shared" si="17"/>
        <v>482.39100000000002</v>
      </c>
      <c r="G56" s="7">
        <f t="shared" si="18"/>
        <v>455.39100000000002</v>
      </c>
    </row>
    <row r="57" spans="2:7" x14ac:dyDescent="0.3">
      <c r="B57" s="9" t="s">
        <v>34</v>
      </c>
      <c r="C57" s="7">
        <f t="shared" si="14"/>
        <v>501.49149999999997</v>
      </c>
      <c r="D57" s="7">
        <f t="shared" si="15"/>
        <v>526.99149999999997</v>
      </c>
      <c r="E57" s="7">
        <f t="shared" si="16"/>
        <v>557.99099999999999</v>
      </c>
      <c r="F57" s="7">
        <f t="shared" si="17"/>
        <v>620.99099999999999</v>
      </c>
      <c r="G57" s="7">
        <f t="shared" si="18"/>
        <v>566.99099999999999</v>
      </c>
    </row>
    <row r="58" spans="2:7" x14ac:dyDescent="0.3">
      <c r="B58" s="17" t="str">
        <f>B34</f>
        <v>FONTE 200 MONO</v>
      </c>
      <c r="C58" s="7">
        <f t="shared" si="14"/>
        <v>536.91964981249998</v>
      </c>
      <c r="D58" s="7">
        <f t="shared" ref="D58:D59" si="19">D34*(1-C$41)</f>
        <v>590.67857875000004</v>
      </c>
      <c r="E58" s="7">
        <f t="shared" ref="E58:E59" si="20">E34*(1-F$41)</f>
        <v>658.34145000000001</v>
      </c>
      <c r="F58" s="7">
        <f t="shared" si="17"/>
        <v>692.54145000000005</v>
      </c>
      <c r="G58" s="7">
        <f t="shared" ref="G58:G59" si="21">G34*(1-F$41)</f>
        <v>633.97437750000006</v>
      </c>
    </row>
    <row r="59" spans="2:7" x14ac:dyDescent="0.3">
      <c r="B59" s="17" t="str">
        <f>B35</f>
        <v>FONTE 200 MONO LITE</v>
      </c>
      <c r="C59" s="7">
        <f t="shared" si="14"/>
        <v>510.07366732187495</v>
      </c>
      <c r="D59" s="7">
        <f t="shared" si="19"/>
        <v>561.14464981249989</v>
      </c>
      <c r="E59" s="7">
        <f t="shared" si="20"/>
        <v>625.42437749999999</v>
      </c>
      <c r="F59" s="7">
        <f t="shared" si="17"/>
        <v>657.91437749999989</v>
      </c>
      <c r="G59" s="7">
        <f t="shared" si="21"/>
        <v>602.27565862499989</v>
      </c>
    </row>
    <row r="60" spans="2:7" x14ac:dyDescent="0.3">
      <c r="B60" s="9" t="s">
        <v>37</v>
      </c>
      <c r="C60" s="7">
        <f t="shared" si="14"/>
        <v>46.664999999999999</v>
      </c>
      <c r="D60" s="7">
        <f t="shared" si="15"/>
        <v>47.598299999999995</v>
      </c>
      <c r="E60" s="7">
        <f t="shared" si="16"/>
        <v>55.070820000000005</v>
      </c>
      <c r="F60" s="7">
        <f t="shared" si="17"/>
        <v>59.57820000000001</v>
      </c>
      <c r="G60" s="7">
        <f t="shared" si="18"/>
        <v>55.070820000000005</v>
      </c>
    </row>
    <row r="61" spans="2:7" x14ac:dyDescent="0.3">
      <c r="B61" s="9" t="str">
        <f>B37</f>
        <v>K600</v>
      </c>
      <c r="C61" s="7">
        <f>C60*0.95</f>
        <v>44.33175</v>
      </c>
      <c r="D61" s="7">
        <f t="shared" ref="D61:G61" si="22">D60*0.95</f>
        <v>45.218384999999991</v>
      </c>
      <c r="E61" s="7">
        <f t="shared" si="22"/>
        <v>52.317278999999999</v>
      </c>
      <c r="F61" s="7">
        <f t="shared" si="22"/>
        <v>56.599290000000003</v>
      </c>
      <c r="G61" s="7">
        <f t="shared" si="22"/>
        <v>52.317278999999999</v>
      </c>
    </row>
    <row r="62" spans="2:7" x14ac:dyDescent="0.3">
      <c r="B62" s="9" t="s">
        <v>38</v>
      </c>
      <c r="C62" s="7">
        <v>69.52</v>
      </c>
      <c r="D62" s="7">
        <v>70.910399999999996</v>
      </c>
      <c r="E62" s="7">
        <f>E38*(1-F$41)</f>
        <v>81.701999999999998</v>
      </c>
      <c r="F62" s="7">
        <f>F38*(1-F$41)</f>
        <v>90.882000000000005</v>
      </c>
      <c r="G62" s="7">
        <f>G38*(1-F$41)</f>
        <v>81.701999999999998</v>
      </c>
    </row>
    <row r="63" spans="2:7" x14ac:dyDescent="0.3">
      <c r="B63" s="9" t="s">
        <v>39</v>
      </c>
      <c r="C63" s="7">
        <f>C39*(1-C$41)</f>
        <v>58.65</v>
      </c>
      <c r="D63" s="7">
        <f>D39*(1-C$41)</f>
        <v>59.822999999999993</v>
      </c>
      <c r="E63" s="7">
        <f>E39*(1-F$41)</f>
        <v>71.010000000000005</v>
      </c>
      <c r="F63" s="7">
        <f>F39*(1-F$41)</f>
        <v>79.110000000000014</v>
      </c>
      <c r="G63" s="7">
        <f>G39*(1-F$41)</f>
        <v>72.522000000000006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61 F61:G61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topLeftCell="A31" zoomScale="80" zoomScaleNormal="80" workbookViewId="0">
      <selection activeCell="C59" sqref="C59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9" width="10.88671875" bestFit="1" customWidth="1"/>
    <col min="11" max="11" width="16.44140625" bestFit="1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94" t="s">
        <v>124</v>
      </c>
      <c r="C18" s="95"/>
      <c r="D18" s="95"/>
      <c r="E18" s="95"/>
      <c r="F18" s="95"/>
      <c r="G18" s="96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9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9" x14ac:dyDescent="0.3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9" x14ac:dyDescent="0.3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9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9" x14ac:dyDescent="0.3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9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9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9" x14ac:dyDescent="0.3">
      <c r="B41" s="12" t="s">
        <v>122</v>
      </c>
      <c r="C41" s="13">
        <v>0.1</v>
      </c>
      <c r="E41" s="12" t="s">
        <v>123</v>
      </c>
      <c r="F41" s="13">
        <v>0.05</v>
      </c>
    </row>
    <row r="42" spans="2:9" x14ac:dyDescent="0.3">
      <c r="B42" s="67" t="s">
        <v>125</v>
      </c>
      <c r="C42" s="68"/>
      <c r="D42" s="68"/>
      <c r="E42" s="68"/>
      <c r="F42" s="68"/>
      <c r="G42" s="92"/>
    </row>
    <row r="43" spans="2:9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9" x14ac:dyDescent="0.3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9" x14ac:dyDescent="0.3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9" x14ac:dyDescent="0.3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9" x14ac:dyDescent="0.3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  <c r="I47" s="15"/>
    </row>
    <row r="48" spans="2:9" x14ac:dyDescent="0.3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11" x14ac:dyDescent="0.3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11" x14ac:dyDescent="0.3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11" x14ac:dyDescent="0.3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  <c r="K51" s="49"/>
    </row>
    <row r="52" spans="2:11" hidden="1" x14ac:dyDescent="0.3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11" x14ac:dyDescent="0.3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11" x14ac:dyDescent="0.3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11" x14ac:dyDescent="0.3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11" x14ac:dyDescent="0.3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11" x14ac:dyDescent="0.3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11" x14ac:dyDescent="0.3">
      <c r="B58" s="41" t="str">
        <f>B34</f>
        <v>FONTE 200 MONO</v>
      </c>
      <c r="C58" s="48">
        <v>628.99149999999997</v>
      </c>
      <c r="D58" s="48">
        <v>654.49149999999997</v>
      </c>
      <c r="E58" s="48">
        <v>692.99099999999999</v>
      </c>
      <c r="F58" s="48">
        <v>728.99099999999999</v>
      </c>
      <c r="G58" s="48">
        <v>701.99099999999999</v>
      </c>
    </row>
    <row r="59" spans="2:11" x14ac:dyDescent="0.3">
      <c r="B59" s="41" t="str">
        <f>B35</f>
        <v>FONTE 200 MONO LITE</v>
      </c>
      <c r="C59" s="48">
        <f>C58*0.95</f>
        <v>597.54192499999999</v>
      </c>
      <c r="D59" s="48">
        <f t="shared" ref="D59:G59" si="20">D58*0.95</f>
        <v>621.7669249999999</v>
      </c>
      <c r="E59" s="48">
        <f t="shared" si="20"/>
        <v>658.34145000000001</v>
      </c>
      <c r="F59" s="48">
        <f t="shared" si="20"/>
        <v>692.54144999999994</v>
      </c>
      <c r="G59" s="48">
        <f t="shared" si="20"/>
        <v>666.89144999999996</v>
      </c>
    </row>
    <row r="60" spans="2:11" x14ac:dyDescent="0.3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11" x14ac:dyDescent="0.3">
      <c r="B61" s="9" t="str">
        <f>B37</f>
        <v>K600</v>
      </c>
      <c r="C61" s="7">
        <f>C60*0.95</f>
        <v>46.939499999999995</v>
      </c>
      <c r="D61" s="7">
        <f t="shared" ref="D61:G61" si="21">D60*0.95</f>
        <v>47.878289999999993</v>
      </c>
      <c r="E61" s="7">
        <f t="shared" si="21"/>
        <v>55.223794499999997</v>
      </c>
      <c r="F61" s="7">
        <f t="shared" si="21"/>
        <v>59.743694999999995</v>
      </c>
      <c r="G61" s="7">
        <f t="shared" si="21"/>
        <v>55.223794499999997</v>
      </c>
    </row>
    <row r="62" spans="2:11" x14ac:dyDescent="0.3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11" x14ac:dyDescent="0.3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C30 D21:D30 G24:G30 E61:G6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abSelected="1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L31" sqref="L31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78" t="s">
        <v>183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3">
      <c r="C20" s="82" t="s">
        <v>181</v>
      </c>
      <c r="D20" s="83"/>
      <c r="E20" s="61"/>
      <c r="F20" s="80">
        <v>0.22</v>
      </c>
      <c r="G20" s="45" t="s">
        <v>144</v>
      </c>
      <c r="H20" s="61"/>
      <c r="I20" s="80">
        <v>0.22</v>
      </c>
      <c r="J20" s="45" t="s">
        <v>144</v>
      </c>
      <c r="K20" s="61"/>
      <c r="L20" s="80">
        <v>0.22</v>
      </c>
      <c r="M20" s="45" t="s">
        <v>144</v>
      </c>
      <c r="N20" s="61"/>
      <c r="O20" s="80">
        <v>0.22</v>
      </c>
    </row>
    <row r="21" spans="2:19" x14ac:dyDescent="0.3">
      <c r="B21" s="28" t="s">
        <v>147</v>
      </c>
      <c r="C21" s="84"/>
      <c r="D21" s="85"/>
      <c r="E21" s="60" t="s">
        <v>182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3">
      <c r="B22" s="55">
        <v>794</v>
      </c>
      <c r="C22" s="9" t="s">
        <v>28</v>
      </c>
      <c r="D22" s="42">
        <f>'POLÍTICA COMERCIAL Jan24'!C22*(1+'POLÍTICA COMERCIAL Nov24'!S$19)</f>
        <v>392.18940000000003</v>
      </c>
      <c r="E22" s="42">
        <f>D22*(1+Q$19)</f>
        <v>403.95508200000006</v>
      </c>
      <c r="F22" s="52">
        <f>E22*(1-F$20)</f>
        <v>315.08496396000004</v>
      </c>
      <c r="G22" s="42">
        <f>'POLÍTICA COMERCIAL Jan24'!G22*(1+'POLÍTICA COMERCIAL Nov24'!S$19)</f>
        <v>423.98940000000005</v>
      </c>
      <c r="H22" s="42">
        <f>G22*(1+Q$19)</f>
        <v>436.70908200000008</v>
      </c>
      <c r="I22" s="52">
        <f>H22*(1-I$20)</f>
        <v>340.63308396000008</v>
      </c>
      <c r="J22" s="42">
        <f>'POLÍTICA COMERCIAL Jan24'!I22*(1+'POLÍTICA COMERCIAL Nov24'!S$19)</f>
        <v>455.78940000000006</v>
      </c>
      <c r="K22" s="42">
        <f>J22*(1+Q$19)</f>
        <v>469.4630820000001</v>
      </c>
      <c r="L22" s="52">
        <f>K22*(1-L$20)</f>
        <v>366.18120396000006</v>
      </c>
      <c r="M22" s="42">
        <f>'POLÍTICA COMERCIAL Jan24'!K22*(1+'POLÍTICA COMERCIAL Nov24'!S$19)</f>
        <v>423.98940000000005</v>
      </c>
      <c r="N22" s="42">
        <f>M22*(1+Q$19)</f>
        <v>436.70908200000008</v>
      </c>
      <c r="O22" s="52">
        <f>N22*(1-O$20)</f>
        <v>340.63308396000008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Nov24'!S$19)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349.14912396000005</v>
      </c>
      <c r="G23" s="42">
        <f>'POLÍTICA COMERCIAL Jan24'!G24*(1+'POLÍTICA COMERCIAL Nov24'!S$19)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374.69724396000004</v>
      </c>
      <c r="J23" s="42">
        <f>'POLÍTICA COMERCIAL Jan24'!I24*(1+'POLÍTICA COMERCIAL Nov24'!S$19)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400.24536396000002</v>
      </c>
      <c r="M23" s="42">
        <f>'POLÍTICA COMERCIAL Jan24'!K24*(1+'POLÍTICA COMERCIAL Nov24'!S$19)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374.69724396000004</v>
      </c>
      <c r="Q23" s="63"/>
      <c r="R23">
        <v>726.03</v>
      </c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286.62660000000005</v>
      </c>
      <c r="G24" s="42">
        <f>413.07133004*0.93</f>
        <v>384.15633693720002</v>
      </c>
      <c r="H24" s="42">
        <v>395.68</v>
      </c>
      <c r="I24" s="52">
        <f t="shared" si="4"/>
        <v>308.63040000000001</v>
      </c>
      <c r="J24" s="42">
        <f>441.90761032*0.93</f>
        <v>410.9740775976</v>
      </c>
      <c r="K24" s="42">
        <v>423.3</v>
      </c>
      <c r="L24" s="52">
        <f t="shared" si="6"/>
        <v>330.17400000000004</v>
      </c>
      <c r="M24" s="42">
        <f>413.07133004*0.93</f>
        <v>384.15633693720002</v>
      </c>
      <c r="N24" s="42">
        <f>H24</f>
        <v>395.68</v>
      </c>
      <c r="O24" s="52">
        <f t="shared" si="8"/>
        <v>308.63040000000001</v>
      </c>
      <c r="Q24" s="64"/>
      <c r="R24">
        <f>R23*0.2</f>
        <v>145.20599999999999</v>
      </c>
    </row>
    <row r="25" spans="2:19" x14ac:dyDescent="0.3">
      <c r="B25" s="55">
        <v>796</v>
      </c>
      <c r="C25" s="9" t="s">
        <v>30</v>
      </c>
      <c r="D25" s="42">
        <f>'POLÍTICA COMERCIAL Jan24'!C26*(1+'POLÍTICA COMERCIAL Nov24'!S$19)</f>
        <v>487.58940000000001</v>
      </c>
      <c r="E25" s="42">
        <f t="shared" si="1"/>
        <v>502.217082</v>
      </c>
      <c r="F25" s="52">
        <f t="shared" si="2"/>
        <v>391.72932396000004</v>
      </c>
      <c r="G25" s="42">
        <f>'POLÍTICA COMERCIAL Jan24'!G26*(1+'POLÍTICA COMERCIAL Nov24'!S$19)</f>
        <v>519.38940000000002</v>
      </c>
      <c r="H25" s="42">
        <f t="shared" si="3"/>
        <v>534.97108200000002</v>
      </c>
      <c r="I25" s="52">
        <f t="shared" si="4"/>
        <v>417.27744396000003</v>
      </c>
      <c r="J25" s="42">
        <f>'POLÍTICA COMERCIAL Jan24'!I26*(1+'POLÍTICA COMERCIAL Nov24'!S$19)</f>
        <v>551.18940000000009</v>
      </c>
      <c r="K25" s="42">
        <f t="shared" si="5"/>
        <v>567.72508200000016</v>
      </c>
      <c r="L25" s="52">
        <f t="shared" si="6"/>
        <v>442.82556396000012</v>
      </c>
      <c r="M25" s="42">
        <f>'POLÍTICA COMERCIAL Jan24'!K26*(1+'POLÍTICA COMERCIAL Nov24'!S$19)</f>
        <v>519.38940000000002</v>
      </c>
      <c r="N25" s="42">
        <f t="shared" si="7"/>
        <v>534.97108200000002</v>
      </c>
      <c r="O25" s="52">
        <f t="shared" si="8"/>
        <v>417.27744396000003</v>
      </c>
      <c r="P25">
        <v>465</v>
      </c>
      <c r="Q25" s="27">
        <f>1-P25/I25</f>
        <v>-0.11436648860553955</v>
      </c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323.46600000000001</v>
      </c>
      <c r="G26" s="42">
        <f>0.94*457.70775408</f>
        <v>430.24528883519997</v>
      </c>
      <c r="H26" s="42">
        <v>443.15</v>
      </c>
      <c r="I26" s="52">
        <f t="shared" si="4"/>
        <v>345.65699999999998</v>
      </c>
      <c r="J26" s="42">
        <f>0.94*486.47493932</f>
        <v>457.28644296079995</v>
      </c>
      <c r="K26" s="42">
        <v>471.01</v>
      </c>
      <c r="L26" s="52">
        <f t="shared" si="6"/>
        <v>367.38780000000003</v>
      </c>
      <c r="M26" s="42">
        <f>0.94*457.70775408</f>
        <v>430.24528883519997</v>
      </c>
      <c r="N26" s="42">
        <f>H26</f>
        <v>443.15</v>
      </c>
      <c r="O26" s="52">
        <f t="shared" si="8"/>
        <v>345.65699999999998</v>
      </c>
      <c r="P26">
        <v>438</v>
      </c>
      <c r="Q26" s="27">
        <f t="shared" ref="Q26:Q38" si="9">1-P26/I26</f>
        <v>-0.26715211900814984</v>
      </c>
    </row>
    <row r="27" spans="2:19" x14ac:dyDescent="0.3">
      <c r="B27" s="55">
        <v>797</v>
      </c>
      <c r="C27" s="9" t="s">
        <v>31</v>
      </c>
      <c r="D27" s="42">
        <f>'POLÍTICA COMERCIAL Jan24'!C28*(1+'POLÍTICA COMERCIAL Nov24'!S$19)</f>
        <v>635.98940000000005</v>
      </c>
      <c r="E27" s="42">
        <f t="shared" si="1"/>
        <v>655.06908200000009</v>
      </c>
      <c r="F27" s="52">
        <f t="shared" si="2"/>
        <v>510.9538839600001</v>
      </c>
      <c r="G27" s="42">
        <f>'POLÍTICA COMERCIAL Jan24'!G28*(1+'POLÍTICA COMERCIAL Nov24'!S$19)</f>
        <v>667.7894</v>
      </c>
      <c r="H27" s="42">
        <f t="shared" si="3"/>
        <v>687.823082</v>
      </c>
      <c r="I27" s="52">
        <f t="shared" si="4"/>
        <v>536.50200396000002</v>
      </c>
      <c r="J27" s="42">
        <f>'POLÍTICA COMERCIAL Jan24'!I28*(1+'POLÍTICA COMERCIAL Nov24'!S$19)</f>
        <v>710.18940000000009</v>
      </c>
      <c r="K27" s="42">
        <f t="shared" si="5"/>
        <v>731.49508200000014</v>
      </c>
      <c r="L27" s="52">
        <f t="shared" si="6"/>
        <v>570.56616396000015</v>
      </c>
      <c r="M27" s="42">
        <f>'POLÍTICA COMERCIAL Jan24'!K28*(1+'POLÍTICA COMERCIAL Nov24'!S$19)</f>
        <v>667.7894</v>
      </c>
      <c r="N27" s="42">
        <f t="shared" si="7"/>
        <v>687.823082</v>
      </c>
      <c r="O27" s="52">
        <f t="shared" si="8"/>
        <v>536.50200396000002</v>
      </c>
      <c r="P27" s="15">
        <v>607</v>
      </c>
      <c r="Q27" s="27">
        <f t="shared" si="9"/>
        <v>-0.13140304326851338</v>
      </c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432.88440000000003</v>
      </c>
      <c r="G28" s="42">
        <f>0.96*588.00208064</f>
        <v>564.48199741439998</v>
      </c>
      <c r="H28" s="42">
        <v>581.41999999999996</v>
      </c>
      <c r="I28" s="52">
        <f t="shared" si="4"/>
        <v>453.50759999999997</v>
      </c>
      <c r="J28" s="42">
        <f>0.95*635.30051448</f>
        <v>603.53548875599995</v>
      </c>
      <c r="K28" s="42">
        <v>621.64</v>
      </c>
      <c r="L28" s="52">
        <f t="shared" si="6"/>
        <v>484.87920000000003</v>
      </c>
      <c r="M28" s="42">
        <f>0.96*588.00208064</f>
        <v>564.48199741439998</v>
      </c>
      <c r="N28" s="42">
        <f>H28</f>
        <v>581.41999999999996</v>
      </c>
      <c r="O28" s="52">
        <f t="shared" si="8"/>
        <v>453.50759999999997</v>
      </c>
      <c r="P28" s="15">
        <v>578</v>
      </c>
      <c r="Q28" s="27">
        <f t="shared" si="9"/>
        <v>-0.27451006333741712</v>
      </c>
    </row>
    <row r="29" spans="2:19" x14ac:dyDescent="0.3">
      <c r="B29" s="55">
        <v>799</v>
      </c>
      <c r="C29" s="9" t="s">
        <v>33</v>
      </c>
      <c r="D29" s="42">
        <f>'POLÍTICA COMERCIAL Jan24'!C31*(1+'POLÍTICA COMERCIAL Nov24'!S$19)</f>
        <v>816.18940000000009</v>
      </c>
      <c r="E29" s="42">
        <f t="shared" si="1"/>
        <v>840.67508200000009</v>
      </c>
      <c r="F29" s="52">
        <f t="shared" si="2"/>
        <v>655.72656396000014</v>
      </c>
      <c r="G29" s="42">
        <f>'POLÍTICA COMERCIAL Jan24'!G31*(1+'POLÍTICA COMERCIAL Nov24'!S$19)</f>
        <v>847.98940000000005</v>
      </c>
      <c r="H29" s="42">
        <f t="shared" si="3"/>
        <v>873.42908200000011</v>
      </c>
      <c r="I29" s="52">
        <f t="shared" si="4"/>
        <v>681.27468396000006</v>
      </c>
      <c r="J29" s="42">
        <f>'POLÍTICA COMERCIAL Jan24'!I31*(1+'POLÍTICA COMERCIAL Nov24'!S$19)</f>
        <v>890.38940000000002</v>
      </c>
      <c r="K29" s="42">
        <f t="shared" si="5"/>
        <v>917.10108200000002</v>
      </c>
      <c r="L29" s="52">
        <f t="shared" si="6"/>
        <v>715.33884396000008</v>
      </c>
      <c r="M29" s="42">
        <f>'POLÍTICA COMERCIAL Jan24'!K31*(1+'POLÍTICA COMERCIAL Nov24'!S$19)</f>
        <v>847.98940000000005</v>
      </c>
      <c r="N29" s="42">
        <f t="shared" si="7"/>
        <v>873.42908200000011</v>
      </c>
      <c r="O29" s="52">
        <f t="shared" si="8"/>
        <v>681.27468396000006</v>
      </c>
      <c r="P29">
        <v>754</v>
      </c>
      <c r="Q29" s="27">
        <f t="shared" si="9"/>
        <v>-0.10674888962154627</v>
      </c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557.4738000000001</v>
      </c>
      <c r="G30" s="42">
        <f>0.96*747.62293324</f>
        <v>717.71801591039991</v>
      </c>
      <c r="H30" s="42">
        <v>739.25</v>
      </c>
      <c r="I30" s="52">
        <f t="shared" si="4"/>
        <v>576.61500000000001</v>
      </c>
      <c r="J30" s="42">
        <f>0.955*789.98477324</f>
        <v>754.43545844419998</v>
      </c>
      <c r="K30" s="42">
        <v>777.07</v>
      </c>
      <c r="L30" s="52">
        <f t="shared" si="6"/>
        <v>606.11460000000011</v>
      </c>
      <c r="M30" s="42">
        <f>0.96*747.62293324</f>
        <v>717.71801591039991</v>
      </c>
      <c r="N30" s="42">
        <f>H30</f>
        <v>739.25</v>
      </c>
      <c r="O30" s="52">
        <f t="shared" si="8"/>
        <v>576.61500000000001</v>
      </c>
      <c r="Q30" s="27">
        <f t="shared" si="9"/>
        <v>1</v>
      </c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Nov24'!S$19)</f>
        <v>413.38940000000002</v>
      </c>
      <c r="E31" s="138">
        <v>0</v>
      </c>
      <c r="F31" s="139">
        <v>0</v>
      </c>
      <c r="G31" s="139"/>
      <c r="H31" s="139">
        <v>0</v>
      </c>
      <c r="I31" s="139">
        <v>0</v>
      </c>
      <c r="J31" s="139"/>
      <c r="K31" s="139">
        <v>0</v>
      </c>
      <c r="L31" s="139">
        <v>0</v>
      </c>
      <c r="M31" s="139"/>
      <c r="N31" s="139">
        <v>0</v>
      </c>
      <c r="O31" s="140">
        <v>0</v>
      </c>
      <c r="Q31" s="27" t="e">
        <f t="shared" si="9"/>
        <v>#DIV/0!</v>
      </c>
    </row>
    <row r="32" spans="2:19" x14ac:dyDescent="0.3">
      <c r="B32" s="55">
        <v>801</v>
      </c>
      <c r="C32" s="9" t="s">
        <v>35</v>
      </c>
      <c r="D32" s="42">
        <f>'POLÍTICA COMERCIAL Jan24'!C34*(1+'POLÍTICA COMERCIAL Nov24'!S$19)</f>
        <v>493.94940000000003</v>
      </c>
      <c r="E32" s="42">
        <f t="shared" si="1"/>
        <v>508.76788200000004</v>
      </c>
      <c r="F32" s="52">
        <f t="shared" si="2"/>
        <v>396.83894796000004</v>
      </c>
      <c r="G32" s="42">
        <f>'POLÍTICA COMERCIAL Jan24'!G34*(1+'POLÍTICA COMERCIAL Nov24'!S$19)</f>
        <v>525.74940000000004</v>
      </c>
      <c r="H32" s="42">
        <f t="shared" si="3"/>
        <v>541.52188200000001</v>
      </c>
      <c r="I32" s="52">
        <f t="shared" si="4"/>
        <v>422.38706796000002</v>
      </c>
      <c r="J32" s="42">
        <f>'POLÍTICA COMERCIAL Jan24'!I34*(1+'POLÍTICA COMERCIAL Nov24'!S$19)</f>
        <v>568.14940000000001</v>
      </c>
      <c r="K32" s="42">
        <f t="shared" si="5"/>
        <v>585.19388200000003</v>
      </c>
      <c r="L32" s="52">
        <f t="shared" si="6"/>
        <v>456.45122796000004</v>
      </c>
      <c r="M32" s="42">
        <f>'POLÍTICA COMERCIAL Jan24'!K34*(1+'POLÍTICA COMERCIAL Nov24'!S$19)</f>
        <v>525.74940000000004</v>
      </c>
      <c r="N32" s="42">
        <f t="shared" si="7"/>
        <v>541.52188200000001</v>
      </c>
      <c r="O32" s="52">
        <f t="shared" si="8"/>
        <v>422.38706796000002</v>
      </c>
      <c r="P32">
        <v>465</v>
      </c>
      <c r="Q32" s="27">
        <f t="shared" si="9"/>
        <v>-0.10088597703951341</v>
      </c>
    </row>
    <row r="33" spans="2:17" x14ac:dyDescent="0.3">
      <c r="B33" s="55">
        <v>802</v>
      </c>
      <c r="C33" s="9" t="s">
        <v>34</v>
      </c>
      <c r="D33" s="42">
        <f>'POLÍTICA COMERCIAL Jan24'!C35*(1+'POLÍTICA COMERCIAL Nov24'!S$19)</f>
        <v>625.38940000000002</v>
      </c>
      <c r="E33" s="42">
        <f t="shared" si="1"/>
        <v>644.15108200000009</v>
      </c>
      <c r="F33" s="52">
        <f t="shared" si="2"/>
        <v>502.43784396000007</v>
      </c>
      <c r="G33" s="42">
        <f>'POLÍTICA COMERCIAL Jan24'!G35*(1+'POLÍTICA COMERCIAL Nov24'!S$19)</f>
        <v>657.18940000000009</v>
      </c>
      <c r="H33" s="42">
        <f t="shared" si="3"/>
        <v>676.90508200000011</v>
      </c>
      <c r="I33" s="52">
        <f t="shared" si="4"/>
        <v>527.98596396000005</v>
      </c>
      <c r="J33" s="42">
        <f>'POLÍTICA COMERCIAL Jan24'!I35*(1+'POLÍTICA COMERCIAL Nov24'!S$19)</f>
        <v>731.38940000000002</v>
      </c>
      <c r="K33" s="42">
        <f t="shared" si="5"/>
        <v>753.33108200000004</v>
      </c>
      <c r="L33" s="52">
        <f t="shared" si="6"/>
        <v>587.5982439600001</v>
      </c>
      <c r="M33" s="42">
        <f>'POLÍTICA COMERCIAL Jan24'!K35*(1+'POLÍTICA COMERCIAL Nov24'!S$19)</f>
        <v>657.18940000000009</v>
      </c>
      <c r="N33" s="42">
        <f t="shared" si="7"/>
        <v>676.90508200000011</v>
      </c>
      <c r="O33" s="52">
        <f t="shared" si="8"/>
        <v>527.98596396000005</v>
      </c>
      <c r="P33">
        <v>588</v>
      </c>
      <c r="Q33" s="27">
        <f t="shared" si="9"/>
        <v>-0.11366596867439949</v>
      </c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Nov24'!S$19)</f>
        <v>669.57038682500001</v>
      </c>
      <c r="E34" s="42">
        <f t="shared" si="1"/>
        <v>689.65749842975004</v>
      </c>
      <c r="F34" s="52">
        <f t="shared" si="2"/>
        <v>537.932848775205</v>
      </c>
      <c r="G34" s="42">
        <f>'POLÍTICA COMERCIAL Jan24'!G36*(1+'POLÍTICA COMERCIAL Nov24'!S$19)</f>
        <v>775.37993000000006</v>
      </c>
      <c r="H34" s="42">
        <f t="shared" si="3"/>
        <v>798.64132790000008</v>
      </c>
      <c r="I34" s="52">
        <f t="shared" si="4"/>
        <v>622.94023576200004</v>
      </c>
      <c r="J34" s="42">
        <f>'POLÍTICA COMERCIAL Jan24'!I36*(1+'POLÍTICA COMERCIAL Nov24'!S$19)</f>
        <v>815.65993000000003</v>
      </c>
      <c r="K34" s="42">
        <f t="shared" si="5"/>
        <v>840.12972790000003</v>
      </c>
      <c r="L34" s="52">
        <f t="shared" si="6"/>
        <v>655.30118776200004</v>
      </c>
      <c r="M34" s="42">
        <f>'POLÍTICA COMERCIAL Jan24'!K36*(1+'POLÍTICA COMERCIAL Nov24'!S$19)</f>
        <v>775.37993000000006</v>
      </c>
      <c r="N34" s="42">
        <f t="shared" si="7"/>
        <v>798.64132790000008</v>
      </c>
      <c r="O34" s="52">
        <f t="shared" si="8"/>
        <v>622.94023576200004</v>
      </c>
      <c r="P34">
        <v>727</v>
      </c>
      <c r="Q34" s="27">
        <f t="shared" si="9"/>
        <v>-0.16704614385794292</v>
      </c>
    </row>
    <row r="35" spans="2:17" x14ac:dyDescent="0.3">
      <c r="B35" s="55" t="s">
        <v>151</v>
      </c>
      <c r="C35" s="9" t="s">
        <v>37</v>
      </c>
      <c r="D35" s="42">
        <f>'POLÍTICA COMERCIAL Jan24'!C38*(1+'POLÍTICA COMERCIAL Nov24'!S$19)</f>
        <v>58.194000000000003</v>
      </c>
      <c r="E35" s="42">
        <f t="shared" si="1"/>
        <v>59.939820000000005</v>
      </c>
      <c r="F35" s="52">
        <f t="shared" si="2"/>
        <v>46.753059600000007</v>
      </c>
      <c r="G35" s="42">
        <f>'POLÍTICA COMERCIAL Jan24'!G38*(1+'POLÍTICA COMERCIAL Nov24'!S$19)</f>
        <v>64.861188000000013</v>
      </c>
      <c r="H35" s="42">
        <f t="shared" si="3"/>
        <v>66.807023640000011</v>
      </c>
      <c r="I35" s="52">
        <f t="shared" si="4"/>
        <v>52.109478439200011</v>
      </c>
      <c r="J35" s="42">
        <f>'POLÍTICA COMERCIAL Jan24'!I38*(1+'POLÍTICA COMERCIAL Nov24'!S$19)</f>
        <v>70.169880000000006</v>
      </c>
      <c r="K35" s="42">
        <f t="shared" si="5"/>
        <v>72.274976400000014</v>
      </c>
      <c r="L35" s="52">
        <f t="shared" si="6"/>
        <v>56.374481592000016</v>
      </c>
      <c r="M35" s="42">
        <f>'POLÍTICA COMERCIAL Jan24'!K38*(1+'POLÍTICA COMERCIAL Nov24'!S$19)</f>
        <v>64.861188000000013</v>
      </c>
      <c r="N35" s="42">
        <f t="shared" si="7"/>
        <v>66.807023640000011</v>
      </c>
      <c r="O35" s="52">
        <f t="shared" si="8"/>
        <v>52.109478439200011</v>
      </c>
      <c r="Q35" s="27">
        <f t="shared" si="9"/>
        <v>1</v>
      </c>
    </row>
    <row r="36" spans="2:17" x14ac:dyDescent="0.3">
      <c r="B36" s="55" t="s">
        <v>150</v>
      </c>
      <c r="C36" s="9" t="s">
        <v>36</v>
      </c>
      <c r="D36" s="42">
        <f>'POLÍTICA COMERCIAL Jan24'!C39*(1+'POLÍTICA COMERCIAL Nov24'!S$19)</f>
        <v>55.284299999999995</v>
      </c>
      <c r="E36" s="42">
        <f t="shared" si="1"/>
        <v>56.942828999999996</v>
      </c>
      <c r="F36" s="52">
        <f t="shared" si="2"/>
        <v>44.415406619999999</v>
      </c>
      <c r="G36" s="42">
        <f>'POLÍTICA COMERCIAL Jan24'!G39*(1+'POLÍTICA COMERCIAL Nov24'!S$19)</f>
        <v>61.618128600000006</v>
      </c>
      <c r="H36" s="42">
        <f t="shared" si="3"/>
        <v>63.466672458000005</v>
      </c>
      <c r="I36" s="52">
        <f t="shared" si="4"/>
        <v>49.504004517240006</v>
      </c>
      <c r="J36" s="42">
        <f>'POLÍTICA COMERCIAL Jan24'!I39*(1+'POLÍTICA COMERCIAL Nov24'!S$19)</f>
        <v>66.661386000000007</v>
      </c>
      <c r="K36" s="42">
        <f t="shared" si="5"/>
        <v>68.661227580000016</v>
      </c>
      <c r="L36" s="52">
        <f t="shared" si="6"/>
        <v>53.555757512400014</v>
      </c>
      <c r="M36" s="42">
        <f>'POLÍTICA COMERCIAL Jan24'!K39*(1+'POLÍTICA COMERCIAL Nov24'!S$19)</f>
        <v>61.618128600000006</v>
      </c>
      <c r="N36" s="42">
        <f t="shared" si="7"/>
        <v>63.466672458000005</v>
      </c>
      <c r="O36" s="52">
        <f t="shared" si="8"/>
        <v>49.504004517240006</v>
      </c>
      <c r="Q36" s="27">
        <f t="shared" si="9"/>
        <v>1</v>
      </c>
    </row>
    <row r="37" spans="2:17" x14ac:dyDescent="0.3">
      <c r="B37" s="55">
        <v>681</v>
      </c>
      <c r="C37" s="9" t="s">
        <v>38</v>
      </c>
      <c r="D37" s="42">
        <f>'POLÍTICA COMERCIAL Jan24'!C40*(1+'POLÍTICA COMERCIAL Nov24'!S$19)</f>
        <v>83.740000000000009</v>
      </c>
      <c r="E37" s="42">
        <f t="shared" si="1"/>
        <v>86.252200000000016</v>
      </c>
      <c r="F37" s="52">
        <f t="shared" si="2"/>
        <v>67.276716000000022</v>
      </c>
      <c r="G37" s="42">
        <f>'POLÍTICA COMERCIAL Jan24'!G40*(1+'POLÍTICA COMERCIAL Nov24'!S$19)</f>
        <v>96.226800000000011</v>
      </c>
      <c r="H37" s="42">
        <f t="shared" si="3"/>
        <v>99.113604000000009</v>
      </c>
      <c r="I37" s="52">
        <f t="shared" si="4"/>
        <v>77.308611120000009</v>
      </c>
      <c r="J37" s="42">
        <f>'POLÍTICA COMERCIAL Jan24'!I40*(1+'POLÍTICA COMERCIAL Nov24'!S$19)</f>
        <v>107.03880000000001</v>
      </c>
      <c r="K37" s="42">
        <f t="shared" si="5"/>
        <v>110.24996400000001</v>
      </c>
      <c r="L37" s="52">
        <f t="shared" si="6"/>
        <v>85.994971920000012</v>
      </c>
      <c r="M37" s="42">
        <f>'POLÍTICA COMERCIAL Jan24'!K40*(1+'POLÍTICA COMERCIAL Nov24'!S$19)</f>
        <v>96.226800000000011</v>
      </c>
      <c r="N37" s="42">
        <f t="shared" si="7"/>
        <v>99.113604000000009</v>
      </c>
      <c r="O37" s="52">
        <f t="shared" si="8"/>
        <v>77.308611120000009</v>
      </c>
      <c r="Q37" s="27">
        <f t="shared" si="9"/>
        <v>1</v>
      </c>
    </row>
    <row r="38" spans="2:17" x14ac:dyDescent="0.3">
      <c r="B38" s="55" t="s">
        <v>149</v>
      </c>
      <c r="C38" s="9" t="s">
        <v>39</v>
      </c>
      <c r="D38" s="42">
        <f>'POLÍTICA COMERCIAL Jan24'!C41*(1+'POLÍTICA COMERCIAL Nov24'!S$19)</f>
        <v>73.14</v>
      </c>
      <c r="E38" s="42">
        <f t="shared" si="1"/>
        <v>75.334199999999996</v>
      </c>
      <c r="F38" s="52">
        <f t="shared" si="2"/>
        <v>58.760675999999997</v>
      </c>
      <c r="G38" s="42">
        <f>'POLÍTICA COMERCIAL Jan24'!G41*(1+'POLÍTICA COMERCIAL Nov24'!S$19)</f>
        <v>83.634000000000015</v>
      </c>
      <c r="H38" s="42">
        <f t="shared" si="3"/>
        <v>86.143020000000021</v>
      </c>
      <c r="I38" s="52">
        <f t="shared" si="4"/>
        <v>67.191555600000015</v>
      </c>
      <c r="J38" s="42">
        <f>'POLÍTICA COMERCIAL Jan24'!I41*(1+'POLÍTICA COMERCIAL Nov24'!S$19)</f>
        <v>93.174000000000007</v>
      </c>
      <c r="K38" s="42">
        <f t="shared" si="5"/>
        <v>95.969220000000007</v>
      </c>
      <c r="L38" s="52">
        <f t="shared" si="6"/>
        <v>74.85599160000001</v>
      </c>
      <c r="M38" s="42">
        <f>'POLÍTICA COMERCIAL Jan24'!K41*(1+'POLÍTICA COMERCIAL Nov24'!S$19)</f>
        <v>83.634000000000015</v>
      </c>
      <c r="N38" s="42">
        <f t="shared" si="7"/>
        <v>86.143020000000021</v>
      </c>
      <c r="O38" s="52">
        <f t="shared" si="8"/>
        <v>67.191555600000015</v>
      </c>
      <c r="Q38" s="27">
        <f t="shared" si="9"/>
        <v>1</v>
      </c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>SITE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0</v>
      </c>
      <c r="H48" s="42"/>
      <c r="I48" s="52">
        <f>G48*(1-I$42)</f>
        <v>0</v>
      </c>
      <c r="J48" s="42">
        <f>J31</f>
        <v>0</v>
      </c>
      <c r="K48" s="42"/>
      <c r="L48" s="52">
        <f>J48*(1-L$42)</f>
        <v>0</v>
      </c>
      <c r="M48" s="42">
        <f>M31</f>
        <v>0</v>
      </c>
      <c r="N48" s="42"/>
      <c r="O48" s="52">
        <f>M48*(1-O$42)</f>
        <v>0</v>
      </c>
    </row>
    <row r="49" spans="2:15" hidden="1" x14ac:dyDescent="0.3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0</v>
      </c>
      <c r="H60" s="42"/>
      <c r="I60" s="52">
        <f>G60*(1-I$42)</f>
        <v>0</v>
      </c>
      <c r="J60" s="42">
        <f>J48</f>
        <v>0</v>
      </c>
      <c r="K60" s="42"/>
      <c r="L60" s="52">
        <f>J60*(1-L$42)</f>
        <v>0</v>
      </c>
      <c r="M60" s="42">
        <f>M48</f>
        <v>0</v>
      </c>
      <c r="N60" s="42"/>
      <c r="O60" s="52">
        <f>M60*(1-O$42)</f>
        <v>0</v>
      </c>
    </row>
    <row r="61" spans="2:15" hidden="1" x14ac:dyDescent="0.3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76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3">
      <c r="B65" s="77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10">E65*(1-F$42)</f>
        <v>352.495</v>
      </c>
      <c r="G65" s="42">
        <f>G27</f>
        <v>667.7894</v>
      </c>
      <c r="H65" s="42">
        <f>H26</f>
        <v>443.15</v>
      </c>
      <c r="I65" s="52">
        <f t="shared" ref="I65:I68" si="11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2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3">N65*(1-O$42)</f>
        <v>376.67749999999995</v>
      </c>
    </row>
    <row r="66" spans="2:15" x14ac:dyDescent="0.3">
      <c r="B66" s="77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10"/>
        <v>471.733</v>
      </c>
      <c r="G66" s="42">
        <f>G29</f>
        <v>847.98940000000005</v>
      </c>
      <c r="H66" s="42">
        <f>H28</f>
        <v>581.41999999999996</v>
      </c>
      <c r="I66" s="52">
        <f t="shared" si="11"/>
        <v>494.20699999999994</v>
      </c>
      <c r="J66" s="42">
        <f>J29</f>
        <v>890.38940000000002</v>
      </c>
      <c r="K66" s="42">
        <f>K28</f>
        <v>621.64</v>
      </c>
      <c r="L66" s="52">
        <f t="shared" si="12"/>
        <v>528.39400000000001</v>
      </c>
      <c r="M66" s="42">
        <f>M29</f>
        <v>847.98940000000005</v>
      </c>
      <c r="N66" s="42">
        <f>N28</f>
        <v>581.41999999999996</v>
      </c>
      <c r="O66" s="52">
        <f t="shared" si="13"/>
        <v>494.20699999999994</v>
      </c>
    </row>
    <row r="67" spans="2:15" x14ac:dyDescent="0.3">
      <c r="B67" s="77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10"/>
        <v>607.50350000000003</v>
      </c>
      <c r="G67" s="42">
        <f>G31</f>
        <v>0</v>
      </c>
      <c r="H67" s="42">
        <f>H30</f>
        <v>739.25</v>
      </c>
      <c r="I67" s="52">
        <f t="shared" si="11"/>
        <v>628.36249999999995</v>
      </c>
      <c r="J67" s="42">
        <f>J31</f>
        <v>0</v>
      </c>
      <c r="K67" s="42">
        <f>K30</f>
        <v>777.07</v>
      </c>
      <c r="L67" s="52">
        <f t="shared" si="12"/>
        <v>660.5095</v>
      </c>
      <c r="M67" s="42">
        <f>M31</f>
        <v>0</v>
      </c>
      <c r="N67" s="42">
        <f>N30</f>
        <v>739.25</v>
      </c>
      <c r="O67" s="52">
        <f t="shared" si="13"/>
        <v>628.36249999999995</v>
      </c>
    </row>
    <row r="68" spans="2:15" x14ac:dyDescent="0.3">
      <c r="B68" s="77"/>
      <c r="C68" s="9" t="str">
        <f>C31</f>
        <v>FONTE 90 BOB</v>
      </c>
      <c r="D68" s="42">
        <f>D32</f>
        <v>493.94940000000003</v>
      </c>
      <c r="E68" s="42">
        <f>E31</f>
        <v>0</v>
      </c>
      <c r="F68" s="52">
        <f t="shared" si="10"/>
        <v>0</v>
      </c>
      <c r="G68" s="42">
        <f>G32</f>
        <v>525.74940000000004</v>
      </c>
      <c r="H68" s="42">
        <f>H31</f>
        <v>0</v>
      </c>
      <c r="I68" s="52">
        <f t="shared" si="11"/>
        <v>0</v>
      </c>
      <c r="J68" s="42">
        <f>J32</f>
        <v>568.14940000000001</v>
      </c>
      <c r="K68" s="42">
        <f>K31</f>
        <v>0</v>
      </c>
      <c r="L68" s="52">
        <f t="shared" si="12"/>
        <v>0</v>
      </c>
      <c r="M68" s="42">
        <f>M32</f>
        <v>525.74940000000004</v>
      </c>
      <c r="N68" s="42">
        <f>N31</f>
        <v>0</v>
      </c>
      <c r="O68" s="52">
        <f t="shared" si="13"/>
        <v>0</v>
      </c>
    </row>
  </sheetData>
  <mergeCells count="12">
    <mergeCell ref="B59:B62"/>
    <mergeCell ref="B64:B68"/>
    <mergeCell ref="C19:O19"/>
    <mergeCell ref="C20:D21"/>
    <mergeCell ref="F20:F21"/>
    <mergeCell ref="I20:I21"/>
    <mergeCell ref="L20:L21"/>
    <mergeCell ref="O20:O21"/>
    <mergeCell ref="C41:D41"/>
    <mergeCell ref="B43:B46"/>
    <mergeCell ref="B48:B51"/>
    <mergeCell ref="B53:B5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34" zoomScale="80" zoomScaleNormal="80" workbookViewId="0">
      <selection activeCell="E56" sqref="E56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94" t="s">
        <v>120</v>
      </c>
      <c r="C18" s="95"/>
      <c r="D18" s="95"/>
      <c r="E18" s="95"/>
      <c r="F18" s="95"/>
      <c r="G18" s="96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3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7" x14ac:dyDescent="0.3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7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3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7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3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3">
      <c r="B42" s="67" t="s">
        <v>121</v>
      </c>
      <c r="C42" s="68"/>
      <c r="D42" s="68"/>
      <c r="E42" s="68"/>
      <c r="F42" s="68"/>
      <c r="G42" s="92"/>
    </row>
    <row r="43" spans="2:7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3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7" x14ac:dyDescent="0.3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7" x14ac:dyDescent="0.3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7" x14ac:dyDescent="0.3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</row>
    <row r="48" spans="2:7" x14ac:dyDescent="0.3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7" x14ac:dyDescent="0.3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7" x14ac:dyDescent="0.3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7" x14ac:dyDescent="0.3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</row>
    <row r="52" spans="2:7" hidden="1" x14ac:dyDescent="0.3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7" x14ac:dyDescent="0.3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7" x14ac:dyDescent="0.3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7" x14ac:dyDescent="0.3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7" x14ac:dyDescent="0.3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7" x14ac:dyDescent="0.3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7" x14ac:dyDescent="0.3">
      <c r="B58" s="9" t="str">
        <f>B34</f>
        <v>FONTE 200 MONO</v>
      </c>
      <c r="C58" s="7">
        <f t="shared" si="15"/>
        <v>665.99099999999999</v>
      </c>
      <c r="D58" s="7">
        <f t="shared" si="16"/>
        <v>692.99099999999999</v>
      </c>
      <c r="E58" s="7">
        <f t="shared" si="17"/>
        <v>731.4905</v>
      </c>
      <c r="F58" s="7">
        <f t="shared" si="18"/>
        <v>769.4905</v>
      </c>
      <c r="G58" s="7">
        <f t="shared" si="19"/>
        <v>740.9905</v>
      </c>
    </row>
    <row r="59" spans="2:7" x14ac:dyDescent="0.3">
      <c r="B59" s="9" t="str">
        <f>B35</f>
        <v>FONTE 200 MONO LITE</v>
      </c>
      <c r="C59" s="7">
        <f t="shared" si="15"/>
        <v>646.01126999999997</v>
      </c>
      <c r="D59" s="7">
        <f t="shared" si="16"/>
        <v>672.20127000000002</v>
      </c>
      <c r="E59" s="7">
        <f t="shared" si="17"/>
        <v>709.54578500000002</v>
      </c>
      <c r="F59" s="7">
        <f t="shared" si="18"/>
        <v>746.40578499999992</v>
      </c>
      <c r="G59" s="7">
        <f t="shared" si="19"/>
        <v>718.76078499999994</v>
      </c>
    </row>
    <row r="60" spans="2:7" x14ac:dyDescent="0.3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7" x14ac:dyDescent="0.3">
      <c r="B61" s="9" t="str">
        <f>B37</f>
        <v>K600</v>
      </c>
      <c r="C61" s="7">
        <f>C60*0.95</f>
        <v>46.939499999999995</v>
      </c>
      <c r="D61" s="7">
        <f t="shared" ref="D61:G61" si="20">D60*0.95</f>
        <v>47.878289999999993</v>
      </c>
      <c r="E61" s="7">
        <f t="shared" si="20"/>
        <v>55.223794499999997</v>
      </c>
      <c r="F61" s="7">
        <f t="shared" si="20"/>
        <v>59.743694999999995</v>
      </c>
      <c r="G61" s="7">
        <f t="shared" si="20"/>
        <v>55.223794499999997</v>
      </c>
    </row>
    <row r="62" spans="2:7" x14ac:dyDescent="0.3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3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D25 G24:G26 C52:G52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5"/>
  <sheetViews>
    <sheetView showGridLines="0" zoomScale="80" zoomScaleNormal="8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16" sqref="B16:L16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1" spans="2:51" ht="9" customHeight="1" x14ac:dyDescent="0.3"/>
    <row r="2" spans="2:51" x14ac:dyDescent="0.3">
      <c r="M2" s="100" t="s">
        <v>14</v>
      </c>
      <c r="N2" s="100"/>
      <c r="O2" s="100"/>
      <c r="P2" s="100"/>
      <c r="Q2" s="100"/>
      <c r="R2" s="100"/>
      <c r="S2" s="100"/>
      <c r="T2" s="100" t="s">
        <v>15</v>
      </c>
      <c r="U2" s="100"/>
      <c r="V2" s="100"/>
      <c r="W2" s="100"/>
      <c r="X2" s="100"/>
      <c r="Y2" s="100"/>
      <c r="Z2" s="100"/>
      <c r="AA2" s="100" t="s">
        <v>16</v>
      </c>
      <c r="AB2" s="100"/>
      <c r="AC2" s="100"/>
      <c r="AD2" s="100"/>
      <c r="AE2" s="100"/>
      <c r="AF2" s="100"/>
      <c r="AG2" s="100"/>
      <c r="AH2" s="100" t="s">
        <v>17</v>
      </c>
      <c r="AI2" s="100"/>
      <c r="AJ2" s="100"/>
      <c r="AK2" s="100"/>
      <c r="AL2" s="100"/>
      <c r="AM2" s="100"/>
      <c r="AN2" s="100"/>
      <c r="AO2" s="100" t="s">
        <v>18</v>
      </c>
      <c r="AP2" s="100"/>
      <c r="AQ2" s="100"/>
      <c r="AR2" s="100"/>
      <c r="AS2" s="100"/>
      <c r="AT2" s="100"/>
      <c r="AU2" s="100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01" t="s">
        <v>126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127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127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127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127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/>
      <c r="AS4" s="2"/>
      <c r="AT4" s="2"/>
      <c r="AU4" s="2"/>
    </row>
    <row r="5" spans="2:51" ht="15" customHeight="1" x14ac:dyDescent="0.3">
      <c r="B5" s="102" t="s">
        <v>4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97" t="s">
        <v>114</v>
      </c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9"/>
      <c r="AR5" s="1"/>
      <c r="AS5" s="1"/>
      <c r="AT5" s="1"/>
      <c r="AU5" s="1"/>
    </row>
    <row r="6" spans="2:51" ht="15" customHeight="1" x14ac:dyDescent="0.3">
      <c r="B6" s="102" t="s">
        <v>118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97" t="s">
        <v>114</v>
      </c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9"/>
      <c r="AR6" s="1"/>
      <c r="AS6" s="1"/>
      <c r="AT6" s="1"/>
      <c r="AU6" s="1"/>
    </row>
    <row r="7" spans="2:51" ht="15" customHeight="1" x14ac:dyDescent="0.3">
      <c r="B7" s="102" t="s">
        <v>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97" t="s">
        <v>114</v>
      </c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9"/>
      <c r="AR7" s="1"/>
      <c r="AS7" s="1"/>
      <c r="AT7" s="1"/>
      <c r="AU7" s="1"/>
    </row>
    <row r="8" spans="2:51" ht="15" customHeight="1" x14ac:dyDescent="0.3">
      <c r="B8" s="102" t="s">
        <v>59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97" t="s">
        <v>114</v>
      </c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9"/>
      <c r="AR8" s="1"/>
      <c r="AS8" s="1"/>
      <c r="AT8" s="1"/>
      <c r="AU8" s="1"/>
    </row>
    <row r="9" spans="2:51" ht="15" customHeight="1" x14ac:dyDescent="0.3">
      <c r="B9" s="102" t="s">
        <v>6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97" t="s">
        <v>114</v>
      </c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9"/>
      <c r="AR9" s="1"/>
      <c r="AS9" s="1"/>
      <c r="AT9" s="1"/>
      <c r="AU9" s="1"/>
    </row>
    <row r="10" spans="2:51" ht="15" customHeight="1" x14ac:dyDescent="0.3">
      <c r="B10" s="102" t="s">
        <v>60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97" t="s">
        <v>114</v>
      </c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9"/>
      <c r="AR10" s="1"/>
      <c r="AS10" s="1"/>
      <c r="AT10" s="1"/>
      <c r="AU10" s="1"/>
    </row>
    <row r="11" spans="2:51" ht="15" customHeight="1" x14ac:dyDescent="0.3">
      <c r="B11" s="102" t="s">
        <v>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97" t="s">
        <v>114</v>
      </c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9"/>
      <c r="AR11" s="1"/>
      <c r="AS11" s="1"/>
      <c r="AT11" s="1"/>
      <c r="AU11" s="1"/>
    </row>
    <row r="12" spans="2:51" ht="15" customHeight="1" x14ac:dyDescent="0.3">
      <c r="B12" s="102" t="s">
        <v>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97" t="s">
        <v>114</v>
      </c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9"/>
      <c r="AR12" s="1"/>
      <c r="AS12" s="1"/>
      <c r="AT12" s="1"/>
      <c r="AU12" s="1"/>
      <c r="AY12" s="20"/>
    </row>
    <row r="13" spans="2:51" ht="15" customHeight="1" x14ac:dyDescent="0.3">
      <c r="B13" s="102" t="s">
        <v>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97" t="s">
        <v>114</v>
      </c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9"/>
      <c r="AR13" s="1"/>
      <c r="AS13" s="1"/>
      <c r="AT13" s="1"/>
      <c r="AU13" s="1"/>
      <c r="AW13" s="20"/>
      <c r="AX13" s="19"/>
      <c r="AY13" s="20"/>
    </row>
    <row r="14" spans="2:51" ht="15" customHeight="1" x14ac:dyDescent="0.3">
      <c r="B14" s="102" t="s">
        <v>61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97" t="s">
        <v>114</v>
      </c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9"/>
      <c r="AR14" s="1"/>
      <c r="AS14" s="1"/>
      <c r="AT14" s="1"/>
      <c r="AU14" s="1"/>
      <c r="AX14" s="19"/>
      <c r="AY14" s="20"/>
    </row>
    <row r="15" spans="2:51" ht="15" customHeight="1" x14ac:dyDescent="0.3">
      <c r="B15" s="102" t="s">
        <v>10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97" t="s">
        <v>114</v>
      </c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9"/>
      <c r="AR15" s="1"/>
      <c r="AS15" s="1"/>
      <c r="AT15" s="1"/>
      <c r="AU15" s="1"/>
      <c r="AX15" s="19"/>
      <c r="AY15" s="20"/>
    </row>
    <row r="16" spans="2:51" ht="15" customHeight="1" x14ac:dyDescent="0.3">
      <c r="B16" s="102" t="s">
        <v>11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97" t="s">
        <v>114</v>
      </c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9"/>
      <c r="AR16" s="1"/>
      <c r="AS16" s="1"/>
      <c r="AT16" s="1"/>
      <c r="AU16" s="1"/>
      <c r="AX16" s="19"/>
      <c r="AY16" s="20"/>
    </row>
    <row r="17" spans="2:51" ht="15" customHeight="1" x14ac:dyDescent="0.3">
      <c r="B17" s="102" t="s">
        <v>62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97" t="s">
        <v>114</v>
      </c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9"/>
      <c r="AR17" s="1"/>
      <c r="AS17" s="1"/>
      <c r="AT17" s="1"/>
      <c r="AU17" s="1"/>
      <c r="AX17" s="19"/>
      <c r="AY17" s="20"/>
    </row>
    <row r="18" spans="2:51" ht="15" customHeight="1" x14ac:dyDescent="0.3">
      <c r="B18" s="102" t="s">
        <v>12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97" t="s">
        <v>114</v>
      </c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9"/>
      <c r="AR18" s="1"/>
      <c r="AS18" s="1"/>
      <c r="AT18" s="1"/>
      <c r="AU18" s="1"/>
    </row>
    <row r="19" spans="2:51" ht="15" customHeight="1" x14ac:dyDescent="0.3">
      <c r="B19" s="102" t="s">
        <v>119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97" t="s">
        <v>114</v>
      </c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9"/>
      <c r="AR19" s="1"/>
      <c r="AS19" s="1"/>
      <c r="AT19" s="1"/>
      <c r="AU19" s="1"/>
    </row>
    <row r="20" spans="2:51" ht="15" customHeight="1" x14ac:dyDescent="0.3">
      <c r="B20" s="102" t="s">
        <v>13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97" t="s">
        <v>114</v>
      </c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9"/>
      <c r="AR20" s="1"/>
      <c r="AS20" s="1"/>
      <c r="AT20" s="1"/>
      <c r="AU20" s="1"/>
    </row>
    <row r="21" spans="2:51" ht="15" customHeight="1" x14ac:dyDescent="0.3">
      <c r="B21" s="102" t="s">
        <v>19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97" t="s">
        <v>114</v>
      </c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9"/>
      <c r="AR21" s="1"/>
      <c r="AS21" s="1"/>
      <c r="AT21" s="1"/>
      <c r="AU21" s="1"/>
    </row>
    <row r="22" spans="2:51" ht="15" customHeight="1" x14ac:dyDescent="0.3">
      <c r="B22" s="102" t="s">
        <v>20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97" t="s">
        <v>114</v>
      </c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9"/>
      <c r="AR22" s="1"/>
      <c r="AS22" s="1"/>
      <c r="AT22" s="1"/>
      <c r="AU22" s="1"/>
    </row>
    <row r="23" spans="2:51" ht="15" customHeight="1" x14ac:dyDescent="0.3">
      <c r="B23" s="102" t="s">
        <v>21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97" t="s">
        <v>114</v>
      </c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9"/>
      <c r="AR23" s="1"/>
      <c r="AS23" s="1"/>
      <c r="AT23" s="1"/>
      <c r="AU23" s="1"/>
    </row>
    <row r="24" spans="2:51" ht="6.75" customHeight="1" x14ac:dyDescent="0.3"/>
    <row r="25" spans="2:51" x14ac:dyDescent="0.3">
      <c r="B25" s="103" t="s">
        <v>98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4" t="s">
        <v>115</v>
      </c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6"/>
      <c r="AQ25" s="1"/>
      <c r="AR25" s="1"/>
      <c r="AS25" s="1"/>
      <c r="AT25" s="1"/>
      <c r="AU25" s="1"/>
    </row>
    <row r="26" spans="2:51" x14ac:dyDescent="0.3">
      <c r="B26" s="103" t="s">
        <v>99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4" t="s">
        <v>115</v>
      </c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6"/>
      <c r="AQ26" s="1"/>
      <c r="AR26" s="1"/>
      <c r="AS26" s="1"/>
      <c r="AT26" s="1"/>
      <c r="AU26" s="1"/>
    </row>
    <row r="27" spans="2:51" x14ac:dyDescent="0.3">
      <c r="B27" s="103" t="s">
        <v>100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4" t="s">
        <v>115</v>
      </c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6"/>
      <c r="AQ27" s="1"/>
      <c r="AR27" s="1"/>
      <c r="AS27" s="1"/>
      <c r="AT27" s="1"/>
      <c r="AU27" s="1"/>
    </row>
    <row r="28" spans="2:51" x14ac:dyDescent="0.3">
      <c r="B28" s="103" t="s">
        <v>101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4" t="s">
        <v>115</v>
      </c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6"/>
      <c r="AQ28" s="1"/>
      <c r="AR28" s="1"/>
      <c r="AS28" s="1"/>
      <c r="AT28" s="1"/>
      <c r="AU28" s="1"/>
    </row>
    <row r="29" spans="2:51" x14ac:dyDescent="0.3">
      <c r="B29" s="103" t="s">
        <v>102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4" t="s">
        <v>115</v>
      </c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6"/>
      <c r="AQ29" s="1"/>
      <c r="AR29" s="1"/>
      <c r="AS29" s="1"/>
      <c r="AT29" s="1"/>
      <c r="AU29" s="1"/>
    </row>
    <row r="30" spans="2:51" x14ac:dyDescent="0.3">
      <c r="B30" s="103" t="s">
        <v>103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4" t="s">
        <v>115</v>
      </c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6"/>
      <c r="AQ30" s="1"/>
      <c r="AR30" s="1"/>
      <c r="AS30" s="1"/>
      <c r="AT30" s="1"/>
      <c r="AU30" s="1"/>
    </row>
    <row r="31" spans="2:51" x14ac:dyDescent="0.3">
      <c r="B31" s="103" t="s">
        <v>104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4" t="s">
        <v>115</v>
      </c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6"/>
      <c r="AQ31" s="1"/>
      <c r="AR31" s="1"/>
      <c r="AS31" s="1"/>
      <c r="AT31" s="1"/>
      <c r="AU31" s="1"/>
    </row>
    <row r="32" spans="2:51" x14ac:dyDescent="0.3">
      <c r="B32" s="103" t="s">
        <v>105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4" t="s">
        <v>115</v>
      </c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6"/>
      <c r="AQ32" s="1"/>
      <c r="AR32" s="1"/>
      <c r="AS32" s="1"/>
      <c r="AT32" s="1"/>
      <c r="AU32" s="1"/>
    </row>
    <row r="33" spans="2:47" x14ac:dyDescent="0.3">
      <c r="B33" s="103" t="s">
        <v>106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4" t="s">
        <v>115</v>
      </c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6"/>
      <c r="AQ33" s="1"/>
      <c r="AR33" s="1"/>
      <c r="AS33" s="1"/>
      <c r="AT33" s="1"/>
      <c r="AU33" s="1"/>
    </row>
    <row r="34" spans="2:47" x14ac:dyDescent="0.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2:47" x14ac:dyDescent="0.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</sheetData>
  <mergeCells count="64">
    <mergeCell ref="M32:AP32"/>
    <mergeCell ref="M33:AP33"/>
    <mergeCell ref="M27:AP27"/>
    <mergeCell ref="M28:AP28"/>
    <mergeCell ref="M29:AP29"/>
    <mergeCell ref="M30:AP30"/>
    <mergeCell ref="M31:AP31"/>
    <mergeCell ref="B33:L33"/>
    <mergeCell ref="B34:L34"/>
    <mergeCell ref="B35:L35"/>
    <mergeCell ref="B27:L27"/>
    <mergeCell ref="B28:L28"/>
    <mergeCell ref="B29:L29"/>
    <mergeCell ref="B30:L30"/>
    <mergeCell ref="B31:L31"/>
    <mergeCell ref="B32:L32"/>
    <mergeCell ref="B26:L26"/>
    <mergeCell ref="M25:AP25"/>
    <mergeCell ref="M26:AP26"/>
    <mergeCell ref="M20:AQ20"/>
    <mergeCell ref="M21:AQ21"/>
    <mergeCell ref="M22:AQ22"/>
    <mergeCell ref="M23:AQ23"/>
    <mergeCell ref="B14:L14"/>
    <mergeCell ref="B15:L15"/>
    <mergeCell ref="B12:L12"/>
    <mergeCell ref="B23:L23"/>
    <mergeCell ref="B25:L25"/>
    <mergeCell ref="B21:L21"/>
    <mergeCell ref="B22:L22"/>
    <mergeCell ref="B18:L18"/>
    <mergeCell ref="B20:L20"/>
    <mergeCell ref="B16:L16"/>
    <mergeCell ref="B17:L17"/>
    <mergeCell ref="B19:L19"/>
    <mergeCell ref="M9:AQ9"/>
    <mergeCell ref="M10:AQ10"/>
    <mergeCell ref="B13:L13"/>
    <mergeCell ref="B10:L10"/>
    <mergeCell ref="B11:L11"/>
    <mergeCell ref="M11:AQ11"/>
    <mergeCell ref="M12:AQ12"/>
    <mergeCell ref="M13:AQ13"/>
    <mergeCell ref="M19:AQ19"/>
    <mergeCell ref="AH2:AN2"/>
    <mergeCell ref="AO2:AU2"/>
    <mergeCell ref="B4:L4"/>
    <mergeCell ref="B5:L5"/>
    <mergeCell ref="B7:L7"/>
    <mergeCell ref="M2:S2"/>
    <mergeCell ref="T2:Z2"/>
    <mergeCell ref="AA2:AG2"/>
    <mergeCell ref="B6:L6"/>
    <mergeCell ref="M5:AQ5"/>
    <mergeCell ref="M6:AQ6"/>
    <mergeCell ref="M7:AQ7"/>
    <mergeCell ref="B8:L8"/>
    <mergeCell ref="B9:L9"/>
    <mergeCell ref="M8:AQ8"/>
    <mergeCell ref="M14:AQ14"/>
    <mergeCell ref="M15:AQ15"/>
    <mergeCell ref="M16:AQ16"/>
    <mergeCell ref="M17:AQ17"/>
    <mergeCell ref="M18:AQ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showGridLines="0" topLeftCell="A17" zoomScale="80" zoomScaleNormal="80" workbookViewId="0">
      <selection activeCell="E17" sqref="E17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customHeight="1" x14ac:dyDescent="0.3"/>
    <row r="2" spans="2:7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3"/>
    <row r="17" spans="2:7" ht="12.75" customHeight="1" x14ac:dyDescent="0.3">
      <c r="B17" s="12" t="s">
        <v>50</v>
      </c>
      <c r="C17" s="13">
        <v>0.02</v>
      </c>
    </row>
    <row r="18" spans="2:7" x14ac:dyDescent="0.3">
      <c r="B18" s="86" t="s">
        <v>85</v>
      </c>
      <c r="C18" s="87"/>
      <c r="D18" s="87"/>
      <c r="E18" s="87"/>
      <c r="F18" s="87"/>
      <c r="G18" s="88"/>
    </row>
    <row r="19" spans="2:7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3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3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3">
      <c r="B22" s="21" t="s">
        <v>53</v>
      </c>
      <c r="C22" s="22">
        <f t="shared" si="1"/>
        <v>345.46</v>
      </c>
      <c r="D22" s="22">
        <f t="shared" si="2"/>
        <v>375.46</v>
      </c>
      <c r="E22" s="22">
        <v>375.46</v>
      </c>
      <c r="F22" s="22">
        <f>E22+30</f>
        <v>405.46</v>
      </c>
      <c r="G22" s="22">
        <f>E22</f>
        <v>375.46</v>
      </c>
    </row>
    <row r="23" spans="2:7" x14ac:dyDescent="0.3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3">
      <c r="B24" s="21" t="s">
        <v>54</v>
      </c>
      <c r="C24" s="22">
        <f t="shared" si="1"/>
        <v>382.18</v>
      </c>
      <c r="D24" s="22">
        <f t="shared" si="2"/>
        <v>412.18</v>
      </c>
      <c r="E24" s="22">
        <v>412.18</v>
      </c>
      <c r="F24" s="22">
        <f>E24+30</f>
        <v>442.18</v>
      </c>
      <c r="G24" s="22">
        <f>E24</f>
        <v>412.18</v>
      </c>
    </row>
    <row r="25" spans="2:7" x14ac:dyDescent="0.3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3">
      <c r="B26" s="21" t="s">
        <v>55</v>
      </c>
      <c r="C26" s="22">
        <f t="shared" si="1"/>
        <v>519.88</v>
      </c>
      <c r="D26" s="22">
        <f t="shared" si="2"/>
        <v>549.88</v>
      </c>
      <c r="E26" s="22">
        <v>549.88</v>
      </c>
      <c r="F26" s="22">
        <f>E26+50</f>
        <v>599.88</v>
      </c>
      <c r="G26" s="22">
        <f>E26</f>
        <v>549.88</v>
      </c>
    </row>
    <row r="27" spans="2:7" x14ac:dyDescent="0.3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3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3">
      <c r="B29" s="21" t="s">
        <v>56</v>
      </c>
      <c r="C29" s="22">
        <f t="shared" si="4"/>
        <v>675.94</v>
      </c>
      <c r="D29" s="22">
        <f t="shared" si="5"/>
        <v>705.94</v>
      </c>
      <c r="E29" s="22">
        <v>705.94</v>
      </c>
      <c r="F29" s="22">
        <f>E29+40</f>
        <v>745.94</v>
      </c>
      <c r="G29" s="22">
        <f>E29</f>
        <v>705.94</v>
      </c>
    </row>
    <row r="30" spans="2:7" x14ac:dyDescent="0.3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3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3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3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3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3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3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3">
      <c r="B38" s="12" t="s">
        <v>51</v>
      </c>
      <c r="C38" s="13">
        <v>0.1</v>
      </c>
    </row>
    <row r="39" spans="2:7" x14ac:dyDescent="0.3">
      <c r="B39" s="86" t="s">
        <v>86</v>
      </c>
      <c r="C39" s="87"/>
      <c r="D39" s="87"/>
      <c r="E39" s="87"/>
      <c r="F39" s="87"/>
      <c r="G39" s="88"/>
    </row>
    <row r="40" spans="2:7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3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3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3">
      <c r="B43" s="9" t="s">
        <v>53</v>
      </c>
      <c r="C43" s="7">
        <f t="shared" si="11"/>
        <v>310.91399999999999</v>
      </c>
      <c r="D43" s="7">
        <f t="shared" si="12"/>
        <v>337.91399999999999</v>
      </c>
      <c r="E43" s="7">
        <f t="shared" si="13"/>
        <v>337.91399999999999</v>
      </c>
      <c r="F43" s="7">
        <f t="shared" si="14"/>
        <v>364.91399999999999</v>
      </c>
      <c r="G43" s="7">
        <f t="shared" si="15"/>
        <v>337.91399999999999</v>
      </c>
    </row>
    <row r="44" spans="2:7" x14ac:dyDescent="0.3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3">
      <c r="B45" s="9" t="s">
        <v>54</v>
      </c>
      <c r="C45" s="7">
        <f t="shared" si="11"/>
        <v>343.96199999999999</v>
      </c>
      <c r="D45" s="7">
        <f t="shared" si="12"/>
        <v>370.96199999999999</v>
      </c>
      <c r="E45" s="7">
        <f t="shared" si="13"/>
        <v>370.96199999999999</v>
      </c>
      <c r="F45" s="7">
        <f t="shared" si="14"/>
        <v>397.96199999999999</v>
      </c>
      <c r="G45" s="7">
        <f t="shared" si="15"/>
        <v>370.96199999999999</v>
      </c>
    </row>
    <row r="46" spans="2:7" x14ac:dyDescent="0.3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3">
      <c r="B47" s="9" t="s">
        <v>55</v>
      </c>
      <c r="C47" s="7">
        <f t="shared" si="11"/>
        <v>467.892</v>
      </c>
      <c r="D47" s="7">
        <f t="shared" si="12"/>
        <v>494.892</v>
      </c>
      <c r="E47" s="7">
        <f t="shared" si="13"/>
        <v>494.892</v>
      </c>
      <c r="F47" s="7">
        <f t="shared" si="14"/>
        <v>539.89200000000005</v>
      </c>
      <c r="G47" s="7">
        <f t="shared" si="15"/>
        <v>494.892</v>
      </c>
    </row>
    <row r="48" spans="2:7" x14ac:dyDescent="0.3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3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3">
      <c r="B50" s="9" t="s">
        <v>56</v>
      </c>
      <c r="C50" s="7">
        <f t="shared" si="11"/>
        <v>608.34600000000012</v>
      </c>
      <c r="D50" s="7">
        <f t="shared" si="12"/>
        <v>635.34600000000012</v>
      </c>
      <c r="E50" s="7">
        <f t="shared" si="13"/>
        <v>635.34600000000012</v>
      </c>
      <c r="F50" s="7">
        <f t="shared" si="14"/>
        <v>671.34600000000012</v>
      </c>
      <c r="G50" s="7">
        <f t="shared" si="15"/>
        <v>635.34600000000012</v>
      </c>
    </row>
    <row r="51" spans="2:7" x14ac:dyDescent="0.3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3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3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3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3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3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showGridLines="0" topLeftCell="A18" zoomScale="80" zoomScaleNormal="80" workbookViewId="0">
      <selection activeCell="E22" sqref="E22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customHeight="1" x14ac:dyDescent="0.3"/>
    <row r="2" spans="2:7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3"/>
    <row r="17" spans="2:7" ht="12.75" customHeight="1" x14ac:dyDescent="0.3">
      <c r="B17" s="12" t="s">
        <v>50</v>
      </c>
      <c r="C17" s="13">
        <v>0.02</v>
      </c>
    </row>
    <row r="18" spans="2:7" x14ac:dyDescent="0.3">
      <c r="B18" s="86" t="s">
        <v>77</v>
      </c>
      <c r="C18" s="87"/>
      <c r="D18" s="87"/>
      <c r="E18" s="87"/>
      <c r="F18" s="87"/>
      <c r="G18" s="88"/>
    </row>
    <row r="19" spans="2:7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3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3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3">
      <c r="B22" s="21" t="s">
        <v>53</v>
      </c>
      <c r="C22" s="22">
        <f t="shared" si="1"/>
        <v>399.99</v>
      </c>
      <c r="D22" s="22">
        <f t="shared" si="2"/>
        <v>429.99</v>
      </c>
      <c r="E22" s="22">
        <v>429.99</v>
      </c>
      <c r="F22" s="22">
        <v>459.99</v>
      </c>
      <c r="G22" s="22">
        <v>439.99</v>
      </c>
    </row>
    <row r="23" spans="2:7" x14ac:dyDescent="0.3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3">
      <c r="B24" s="21" t="s">
        <v>54</v>
      </c>
      <c r="C24" s="22">
        <f t="shared" si="1"/>
        <v>430.59</v>
      </c>
      <c r="D24" s="22">
        <f t="shared" si="2"/>
        <v>460.59</v>
      </c>
      <c r="E24" s="22">
        <v>460.59</v>
      </c>
      <c r="F24" s="22">
        <v>488.79</v>
      </c>
      <c r="G24" s="22">
        <f>E24+10</f>
        <v>470.59</v>
      </c>
    </row>
    <row r="25" spans="2:7" x14ac:dyDescent="0.3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3">
      <c r="B26" s="21" t="s">
        <v>55</v>
      </c>
      <c r="C26" s="22">
        <f t="shared" si="1"/>
        <v>569.99</v>
      </c>
      <c r="D26" s="22">
        <f t="shared" si="2"/>
        <v>599.99</v>
      </c>
      <c r="E26" s="22">
        <v>599.99</v>
      </c>
      <c r="F26" s="22">
        <v>649.79</v>
      </c>
      <c r="G26" s="22">
        <f>E26+10</f>
        <v>609.99</v>
      </c>
    </row>
    <row r="27" spans="2:7" x14ac:dyDescent="0.3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3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3">
      <c r="B29" s="21" t="s">
        <v>56</v>
      </c>
      <c r="C29" s="22">
        <f t="shared" si="4"/>
        <v>737.99</v>
      </c>
      <c r="D29" s="22">
        <f t="shared" si="5"/>
        <v>767.99</v>
      </c>
      <c r="E29" s="22">
        <v>767.99</v>
      </c>
      <c r="F29" s="22">
        <v>806.39</v>
      </c>
      <c r="G29" s="22">
        <f t="shared" si="6"/>
        <v>777.99</v>
      </c>
    </row>
    <row r="30" spans="2:7" x14ac:dyDescent="0.3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3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3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3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3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3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3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3">
      <c r="B38" s="12" t="s">
        <v>51</v>
      </c>
      <c r="C38" s="13">
        <v>0.1</v>
      </c>
    </row>
    <row r="39" spans="2:7" x14ac:dyDescent="0.3">
      <c r="B39" s="86" t="s">
        <v>78</v>
      </c>
      <c r="C39" s="87"/>
      <c r="D39" s="87"/>
      <c r="E39" s="87"/>
      <c r="F39" s="87"/>
      <c r="G39" s="88"/>
    </row>
    <row r="40" spans="2:7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3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3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3">
      <c r="B43" s="9" t="s">
        <v>53</v>
      </c>
      <c r="C43" s="7">
        <f t="shared" si="11"/>
        <v>359.99100000000004</v>
      </c>
      <c r="D43" s="7">
        <f t="shared" si="12"/>
        <v>386.99100000000004</v>
      </c>
      <c r="E43" s="7">
        <f t="shared" si="13"/>
        <v>386.99100000000004</v>
      </c>
      <c r="F43" s="7">
        <f t="shared" si="14"/>
        <v>413.99100000000004</v>
      </c>
      <c r="G43" s="7">
        <f t="shared" si="15"/>
        <v>395.99100000000004</v>
      </c>
    </row>
    <row r="44" spans="2:7" x14ac:dyDescent="0.3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3">
      <c r="B45" s="9" t="s">
        <v>54</v>
      </c>
      <c r="C45" s="7">
        <f t="shared" si="11"/>
        <v>387.53100000000001</v>
      </c>
      <c r="D45" s="7">
        <f t="shared" si="12"/>
        <v>414.53100000000001</v>
      </c>
      <c r="E45" s="7">
        <f t="shared" si="13"/>
        <v>414.53100000000001</v>
      </c>
      <c r="F45" s="7">
        <f t="shared" si="14"/>
        <v>439.911</v>
      </c>
      <c r="G45" s="7">
        <f t="shared" si="15"/>
        <v>423.53100000000001</v>
      </c>
    </row>
    <row r="46" spans="2:7" x14ac:dyDescent="0.3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3">
      <c r="B47" s="9" t="s">
        <v>55</v>
      </c>
      <c r="C47" s="7">
        <f t="shared" si="11"/>
        <v>512.99099999999999</v>
      </c>
      <c r="D47" s="7">
        <f t="shared" si="12"/>
        <v>539.99099999999999</v>
      </c>
      <c r="E47" s="7">
        <f t="shared" si="13"/>
        <v>539.99099999999999</v>
      </c>
      <c r="F47" s="7">
        <f t="shared" si="14"/>
        <v>584.81100000000004</v>
      </c>
      <c r="G47" s="7">
        <f t="shared" si="15"/>
        <v>548.99099999999999</v>
      </c>
    </row>
    <row r="48" spans="2:7" x14ac:dyDescent="0.3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3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3">
      <c r="B50" s="9" t="s">
        <v>56</v>
      </c>
      <c r="C50" s="7">
        <f t="shared" si="11"/>
        <v>664.19100000000003</v>
      </c>
      <c r="D50" s="7">
        <f t="shared" si="12"/>
        <v>691.19100000000003</v>
      </c>
      <c r="E50" s="7">
        <f t="shared" si="13"/>
        <v>691.19100000000003</v>
      </c>
      <c r="F50" s="7">
        <f t="shared" si="14"/>
        <v>725.75099999999998</v>
      </c>
      <c r="G50" s="7">
        <f t="shared" si="15"/>
        <v>700.19100000000003</v>
      </c>
    </row>
    <row r="51" spans="2:7" x14ac:dyDescent="0.3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3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3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3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3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3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showGridLines="0" topLeftCell="A19" zoomScale="80" zoomScaleNormal="80" workbookViewId="0">
      <selection activeCell="E29" sqref="E29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10" width="11.6640625" customWidth="1"/>
    <col min="11" max="11" width="3" customWidth="1"/>
    <col min="12" max="13" width="11.88671875" customWidth="1"/>
  </cols>
  <sheetData>
    <row r="1" spans="2:14" ht="4.5" customHeight="1" x14ac:dyDescent="0.3"/>
    <row r="2" spans="2:14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14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5"/>
      <c r="K9" s="10"/>
      <c r="L9" s="10"/>
      <c r="M9" s="10"/>
      <c r="N9" s="10"/>
    </row>
    <row r="10" spans="2:14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14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14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14" ht="6" customHeight="1" x14ac:dyDescent="0.3"/>
    <row r="17" spans="2:15" ht="12.75" customHeight="1" x14ac:dyDescent="0.3">
      <c r="B17" s="12" t="s">
        <v>50</v>
      </c>
      <c r="C17" s="13">
        <v>0.02</v>
      </c>
    </row>
    <row r="18" spans="2:15" x14ac:dyDescent="0.3">
      <c r="B18" s="86" t="s">
        <v>71</v>
      </c>
      <c r="C18" s="87"/>
      <c r="D18" s="87"/>
      <c r="E18" s="87"/>
      <c r="F18" s="87"/>
      <c r="G18" s="88"/>
      <c r="I18" s="107" t="s">
        <v>75</v>
      </c>
      <c r="J18" s="107"/>
      <c r="K18" s="25"/>
      <c r="L18" s="107" t="s">
        <v>76</v>
      </c>
      <c r="M18" s="107"/>
    </row>
    <row r="19" spans="2:15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I19" s="8" t="s">
        <v>73</v>
      </c>
      <c r="J19" s="8" t="s">
        <v>74</v>
      </c>
      <c r="L19" s="8" t="s">
        <v>73</v>
      </c>
      <c r="M19" s="8" t="s">
        <v>74</v>
      </c>
    </row>
    <row r="20" spans="2:15" x14ac:dyDescent="0.3">
      <c r="B20" s="9" t="s">
        <v>28</v>
      </c>
      <c r="C20" s="7">
        <f>C3*(1+C$17)</f>
        <v>345.78000000000003</v>
      </c>
      <c r="D20" s="7">
        <f>D3*(1+C$17)</f>
        <v>376.38</v>
      </c>
      <c r="E20" s="7">
        <f>E3*(1+C$17)</f>
        <v>376.38</v>
      </c>
      <c r="F20" s="7">
        <f>F3*(1+C$17)</f>
        <v>396.78000000000003</v>
      </c>
      <c r="G20" s="7">
        <f>G3*(1+C$17)</f>
        <v>386.58</v>
      </c>
      <c r="I20" s="24">
        <v>0.03</v>
      </c>
      <c r="J20" s="24">
        <v>0.01</v>
      </c>
      <c r="L20" s="24">
        <v>0.06</v>
      </c>
      <c r="M20" s="24">
        <v>0.05</v>
      </c>
    </row>
    <row r="21" spans="2:15" x14ac:dyDescent="0.3">
      <c r="B21" s="9" t="s">
        <v>29</v>
      </c>
      <c r="C21" s="7">
        <f>C4*(1+C$17)</f>
        <v>386.58</v>
      </c>
      <c r="D21" s="7">
        <f>D4*(1+C$17)</f>
        <v>417.18</v>
      </c>
      <c r="E21" s="7">
        <f>E4*(1+C$17)</f>
        <v>417.18</v>
      </c>
      <c r="F21" s="7">
        <f>F4*(1+C$17)</f>
        <v>437.58</v>
      </c>
      <c r="G21" s="7">
        <f>G4*(1+C$17)</f>
        <v>427.38</v>
      </c>
      <c r="I21" s="24">
        <v>0.04</v>
      </c>
      <c r="J21" s="24">
        <v>0.02</v>
      </c>
      <c r="L21" s="24">
        <v>0.05</v>
      </c>
      <c r="M21" s="24">
        <v>0.03</v>
      </c>
    </row>
    <row r="22" spans="2:15" x14ac:dyDescent="0.3">
      <c r="B22" s="21" t="s">
        <v>53</v>
      </c>
      <c r="C22" s="22">
        <f>C21*0.9</f>
        <v>347.92199999999997</v>
      </c>
      <c r="D22" s="22">
        <f t="shared" ref="D22:G22" si="1">D21*0.9</f>
        <v>375.46199999999999</v>
      </c>
      <c r="E22" s="22">
        <f t="shared" si="1"/>
        <v>375.46199999999999</v>
      </c>
      <c r="F22" s="22">
        <f t="shared" si="1"/>
        <v>393.822</v>
      </c>
      <c r="G22" s="22">
        <f t="shared" si="1"/>
        <v>384.642</v>
      </c>
      <c r="I22" s="24">
        <v>0.03</v>
      </c>
      <c r="J22" s="24">
        <v>0.01</v>
      </c>
      <c r="L22" s="24">
        <v>0.04</v>
      </c>
      <c r="M22" s="24">
        <v>0.03</v>
      </c>
    </row>
    <row r="23" spans="2:15" x14ac:dyDescent="0.3">
      <c r="B23" s="9" t="s">
        <v>30</v>
      </c>
      <c r="C23" s="7">
        <f>C5*(1+C$17)</f>
        <v>406.98</v>
      </c>
      <c r="D23" s="7">
        <f>D5*(1+C$17)</f>
        <v>457.98</v>
      </c>
      <c r="E23" s="7">
        <f>E5*(1+C$17)</f>
        <v>457.98</v>
      </c>
      <c r="F23" s="7">
        <f>F5*(1+C$17)</f>
        <v>483.48</v>
      </c>
      <c r="G23" s="7">
        <f>G5*(1+C$17)</f>
        <v>468.18</v>
      </c>
      <c r="I23" s="24">
        <v>0.04</v>
      </c>
      <c r="J23" s="24">
        <v>0.03</v>
      </c>
      <c r="L23" s="24">
        <v>0.05</v>
      </c>
      <c r="M23" s="24">
        <v>0.04</v>
      </c>
    </row>
    <row r="24" spans="2:15" x14ac:dyDescent="0.3">
      <c r="B24" s="21" t="s">
        <v>54</v>
      </c>
      <c r="C24" s="22">
        <f>C23*0.9</f>
        <v>366.28200000000004</v>
      </c>
      <c r="D24" s="22">
        <f t="shared" ref="D24" si="2">D23*0.9</f>
        <v>412.18200000000002</v>
      </c>
      <c r="E24" s="22">
        <f t="shared" ref="E24" si="3">E23*0.9</f>
        <v>412.18200000000002</v>
      </c>
      <c r="F24" s="22">
        <f t="shared" ref="F24" si="4">F23*0.9</f>
        <v>435.13200000000001</v>
      </c>
      <c r="G24" s="22">
        <f t="shared" ref="G24" si="5">G23*0.9</f>
        <v>421.36200000000002</v>
      </c>
      <c r="I24" s="24">
        <v>0.02</v>
      </c>
      <c r="J24" s="24">
        <v>0.05</v>
      </c>
      <c r="L24" s="24">
        <v>0.05</v>
      </c>
      <c r="M24" s="24">
        <v>0.04</v>
      </c>
    </row>
    <row r="25" spans="2:15" x14ac:dyDescent="0.3">
      <c r="B25" s="9" t="s">
        <v>31</v>
      </c>
      <c r="C25" s="7">
        <f>C6*(1+C$17)</f>
        <v>559.98</v>
      </c>
      <c r="D25" s="7">
        <f>D6*(1+C$17)</f>
        <v>621.18000000000006</v>
      </c>
      <c r="E25" s="7">
        <f>E6*(1+C$17)</f>
        <v>610.98</v>
      </c>
      <c r="F25" s="7">
        <f>F6*(1+C$17)</f>
        <v>641.58000000000004</v>
      </c>
      <c r="G25" s="7">
        <f>G6*(1+C$17)</f>
        <v>621.18000000000006</v>
      </c>
      <c r="I25" s="24">
        <v>0.05</v>
      </c>
      <c r="J25" s="24">
        <v>0.04</v>
      </c>
      <c r="L25" s="24">
        <v>7.0000000000000007E-2</v>
      </c>
      <c r="M25" s="24">
        <v>0.06</v>
      </c>
    </row>
    <row r="26" spans="2:15" x14ac:dyDescent="0.3">
      <c r="B26" s="21" t="s">
        <v>55</v>
      </c>
      <c r="C26" s="22">
        <f>C25*0.9</f>
        <v>503.98200000000003</v>
      </c>
      <c r="D26" s="22">
        <f t="shared" ref="D26" si="6">D25*0.9</f>
        <v>559.06200000000013</v>
      </c>
      <c r="E26" s="22">
        <f t="shared" ref="E26" si="7">E25*0.9</f>
        <v>549.88200000000006</v>
      </c>
      <c r="F26" s="22">
        <f t="shared" ref="F26" si="8">F25*0.9</f>
        <v>577.42200000000003</v>
      </c>
      <c r="G26" s="22">
        <f t="shared" ref="G26" si="9">G25*0.9</f>
        <v>559.06200000000013</v>
      </c>
      <c r="I26" s="24">
        <v>0.05</v>
      </c>
      <c r="J26" s="24">
        <v>0.03</v>
      </c>
      <c r="L26" s="24">
        <v>0.05</v>
      </c>
      <c r="M26" s="24">
        <v>0.03</v>
      </c>
    </row>
    <row r="27" spans="2:15" x14ac:dyDescent="0.3">
      <c r="B27" s="9" t="s">
        <v>32</v>
      </c>
      <c r="C27" s="7">
        <f>C7*(1+C$17)</f>
        <v>641.58000000000004</v>
      </c>
      <c r="D27" s="7">
        <f>D7*(1+C$17)</f>
        <v>702.78</v>
      </c>
      <c r="E27" s="7">
        <f>E7*(1+C$17)</f>
        <v>692.58</v>
      </c>
      <c r="F27" s="7">
        <f>F7*(1+C$17)</f>
        <v>733.38</v>
      </c>
      <c r="G27" s="7">
        <f>G7*(1+C$17)</f>
        <v>723.18000000000006</v>
      </c>
      <c r="I27" s="24">
        <v>0.06</v>
      </c>
      <c r="J27" s="24">
        <v>0</v>
      </c>
      <c r="L27" s="24">
        <v>7.0000000000000007E-2</v>
      </c>
      <c r="M27" s="24">
        <v>0.02</v>
      </c>
    </row>
    <row r="28" spans="2:15" x14ac:dyDescent="0.3">
      <c r="B28" s="9" t="s">
        <v>33</v>
      </c>
      <c r="C28" s="7">
        <f>C8*(1+C$17)</f>
        <v>743.58</v>
      </c>
      <c r="D28" s="7">
        <f>D8*(1+C$17)</f>
        <v>794.58</v>
      </c>
      <c r="E28" s="7">
        <f>E8*(1+C$17)</f>
        <v>784.38</v>
      </c>
      <c r="F28" s="7">
        <f>F8*(1+C$17)</f>
        <v>835.38</v>
      </c>
      <c r="G28" s="7">
        <f>G8*(1+C$17)</f>
        <v>814.98</v>
      </c>
      <c r="I28" s="24">
        <v>0.05</v>
      </c>
      <c r="J28" s="24">
        <v>0.04</v>
      </c>
      <c r="L28" s="24">
        <v>0.05</v>
      </c>
      <c r="M28" s="24">
        <v>0.05</v>
      </c>
      <c r="O28" s="26"/>
    </row>
    <row r="29" spans="2:15" x14ac:dyDescent="0.3">
      <c r="B29" s="21" t="s">
        <v>56</v>
      </c>
      <c r="C29" s="22">
        <f>C28*0.9</f>
        <v>669.22200000000009</v>
      </c>
      <c r="D29" s="22">
        <f t="shared" ref="D29" si="10">D28*0.9</f>
        <v>715.12200000000007</v>
      </c>
      <c r="E29" s="22">
        <f t="shared" ref="E29" si="11">E28*0.9</f>
        <v>705.94200000000001</v>
      </c>
      <c r="F29" s="22">
        <f t="shared" ref="F29" si="12">F28*0.9</f>
        <v>751.84199999999998</v>
      </c>
      <c r="G29" s="22">
        <f t="shared" ref="G29" si="13">G28*0.9</f>
        <v>733.48200000000008</v>
      </c>
      <c r="I29" s="24">
        <v>0.04</v>
      </c>
      <c r="J29" s="24">
        <v>0.04</v>
      </c>
      <c r="L29" s="24">
        <v>0.05</v>
      </c>
      <c r="M29" s="24">
        <v>0.04</v>
      </c>
      <c r="O29" s="27"/>
    </row>
    <row r="30" spans="2:15" x14ac:dyDescent="0.3">
      <c r="B30" s="9" t="str">
        <f>B9</f>
        <v>FONTE 90 BOB</v>
      </c>
      <c r="C30" s="7">
        <f>386.58*0.95</f>
        <v>367.25099999999998</v>
      </c>
      <c r="D30" s="7">
        <f>0.95*417.18</f>
        <v>396.32099999999997</v>
      </c>
      <c r="E30" s="7">
        <f>0.95*417.18</f>
        <v>396.32099999999997</v>
      </c>
      <c r="F30" s="7">
        <f>0.95*437.58</f>
        <v>415.70099999999996</v>
      </c>
      <c r="G30" s="7">
        <f>0.95*427.38</f>
        <v>406.01099999999997</v>
      </c>
      <c r="I30" s="24">
        <v>0.03</v>
      </c>
      <c r="J30" s="24">
        <v>0.01</v>
      </c>
      <c r="L30" s="24">
        <v>0.05</v>
      </c>
      <c r="M30" s="24">
        <v>0.03</v>
      </c>
    </row>
    <row r="31" spans="2:15" x14ac:dyDescent="0.3">
      <c r="B31" s="9" t="s">
        <v>35</v>
      </c>
      <c r="C31" s="7">
        <f>0.95*447.78</f>
        <v>425.39099999999996</v>
      </c>
      <c r="D31" s="7">
        <f>0.95*498.78</f>
        <v>473.84099999999995</v>
      </c>
      <c r="E31" s="7">
        <f>0.95*488.58</f>
        <v>464.15099999999995</v>
      </c>
      <c r="F31" s="7">
        <f>0.95*519.18</f>
        <v>493.22099999999995</v>
      </c>
      <c r="G31" s="7">
        <f>0.95*508.98</f>
        <v>483.53100000000001</v>
      </c>
      <c r="I31" s="24">
        <v>-0.02</v>
      </c>
      <c r="J31" s="24">
        <v>-0.02</v>
      </c>
      <c r="L31" s="24">
        <v>0.05</v>
      </c>
      <c r="M31" s="24">
        <v>0.05</v>
      </c>
    </row>
    <row r="32" spans="2:15" x14ac:dyDescent="0.3">
      <c r="B32" s="9" t="s">
        <v>34</v>
      </c>
      <c r="C32" s="7">
        <f>0.95*559.98</f>
        <v>531.98099999999999</v>
      </c>
      <c r="D32" s="7">
        <f>0.95*610.98</f>
        <v>580.43100000000004</v>
      </c>
      <c r="E32" s="7">
        <f>0.95*610.98</f>
        <v>580.43100000000004</v>
      </c>
      <c r="F32" s="7">
        <f>0.95*651.78</f>
        <v>619.19099999999992</v>
      </c>
      <c r="G32" s="7">
        <f>0.95*621.18</f>
        <v>590.12099999999998</v>
      </c>
      <c r="I32" s="24">
        <v>-0.01</v>
      </c>
      <c r="J32" s="24">
        <v>-0.01</v>
      </c>
      <c r="L32" s="24">
        <v>0.06</v>
      </c>
      <c r="M32" s="24">
        <v>0.06</v>
      </c>
    </row>
    <row r="33" spans="2:13" x14ac:dyDescent="0.3">
      <c r="B33" s="9" t="str">
        <f>B12</f>
        <v>FONTE 200 MONO</v>
      </c>
      <c r="C33" s="7">
        <f>C12*(1+C$17)</f>
        <v>705.84</v>
      </c>
      <c r="D33" s="7">
        <f t="shared" ref="D33:D36" si="14">D12*(1+C$17)</f>
        <v>754.80000000000007</v>
      </c>
      <c r="E33" s="7">
        <f t="shared" ref="E33:E35" si="15">E12*(1+C$17)</f>
        <v>744.6</v>
      </c>
      <c r="F33" s="7">
        <f t="shared" ref="F33:F35" si="16">F12*(1+C$17)</f>
        <v>793.56000000000006</v>
      </c>
      <c r="G33" s="7">
        <f t="shared" ref="G33:G36" si="17">G12*(1+C$17)</f>
        <v>774.18000000000006</v>
      </c>
      <c r="I33" s="24">
        <v>0.04</v>
      </c>
      <c r="J33" s="24">
        <v>0.04</v>
      </c>
      <c r="L33" s="24">
        <v>0.06</v>
      </c>
      <c r="M33" s="24">
        <v>0.06</v>
      </c>
    </row>
    <row r="34" spans="2:13" x14ac:dyDescent="0.3">
      <c r="B34" s="9" t="s">
        <v>37</v>
      </c>
      <c r="C34" s="7">
        <f>'POLÍTICA COMERCIAL 2023'!C32</f>
        <v>54.9</v>
      </c>
      <c r="D34" s="7">
        <f t="shared" si="14"/>
        <v>55.997999999999998</v>
      </c>
      <c r="E34" s="7">
        <f t="shared" si="15"/>
        <v>61.189800000000005</v>
      </c>
      <c r="F34" s="7">
        <f t="shared" si="16"/>
        <v>66.198000000000008</v>
      </c>
      <c r="G34" s="7">
        <f t="shared" si="17"/>
        <v>61.189800000000005</v>
      </c>
      <c r="I34" s="24"/>
      <c r="J34" s="24"/>
      <c r="L34" s="24"/>
      <c r="M34" s="24"/>
    </row>
    <row r="35" spans="2:13" x14ac:dyDescent="0.3">
      <c r="B35" s="9" t="s">
        <v>38</v>
      </c>
      <c r="C35" s="7">
        <f>'POLÍTICA COMERCIAL 2023'!C33</f>
        <v>79</v>
      </c>
      <c r="D35" s="7">
        <f t="shared" si="14"/>
        <v>80.58</v>
      </c>
      <c r="E35" s="7">
        <f t="shared" si="15"/>
        <v>90.78</v>
      </c>
      <c r="F35" s="7">
        <f t="shared" si="16"/>
        <v>100.98</v>
      </c>
      <c r="G35" s="7">
        <f t="shared" si="17"/>
        <v>90.78</v>
      </c>
      <c r="I35" s="24"/>
      <c r="J35" s="24"/>
      <c r="L35" s="24"/>
      <c r="M35" s="24"/>
    </row>
    <row r="36" spans="2:13" x14ac:dyDescent="0.3">
      <c r="B36" s="9" t="s">
        <v>39</v>
      </c>
      <c r="C36" s="7">
        <f>'POLÍTICA COMERCIAL 2023'!C34</f>
        <v>69</v>
      </c>
      <c r="D36" s="7">
        <f t="shared" si="14"/>
        <v>70.38</v>
      </c>
      <c r="E36" s="7">
        <v>78.900000000000006</v>
      </c>
      <c r="F36" s="7">
        <v>87.9</v>
      </c>
      <c r="G36" s="7">
        <f t="shared" si="17"/>
        <v>80.58</v>
      </c>
      <c r="I36" s="24"/>
      <c r="J36" s="24"/>
      <c r="L36" s="24"/>
      <c r="M36" s="24"/>
    </row>
    <row r="38" spans="2:13" x14ac:dyDescent="0.3">
      <c r="B38" s="12" t="s">
        <v>51</v>
      </c>
      <c r="C38" s="13">
        <v>0.1</v>
      </c>
    </row>
    <row r="39" spans="2:13" x14ac:dyDescent="0.3">
      <c r="B39" s="86" t="s">
        <v>72</v>
      </c>
      <c r="C39" s="87"/>
      <c r="D39" s="87"/>
      <c r="E39" s="87"/>
      <c r="F39" s="87"/>
      <c r="G39" s="88"/>
      <c r="I39" s="107" t="s">
        <v>75</v>
      </c>
      <c r="J39" s="107"/>
      <c r="K39" s="25"/>
      <c r="L39" s="107" t="s">
        <v>76</v>
      </c>
      <c r="M39" s="107"/>
    </row>
    <row r="40" spans="2:13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I40" s="8" t="s">
        <v>73</v>
      </c>
      <c r="J40" s="8" t="s">
        <v>74</v>
      </c>
      <c r="L40" s="8" t="s">
        <v>73</v>
      </c>
      <c r="M40" s="8" t="s">
        <v>74</v>
      </c>
    </row>
    <row r="41" spans="2:13" x14ac:dyDescent="0.3">
      <c r="B41" s="9" t="s">
        <v>28</v>
      </c>
      <c r="C41" s="7">
        <f t="shared" ref="C41:C51" si="18">C20*(1-C$38)</f>
        <v>311.20200000000006</v>
      </c>
      <c r="D41" s="7">
        <f t="shared" ref="D41:D49" si="19">D20*(1-C$38)</f>
        <v>338.74200000000002</v>
      </c>
      <c r="E41" s="7">
        <f t="shared" ref="E41:E50" si="20">E20*(1-C$38)</f>
        <v>338.74200000000002</v>
      </c>
      <c r="F41" s="7">
        <f t="shared" ref="F41:F50" si="21">F20*(1-C$38)</f>
        <v>357.10200000000003</v>
      </c>
      <c r="G41" s="7">
        <f t="shared" ref="G41:G50" si="22">G20*(1-C$38)</f>
        <v>347.92199999999997</v>
      </c>
      <c r="I41" s="24">
        <f>I20-7%</f>
        <v>-4.0000000000000008E-2</v>
      </c>
      <c r="J41" s="24">
        <f>J20-7%</f>
        <v>-6.0000000000000005E-2</v>
      </c>
      <c r="L41" s="24">
        <f>L20-7%</f>
        <v>-1.0000000000000009E-2</v>
      </c>
      <c r="M41" s="24">
        <f>M20-7%</f>
        <v>-2.0000000000000004E-2</v>
      </c>
    </row>
    <row r="42" spans="2:13" x14ac:dyDescent="0.3">
      <c r="B42" s="9" t="s">
        <v>29</v>
      </c>
      <c r="C42" s="7">
        <f t="shared" si="18"/>
        <v>347.92199999999997</v>
      </c>
      <c r="D42" s="7">
        <f t="shared" si="19"/>
        <v>375.46199999999999</v>
      </c>
      <c r="E42" s="7">
        <f t="shared" si="20"/>
        <v>375.46199999999999</v>
      </c>
      <c r="F42" s="7">
        <f t="shared" si="21"/>
        <v>393.822</v>
      </c>
      <c r="G42" s="7">
        <f t="shared" si="22"/>
        <v>384.642</v>
      </c>
      <c r="I42" s="24">
        <f t="shared" ref="I42:J42" si="23">I21-7%</f>
        <v>-3.0000000000000006E-2</v>
      </c>
      <c r="J42" s="24">
        <f t="shared" si="23"/>
        <v>-0.05</v>
      </c>
      <c r="L42" s="24">
        <f t="shared" ref="L42:M42" si="24">L21-7%</f>
        <v>-2.0000000000000004E-2</v>
      </c>
      <c r="M42" s="24">
        <f t="shared" si="24"/>
        <v>-4.0000000000000008E-2</v>
      </c>
    </row>
    <row r="43" spans="2:13" x14ac:dyDescent="0.3">
      <c r="B43" s="9" t="s">
        <v>53</v>
      </c>
      <c r="C43" s="7">
        <f t="shared" si="18"/>
        <v>313.12979999999999</v>
      </c>
      <c r="D43" s="7">
        <f t="shared" si="19"/>
        <v>337.91579999999999</v>
      </c>
      <c r="E43" s="7">
        <f t="shared" si="20"/>
        <v>337.91579999999999</v>
      </c>
      <c r="F43" s="7">
        <f t="shared" si="21"/>
        <v>354.43979999999999</v>
      </c>
      <c r="G43" s="7">
        <f t="shared" si="22"/>
        <v>346.17779999999999</v>
      </c>
      <c r="I43" s="24">
        <f t="shared" ref="I43:J43" si="25">I22-7%</f>
        <v>-4.0000000000000008E-2</v>
      </c>
      <c r="J43" s="24">
        <f t="shared" si="25"/>
        <v>-6.0000000000000005E-2</v>
      </c>
      <c r="L43" s="24">
        <f t="shared" ref="L43:M43" si="26">L22-7%</f>
        <v>-3.0000000000000006E-2</v>
      </c>
      <c r="M43" s="24">
        <f t="shared" si="26"/>
        <v>-4.0000000000000008E-2</v>
      </c>
    </row>
    <row r="44" spans="2:13" x14ac:dyDescent="0.3">
      <c r="B44" s="9" t="s">
        <v>30</v>
      </c>
      <c r="C44" s="7">
        <f t="shared" si="18"/>
        <v>366.28200000000004</v>
      </c>
      <c r="D44" s="7">
        <f t="shared" si="19"/>
        <v>412.18200000000002</v>
      </c>
      <c r="E44" s="7">
        <f t="shared" si="20"/>
        <v>412.18200000000002</v>
      </c>
      <c r="F44" s="7">
        <f t="shared" si="21"/>
        <v>435.13200000000001</v>
      </c>
      <c r="G44" s="7">
        <f t="shared" si="22"/>
        <v>421.36200000000002</v>
      </c>
      <c r="I44" s="24">
        <f t="shared" ref="I44:J44" si="27">I23-7%</f>
        <v>-3.0000000000000006E-2</v>
      </c>
      <c r="J44" s="24">
        <f t="shared" si="27"/>
        <v>-4.0000000000000008E-2</v>
      </c>
      <c r="L44" s="24">
        <f t="shared" ref="L44:M44" si="28">L23-7%</f>
        <v>-2.0000000000000004E-2</v>
      </c>
      <c r="M44" s="24">
        <f t="shared" si="28"/>
        <v>-3.0000000000000006E-2</v>
      </c>
    </row>
    <row r="45" spans="2:13" x14ac:dyDescent="0.3">
      <c r="B45" s="9" t="s">
        <v>54</v>
      </c>
      <c r="C45" s="7">
        <f t="shared" si="18"/>
        <v>329.65380000000005</v>
      </c>
      <c r="D45" s="7">
        <f t="shared" si="19"/>
        <v>370.96380000000005</v>
      </c>
      <c r="E45" s="7">
        <f t="shared" si="20"/>
        <v>370.96380000000005</v>
      </c>
      <c r="F45" s="7">
        <f t="shared" si="21"/>
        <v>391.61880000000002</v>
      </c>
      <c r="G45" s="7">
        <f t="shared" si="22"/>
        <v>379.22580000000005</v>
      </c>
      <c r="I45" s="24">
        <f t="shared" ref="I45:J45" si="29">I24-7%</f>
        <v>-0.05</v>
      </c>
      <c r="J45" s="24">
        <f t="shared" si="29"/>
        <v>-2.0000000000000004E-2</v>
      </c>
      <c r="L45" s="24">
        <f t="shared" ref="L45:M45" si="30">L24-7%</f>
        <v>-2.0000000000000004E-2</v>
      </c>
      <c r="M45" s="24">
        <f t="shared" si="30"/>
        <v>-3.0000000000000006E-2</v>
      </c>
    </row>
    <row r="46" spans="2:13" x14ac:dyDescent="0.3">
      <c r="B46" s="9" t="s">
        <v>31</v>
      </c>
      <c r="C46" s="7">
        <f t="shared" si="18"/>
        <v>503.98200000000003</v>
      </c>
      <c r="D46" s="7">
        <f t="shared" si="19"/>
        <v>559.06200000000013</v>
      </c>
      <c r="E46" s="7">
        <f t="shared" si="20"/>
        <v>549.88200000000006</v>
      </c>
      <c r="F46" s="7">
        <f t="shared" si="21"/>
        <v>577.42200000000003</v>
      </c>
      <c r="G46" s="7">
        <f t="shared" si="22"/>
        <v>559.06200000000013</v>
      </c>
      <c r="I46" s="24">
        <f t="shared" ref="I46:J46" si="31">I25-7%</f>
        <v>-2.0000000000000004E-2</v>
      </c>
      <c r="J46" s="24">
        <f t="shared" si="31"/>
        <v>-3.0000000000000006E-2</v>
      </c>
      <c r="L46" s="24">
        <f t="shared" ref="L46:M46" si="32">L25-7%</f>
        <v>0</v>
      </c>
      <c r="M46" s="24">
        <f t="shared" si="32"/>
        <v>-1.0000000000000009E-2</v>
      </c>
    </row>
    <row r="47" spans="2:13" x14ac:dyDescent="0.3">
      <c r="B47" s="9" t="s">
        <v>55</v>
      </c>
      <c r="C47" s="7">
        <f t="shared" si="18"/>
        <v>453.58380000000005</v>
      </c>
      <c r="D47" s="7">
        <f t="shared" si="19"/>
        <v>503.15580000000011</v>
      </c>
      <c r="E47" s="7">
        <f t="shared" si="20"/>
        <v>494.89380000000006</v>
      </c>
      <c r="F47" s="7">
        <f t="shared" si="21"/>
        <v>519.6798</v>
      </c>
      <c r="G47" s="7">
        <f t="shared" si="22"/>
        <v>503.15580000000011</v>
      </c>
      <c r="I47" s="24">
        <f t="shared" ref="I47:J47" si="33">I26-7%</f>
        <v>-2.0000000000000004E-2</v>
      </c>
      <c r="J47" s="24">
        <f t="shared" si="33"/>
        <v>-4.0000000000000008E-2</v>
      </c>
      <c r="L47" s="24">
        <f t="shared" ref="L47:M47" si="34">L26-7%</f>
        <v>-2.0000000000000004E-2</v>
      </c>
      <c r="M47" s="24">
        <f t="shared" si="34"/>
        <v>-4.0000000000000008E-2</v>
      </c>
    </row>
    <row r="48" spans="2:13" x14ac:dyDescent="0.3">
      <c r="B48" s="9" t="s">
        <v>32</v>
      </c>
      <c r="C48" s="7">
        <f t="shared" si="18"/>
        <v>577.42200000000003</v>
      </c>
      <c r="D48" s="7">
        <f t="shared" si="19"/>
        <v>632.50199999999995</v>
      </c>
      <c r="E48" s="7">
        <f t="shared" si="20"/>
        <v>623.322</v>
      </c>
      <c r="F48" s="7">
        <f t="shared" si="21"/>
        <v>660.04200000000003</v>
      </c>
      <c r="G48" s="7">
        <f t="shared" si="22"/>
        <v>650.86200000000008</v>
      </c>
      <c r="I48" s="24">
        <f t="shared" ref="I48:J48" si="35">I27-7%</f>
        <v>-1.0000000000000009E-2</v>
      </c>
      <c r="J48" s="24">
        <f t="shared" si="35"/>
        <v>-7.0000000000000007E-2</v>
      </c>
      <c r="L48" s="24">
        <f t="shared" ref="L48:M48" si="36">L27-7%</f>
        <v>0</v>
      </c>
      <c r="M48" s="24">
        <f t="shared" si="36"/>
        <v>-0.05</v>
      </c>
    </row>
    <row r="49" spans="2:13" x14ac:dyDescent="0.3">
      <c r="B49" s="9" t="s">
        <v>33</v>
      </c>
      <c r="C49" s="7">
        <f t="shared" si="18"/>
        <v>669.22200000000009</v>
      </c>
      <c r="D49" s="7">
        <f t="shared" si="19"/>
        <v>715.12200000000007</v>
      </c>
      <c r="E49" s="7">
        <f t="shared" si="20"/>
        <v>705.94200000000001</v>
      </c>
      <c r="F49" s="7">
        <f t="shared" si="21"/>
        <v>751.84199999999998</v>
      </c>
      <c r="G49" s="7">
        <f t="shared" si="22"/>
        <v>733.48200000000008</v>
      </c>
      <c r="I49" s="24">
        <f t="shared" ref="I49:J49" si="37">I28-7%</f>
        <v>-2.0000000000000004E-2</v>
      </c>
      <c r="J49" s="24">
        <f t="shared" si="37"/>
        <v>-3.0000000000000006E-2</v>
      </c>
      <c r="L49" s="24">
        <f t="shared" ref="L49:M49" si="38">L28-7%</f>
        <v>-2.0000000000000004E-2</v>
      </c>
      <c r="M49" s="24">
        <f t="shared" si="38"/>
        <v>-2.0000000000000004E-2</v>
      </c>
    </row>
    <row r="50" spans="2:13" x14ac:dyDescent="0.3">
      <c r="B50" s="9" t="s">
        <v>56</v>
      </c>
      <c r="C50" s="7">
        <f t="shared" si="18"/>
        <v>602.29980000000012</v>
      </c>
      <c r="D50" s="7">
        <f t="shared" ref="D50:D55" si="39">D29*(1-C$38)</f>
        <v>643.60980000000006</v>
      </c>
      <c r="E50" s="7">
        <f t="shared" si="20"/>
        <v>635.34780000000001</v>
      </c>
      <c r="F50" s="7">
        <f t="shared" si="21"/>
        <v>676.65779999999995</v>
      </c>
      <c r="G50" s="7">
        <f t="shared" si="22"/>
        <v>660.13380000000006</v>
      </c>
      <c r="I50" s="24">
        <f t="shared" ref="I50:J50" si="40">I29-7%</f>
        <v>-3.0000000000000006E-2</v>
      </c>
      <c r="J50" s="24">
        <f t="shared" si="40"/>
        <v>-3.0000000000000006E-2</v>
      </c>
      <c r="L50" s="24">
        <f t="shared" ref="L50:M50" si="41">L29-7%</f>
        <v>-2.0000000000000004E-2</v>
      </c>
      <c r="M50" s="24">
        <f t="shared" si="41"/>
        <v>-3.0000000000000006E-2</v>
      </c>
    </row>
    <row r="51" spans="2:13" x14ac:dyDescent="0.3">
      <c r="B51" s="9" t="str">
        <f>B30</f>
        <v>FONTE 90 BOB</v>
      </c>
      <c r="C51" s="7">
        <f t="shared" si="18"/>
        <v>330.52589999999998</v>
      </c>
      <c r="D51" s="7">
        <f t="shared" si="39"/>
        <v>356.68889999999999</v>
      </c>
      <c r="E51" s="7">
        <f t="shared" ref="E51" si="42">E30*(1-C$38)</f>
        <v>356.68889999999999</v>
      </c>
      <c r="F51" s="7">
        <f t="shared" ref="F51" si="43">F30*(1-C$38)</f>
        <v>374.1309</v>
      </c>
      <c r="G51" s="7">
        <f t="shared" ref="G51" si="44">G30*(1-C$38)</f>
        <v>365.40989999999999</v>
      </c>
      <c r="I51" s="24">
        <f t="shared" ref="I51:J51" si="45">I30-7%</f>
        <v>-4.0000000000000008E-2</v>
      </c>
      <c r="J51" s="24">
        <f t="shared" si="45"/>
        <v>-6.0000000000000005E-2</v>
      </c>
      <c r="L51" s="24">
        <f t="shared" ref="L51:M51" si="46">L30-7%</f>
        <v>-2.0000000000000004E-2</v>
      </c>
      <c r="M51" s="24">
        <f t="shared" si="46"/>
        <v>-4.0000000000000008E-2</v>
      </c>
    </row>
    <row r="52" spans="2:13" x14ac:dyDescent="0.3">
      <c r="B52" s="9" t="s">
        <v>35</v>
      </c>
      <c r="C52" s="7">
        <f>C31*(1-C$38)</f>
        <v>382.8519</v>
      </c>
      <c r="D52" s="7">
        <f t="shared" si="39"/>
        <v>426.45689999999996</v>
      </c>
      <c r="E52" s="7">
        <f>E31*(1-C$38)</f>
        <v>417.73589999999996</v>
      </c>
      <c r="F52" s="7">
        <f>F31*(1-C$38)</f>
        <v>443.89889999999997</v>
      </c>
      <c r="G52" s="7">
        <f>G31*(1-C$38)</f>
        <v>435.17790000000002</v>
      </c>
      <c r="I52" s="24">
        <f t="shared" ref="I52:J52" si="47">I31-7%</f>
        <v>-9.0000000000000011E-2</v>
      </c>
      <c r="J52" s="24">
        <f t="shared" si="47"/>
        <v>-9.0000000000000011E-2</v>
      </c>
      <c r="L52" s="24">
        <f t="shared" ref="L52:M52" si="48">L31-7%</f>
        <v>-2.0000000000000004E-2</v>
      </c>
      <c r="M52" s="24">
        <f t="shared" si="48"/>
        <v>-2.0000000000000004E-2</v>
      </c>
    </row>
    <row r="53" spans="2:13" x14ac:dyDescent="0.3">
      <c r="B53" s="9" t="s">
        <v>34</v>
      </c>
      <c r="C53" s="7">
        <f>C32*(1-C$38)</f>
        <v>478.78289999999998</v>
      </c>
      <c r="D53" s="7">
        <f t="shared" si="39"/>
        <v>522.38790000000006</v>
      </c>
      <c r="E53" s="7">
        <f>E32*(1-C$38)</f>
        <v>522.38790000000006</v>
      </c>
      <c r="F53" s="7">
        <f>F32*(1-C$38)</f>
        <v>557.27189999999996</v>
      </c>
      <c r="G53" s="7">
        <f>G32*(1-C$38)</f>
        <v>531.10889999999995</v>
      </c>
      <c r="I53" s="24">
        <f t="shared" ref="I53:J53" si="49">I32-7%</f>
        <v>-0.08</v>
      </c>
      <c r="J53" s="24">
        <f t="shared" si="49"/>
        <v>-0.08</v>
      </c>
      <c r="L53" s="24">
        <f t="shared" ref="L53:M53" si="50">L32-7%</f>
        <v>-1.0000000000000009E-2</v>
      </c>
      <c r="M53" s="24">
        <f t="shared" si="50"/>
        <v>-1.0000000000000009E-2</v>
      </c>
    </row>
    <row r="54" spans="2:13" x14ac:dyDescent="0.3">
      <c r="B54" s="9" t="str">
        <f>B32</f>
        <v>FONTE 200 BOB</v>
      </c>
      <c r="C54" s="7">
        <f>C33*(1-C$38)</f>
        <v>635.25600000000009</v>
      </c>
      <c r="D54" s="7">
        <f t="shared" si="39"/>
        <v>679.32</v>
      </c>
      <c r="E54" s="7">
        <f>E33*(1-C$38)</f>
        <v>670.14</v>
      </c>
      <c r="F54" s="7">
        <f>F33*(1-C$38)</f>
        <v>714.20400000000006</v>
      </c>
      <c r="G54" s="7">
        <f>G33*(1-C$38)</f>
        <v>696.76200000000006</v>
      </c>
      <c r="I54" s="24">
        <f t="shared" ref="I54:J54" si="51">I33-7%</f>
        <v>-3.0000000000000006E-2</v>
      </c>
      <c r="J54" s="24">
        <f t="shared" si="51"/>
        <v>-3.0000000000000006E-2</v>
      </c>
      <c r="L54" s="24">
        <f t="shared" ref="L54:M54" si="52">L33-7%</f>
        <v>-1.0000000000000009E-2</v>
      </c>
      <c r="M54" s="24">
        <f t="shared" si="52"/>
        <v>-1.0000000000000009E-2</v>
      </c>
    </row>
    <row r="55" spans="2:13" x14ac:dyDescent="0.3">
      <c r="B55" s="9" t="s">
        <v>37</v>
      </c>
      <c r="C55" s="7">
        <f>C34*(1-C$38)</f>
        <v>49.41</v>
      </c>
      <c r="D55" s="7">
        <f t="shared" si="39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  <c r="I55" s="24"/>
      <c r="J55" s="24"/>
      <c r="L55" s="24"/>
      <c r="M55" s="24"/>
    </row>
    <row r="56" spans="2:13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  <c r="I56" s="24"/>
      <c r="J56" s="24"/>
      <c r="L56" s="24"/>
      <c r="M56" s="24"/>
    </row>
    <row r="57" spans="2:13" x14ac:dyDescent="0.3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  <c r="I57" s="24"/>
      <c r="J57" s="24"/>
      <c r="L57" s="24"/>
      <c r="M57" s="24"/>
    </row>
  </sheetData>
  <mergeCells count="6">
    <mergeCell ref="B18:G18"/>
    <mergeCell ref="B39:G39"/>
    <mergeCell ref="I18:J18"/>
    <mergeCell ref="L18:M18"/>
    <mergeCell ref="I39:J39"/>
    <mergeCell ref="L39:M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3:G2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J5" sqref="AJ5:AP5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00" t="s">
        <v>14</v>
      </c>
      <c r="N2" s="100"/>
      <c r="O2" s="100"/>
      <c r="P2" s="100"/>
      <c r="Q2" s="100"/>
      <c r="R2" s="100"/>
      <c r="S2" s="100"/>
      <c r="T2" s="100" t="s">
        <v>15</v>
      </c>
      <c r="U2" s="100"/>
      <c r="V2" s="100"/>
      <c r="W2" s="100"/>
      <c r="X2" s="100"/>
      <c r="Y2" s="100"/>
      <c r="Z2" s="100"/>
      <c r="AA2" s="100" t="s">
        <v>16</v>
      </c>
      <c r="AB2" s="100"/>
      <c r="AC2" s="100"/>
      <c r="AD2" s="100"/>
      <c r="AE2" s="100"/>
      <c r="AF2" s="100"/>
      <c r="AG2" s="100"/>
      <c r="AH2" s="100" t="s">
        <v>17</v>
      </c>
      <c r="AI2" s="100"/>
      <c r="AJ2" s="100"/>
      <c r="AK2" s="100"/>
      <c r="AL2" s="100"/>
      <c r="AM2" s="100"/>
      <c r="AN2" s="100"/>
      <c r="AO2" s="100" t="s">
        <v>18</v>
      </c>
      <c r="AP2" s="100"/>
      <c r="AQ2" s="100"/>
      <c r="AR2" s="100"/>
      <c r="AS2" s="100"/>
      <c r="AT2" s="100"/>
      <c r="AU2" s="100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01" t="s">
        <v>81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2</v>
      </c>
      <c r="N4" s="2" t="s">
        <v>3</v>
      </c>
      <c r="O4" s="2" t="s">
        <v>3</v>
      </c>
      <c r="P4" s="2" t="s">
        <v>1</v>
      </c>
      <c r="Q4" s="2" t="s">
        <v>1</v>
      </c>
      <c r="R4" s="2" t="s">
        <v>0</v>
      </c>
      <c r="S4" s="2" t="s">
        <v>1</v>
      </c>
      <c r="T4" s="2" t="s">
        <v>2</v>
      </c>
      <c r="U4" s="2" t="s">
        <v>3</v>
      </c>
      <c r="V4" s="2" t="s">
        <v>3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2</v>
      </c>
      <c r="AB4" s="2" t="s">
        <v>3</v>
      </c>
      <c r="AC4" s="2" t="s">
        <v>3</v>
      </c>
      <c r="AD4" s="2" t="s">
        <v>1</v>
      </c>
      <c r="AE4" s="2" t="s">
        <v>1</v>
      </c>
      <c r="AF4" s="2" t="s">
        <v>0</v>
      </c>
      <c r="AG4" s="2" t="s">
        <v>1</v>
      </c>
      <c r="AH4" s="2" t="s">
        <v>2</v>
      </c>
      <c r="AI4" s="2" t="s">
        <v>3</v>
      </c>
      <c r="AJ4" s="2" t="s">
        <v>3</v>
      </c>
      <c r="AK4" s="2" t="s">
        <v>1</v>
      </c>
      <c r="AL4" s="2" t="s">
        <v>1</v>
      </c>
      <c r="AM4" s="2" t="s">
        <v>0</v>
      </c>
      <c r="AN4" s="2" t="s">
        <v>1</v>
      </c>
      <c r="AO4" s="2" t="s">
        <v>2</v>
      </c>
      <c r="AP4" s="2" t="s">
        <v>3</v>
      </c>
      <c r="AQ4" s="2" t="s">
        <v>3</v>
      </c>
      <c r="AR4" s="2" t="s">
        <v>1</v>
      </c>
      <c r="AS4" s="2" t="s">
        <v>1</v>
      </c>
      <c r="AT4" s="2" t="s">
        <v>0</v>
      </c>
      <c r="AU4" s="2"/>
    </row>
    <row r="5" spans="2:51" ht="15" customHeight="1" x14ac:dyDescent="0.3">
      <c r="B5" s="102" t="s">
        <v>4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8" t="s">
        <v>79</v>
      </c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10"/>
      <c r="AD5" s="1"/>
      <c r="AE5" s="1"/>
      <c r="AF5" s="1"/>
      <c r="AG5" s="1"/>
      <c r="AH5" s="1"/>
      <c r="AI5" s="1"/>
      <c r="AJ5" s="108" t="s">
        <v>79</v>
      </c>
      <c r="AK5" s="109"/>
      <c r="AL5" s="109"/>
      <c r="AM5" s="109"/>
      <c r="AN5" s="109"/>
      <c r="AO5" s="109"/>
      <c r="AP5" s="110"/>
      <c r="AQ5" s="1"/>
      <c r="AR5" s="1"/>
      <c r="AS5" s="1"/>
      <c r="AT5" s="1"/>
      <c r="AU5" s="1"/>
    </row>
    <row r="6" spans="2:51" ht="15" customHeight="1" x14ac:dyDescent="0.3">
      <c r="B6" s="102" t="s">
        <v>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8" t="s">
        <v>79</v>
      </c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10"/>
      <c r="AD6" s="1"/>
      <c r="AE6" s="1"/>
      <c r="AF6" s="1"/>
      <c r="AG6" s="1"/>
      <c r="AH6" s="1"/>
      <c r="AI6" s="1"/>
      <c r="AJ6" s="108" t="s">
        <v>79</v>
      </c>
      <c r="AK6" s="109"/>
      <c r="AL6" s="109"/>
      <c r="AM6" s="109"/>
      <c r="AN6" s="109"/>
      <c r="AO6" s="109"/>
      <c r="AP6" s="110"/>
      <c r="AQ6" s="1"/>
      <c r="AR6" s="1"/>
      <c r="AS6" s="1"/>
      <c r="AT6" s="1"/>
      <c r="AU6" s="1"/>
    </row>
    <row r="7" spans="2:51" ht="15" customHeight="1" x14ac:dyDescent="0.3">
      <c r="B7" s="102" t="s">
        <v>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8" t="s">
        <v>79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10"/>
      <c r="AD7" s="1"/>
      <c r="AE7" s="1"/>
      <c r="AF7" s="1"/>
      <c r="AG7" s="1"/>
      <c r="AH7" s="1"/>
      <c r="AI7" s="1"/>
      <c r="AJ7" s="108" t="s">
        <v>79</v>
      </c>
      <c r="AK7" s="109"/>
      <c r="AL7" s="109"/>
      <c r="AM7" s="109"/>
      <c r="AN7" s="109"/>
      <c r="AO7" s="109"/>
      <c r="AP7" s="110"/>
      <c r="AQ7" s="1"/>
      <c r="AR7" s="1"/>
      <c r="AS7" s="1"/>
      <c r="AT7" s="1"/>
      <c r="AU7" s="1"/>
    </row>
    <row r="8" spans="2:51" ht="15" customHeight="1" x14ac:dyDescent="0.3">
      <c r="B8" s="102" t="s">
        <v>6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8" t="s">
        <v>79</v>
      </c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10"/>
      <c r="AD8" s="1"/>
      <c r="AE8" s="1"/>
      <c r="AF8" s="1"/>
      <c r="AG8" s="1"/>
      <c r="AH8" s="1"/>
      <c r="AI8" s="1"/>
      <c r="AJ8" s="108" t="s">
        <v>79</v>
      </c>
      <c r="AK8" s="109"/>
      <c r="AL8" s="109"/>
      <c r="AM8" s="109"/>
      <c r="AN8" s="109"/>
      <c r="AO8" s="109"/>
      <c r="AP8" s="110"/>
      <c r="AQ8" s="1"/>
      <c r="AR8" s="1"/>
      <c r="AS8" s="1"/>
      <c r="AT8" s="1"/>
      <c r="AU8" s="1"/>
    </row>
    <row r="9" spans="2:51" ht="15" customHeight="1" x14ac:dyDescent="0.3">
      <c r="B9" s="102" t="s">
        <v>60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8" t="s">
        <v>79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1"/>
      <c r="AE9" s="1"/>
      <c r="AF9" s="1"/>
      <c r="AG9" s="1"/>
      <c r="AH9" s="1"/>
      <c r="AI9" s="1"/>
      <c r="AJ9" s="108" t="s">
        <v>79</v>
      </c>
      <c r="AK9" s="109"/>
      <c r="AL9" s="109"/>
      <c r="AM9" s="109"/>
      <c r="AN9" s="109"/>
      <c r="AO9" s="109"/>
      <c r="AP9" s="110"/>
      <c r="AQ9" s="1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8" t="s">
        <v>79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10"/>
      <c r="AD10" s="1"/>
      <c r="AE10" s="1"/>
      <c r="AF10" s="1"/>
      <c r="AG10" s="1"/>
      <c r="AH10" s="1"/>
      <c r="AI10" s="1"/>
      <c r="AJ10" s="108" t="s">
        <v>79</v>
      </c>
      <c r="AK10" s="109"/>
      <c r="AL10" s="109"/>
      <c r="AM10" s="109"/>
      <c r="AN10" s="109"/>
      <c r="AO10" s="109"/>
      <c r="AP10" s="110"/>
      <c r="AQ10" s="1"/>
      <c r="AR10" s="1"/>
      <c r="AS10" s="1"/>
      <c r="AT10" s="1"/>
      <c r="AU10" s="1"/>
    </row>
    <row r="11" spans="2:51" ht="15" customHeight="1" x14ac:dyDescent="0.3">
      <c r="B11" s="102" t="s">
        <v>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8" t="s">
        <v>79</v>
      </c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"/>
      <c r="AE11" s="1"/>
      <c r="AF11" s="1"/>
      <c r="AG11" s="1"/>
      <c r="AH11" s="1"/>
      <c r="AI11" s="1"/>
      <c r="AJ11" s="108" t="s">
        <v>79</v>
      </c>
      <c r="AK11" s="109"/>
      <c r="AL11" s="109"/>
      <c r="AM11" s="109"/>
      <c r="AN11" s="109"/>
      <c r="AO11" s="109"/>
      <c r="AP11" s="110"/>
      <c r="AQ11" s="1"/>
      <c r="AR11" s="1"/>
      <c r="AS11" s="1"/>
      <c r="AT11" s="1"/>
      <c r="AU11" s="1"/>
      <c r="AY11" s="20"/>
    </row>
    <row r="12" spans="2:51" ht="15" customHeight="1" x14ac:dyDescent="0.3">
      <c r="B12" s="102" t="s">
        <v>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8" t="s">
        <v>79</v>
      </c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10"/>
      <c r="AD12" s="108" t="s">
        <v>79</v>
      </c>
      <c r="AE12" s="109"/>
      <c r="AF12" s="109"/>
      <c r="AG12" s="109"/>
      <c r="AH12" s="109"/>
      <c r="AI12" s="110"/>
      <c r="AJ12" s="108" t="s">
        <v>79</v>
      </c>
      <c r="AK12" s="109"/>
      <c r="AL12" s="109"/>
      <c r="AM12" s="109"/>
      <c r="AN12" s="109"/>
      <c r="AO12" s="109"/>
      <c r="AP12" s="110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02" t="s">
        <v>61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8" t="s">
        <v>79</v>
      </c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10"/>
      <c r="AD13" s="108" t="s">
        <v>79</v>
      </c>
      <c r="AE13" s="109"/>
      <c r="AF13" s="109"/>
      <c r="AG13" s="109"/>
      <c r="AH13" s="109"/>
      <c r="AI13" s="110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02" t="s">
        <v>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8" t="s">
        <v>79</v>
      </c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10"/>
      <c r="AD14" s="108" t="s">
        <v>79</v>
      </c>
      <c r="AE14" s="109"/>
      <c r="AF14" s="109"/>
      <c r="AG14" s="109"/>
      <c r="AH14" s="109"/>
      <c r="AI14" s="110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X14" s="19"/>
      <c r="AY14" s="20"/>
    </row>
    <row r="15" spans="2:51" ht="15" customHeight="1" x14ac:dyDescent="0.3">
      <c r="B15" s="102" t="s">
        <v>11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8" t="s">
        <v>79</v>
      </c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10"/>
      <c r="AD15" s="108" t="s">
        <v>79</v>
      </c>
      <c r="AE15" s="109"/>
      <c r="AF15" s="109"/>
      <c r="AG15" s="109"/>
      <c r="AH15" s="109"/>
      <c r="AI15" s="110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02" t="s">
        <v>62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8" t="s">
        <v>79</v>
      </c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10"/>
      <c r="AD16" s="108" t="s">
        <v>79</v>
      </c>
      <c r="AE16" s="109"/>
      <c r="AF16" s="109"/>
      <c r="AG16" s="109"/>
      <c r="AH16" s="109"/>
      <c r="AI16" s="110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02" t="s">
        <v>12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8" t="s">
        <v>79</v>
      </c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10"/>
      <c r="AD17" s="108" t="s">
        <v>79</v>
      </c>
      <c r="AE17" s="109"/>
      <c r="AF17" s="109"/>
      <c r="AG17" s="109"/>
      <c r="AH17" s="109"/>
      <c r="AI17" s="110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02" t="s">
        <v>13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8" t="s">
        <v>79</v>
      </c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10"/>
      <c r="AD18" s="1"/>
      <c r="AE18" s="1"/>
      <c r="AF18" s="1"/>
      <c r="AG18" s="1"/>
      <c r="AH18" s="1"/>
      <c r="AI18" s="1"/>
      <c r="AJ18" s="108" t="s">
        <v>79</v>
      </c>
      <c r="AK18" s="109"/>
      <c r="AL18" s="109"/>
      <c r="AM18" s="109"/>
      <c r="AN18" s="109"/>
      <c r="AO18" s="109"/>
      <c r="AP18" s="110"/>
      <c r="AQ18" s="1"/>
      <c r="AR18" s="1"/>
      <c r="AS18" s="1"/>
      <c r="AT18" s="1"/>
      <c r="AU18" s="1"/>
    </row>
    <row r="19" spans="2:47" ht="15" customHeight="1" x14ac:dyDescent="0.3">
      <c r="B19" s="102" t="s">
        <v>19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8" t="s">
        <v>79</v>
      </c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10"/>
      <c r="AD19" s="108" t="s">
        <v>79</v>
      </c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10"/>
      <c r="AQ19" s="1"/>
      <c r="AR19" s="1"/>
      <c r="AS19" s="1"/>
      <c r="AT19" s="1"/>
      <c r="AU19" s="1"/>
    </row>
    <row r="20" spans="2:47" ht="15" customHeight="1" x14ac:dyDescent="0.3">
      <c r="B20" s="102" t="s">
        <v>20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8" t="s">
        <v>79</v>
      </c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10"/>
      <c r="AD20" s="108" t="s">
        <v>79</v>
      </c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10"/>
      <c r="AQ20" s="1"/>
      <c r="AR20" s="1"/>
      <c r="AS20" s="1"/>
      <c r="AT20" s="1"/>
      <c r="AU20" s="1"/>
    </row>
    <row r="21" spans="2:47" ht="15" customHeight="1" x14ac:dyDescent="0.3">
      <c r="B21" s="102" t="s">
        <v>21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8" t="s">
        <v>79</v>
      </c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10"/>
      <c r="AD21" s="108" t="s">
        <v>79</v>
      </c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10"/>
      <c r="AQ21" s="1"/>
      <c r="AR21" s="1"/>
      <c r="AS21" s="1"/>
      <c r="AT21" s="1"/>
      <c r="AU21" s="1"/>
    </row>
    <row r="25" spans="2:47" x14ac:dyDescent="0.3">
      <c r="E25" s="16"/>
    </row>
  </sheetData>
  <mergeCells count="58">
    <mergeCell ref="B21:L21"/>
    <mergeCell ref="B18:L18"/>
    <mergeCell ref="B19:L19"/>
    <mergeCell ref="B20:L20"/>
    <mergeCell ref="B16:L16"/>
    <mergeCell ref="B17:L17"/>
    <mergeCell ref="B14:L14"/>
    <mergeCell ref="B15:L15"/>
    <mergeCell ref="B11:L11"/>
    <mergeCell ref="B12:L12"/>
    <mergeCell ref="B13:L13"/>
    <mergeCell ref="B9:L9"/>
    <mergeCell ref="B10:L10"/>
    <mergeCell ref="B5:L5"/>
    <mergeCell ref="B6:L6"/>
    <mergeCell ref="B7:L7"/>
    <mergeCell ref="M2:S2"/>
    <mergeCell ref="T2:Z2"/>
    <mergeCell ref="AA2:AG2"/>
    <mergeCell ref="AH2:AN2"/>
    <mergeCell ref="AO2:AU2"/>
    <mergeCell ref="B4:L4"/>
    <mergeCell ref="M5:AC5"/>
    <mergeCell ref="M6:AC6"/>
    <mergeCell ref="M7:AC7"/>
    <mergeCell ref="M8:AC8"/>
    <mergeCell ref="B8:L8"/>
    <mergeCell ref="M9:AC9"/>
    <mergeCell ref="M10:AC10"/>
    <mergeCell ref="M11:AC11"/>
    <mergeCell ref="M12:AC12"/>
    <mergeCell ref="M13:AC13"/>
    <mergeCell ref="M19:AC19"/>
    <mergeCell ref="M20:AC20"/>
    <mergeCell ref="M21:AC21"/>
    <mergeCell ref="M14:AC14"/>
    <mergeCell ref="M15:AC15"/>
    <mergeCell ref="M16:AC16"/>
    <mergeCell ref="M17:AC17"/>
    <mergeCell ref="M18:AC18"/>
    <mergeCell ref="AD21:AP21"/>
    <mergeCell ref="AD14:AI14"/>
    <mergeCell ref="AJ18:AP18"/>
    <mergeCell ref="AJ6:AP6"/>
    <mergeCell ref="AJ7:AP7"/>
    <mergeCell ref="AJ8:AP8"/>
    <mergeCell ref="AJ9:AP9"/>
    <mergeCell ref="AJ10:AP10"/>
    <mergeCell ref="AD12:AI12"/>
    <mergeCell ref="AD13:AI13"/>
    <mergeCell ref="AD15:AI15"/>
    <mergeCell ref="AD16:AI16"/>
    <mergeCell ref="AD17:AI17"/>
    <mergeCell ref="AJ5:AP5"/>
    <mergeCell ref="AJ11:AP11"/>
    <mergeCell ref="AJ12:AP12"/>
    <mergeCell ref="AD19:AP19"/>
    <mergeCell ref="AD20:AP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D17" sqref="AD17:AQ17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00" t="s">
        <v>14</v>
      </c>
      <c r="N2" s="100"/>
      <c r="O2" s="100"/>
      <c r="P2" s="100"/>
      <c r="Q2" s="100"/>
      <c r="R2" s="100"/>
      <c r="S2" s="100"/>
      <c r="T2" s="100" t="s">
        <v>15</v>
      </c>
      <c r="U2" s="100"/>
      <c r="V2" s="100"/>
      <c r="W2" s="100"/>
      <c r="X2" s="100"/>
      <c r="Y2" s="100"/>
      <c r="Z2" s="100"/>
      <c r="AA2" s="100" t="s">
        <v>16</v>
      </c>
      <c r="AB2" s="100"/>
      <c r="AC2" s="100"/>
      <c r="AD2" s="100"/>
      <c r="AE2" s="100"/>
      <c r="AF2" s="100"/>
      <c r="AG2" s="100"/>
      <c r="AH2" s="100" t="s">
        <v>17</v>
      </c>
      <c r="AI2" s="100"/>
      <c r="AJ2" s="100"/>
      <c r="AK2" s="100"/>
      <c r="AL2" s="100"/>
      <c r="AM2" s="100"/>
      <c r="AN2" s="100"/>
      <c r="AO2" s="100" t="s">
        <v>18</v>
      </c>
      <c r="AP2" s="100"/>
      <c r="AQ2" s="100"/>
      <c r="AR2" s="100"/>
      <c r="AS2" s="100"/>
      <c r="AT2" s="100"/>
      <c r="AU2" s="100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01" t="s">
        <v>81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3">
      <c r="B5" s="102" t="s">
        <v>4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11" t="s">
        <v>79</v>
      </c>
      <c r="N5" s="112"/>
      <c r="O5" s="112"/>
      <c r="P5" s="1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11" t="s">
        <v>79</v>
      </c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3"/>
      <c r="AR5" s="1"/>
      <c r="AS5" s="1"/>
      <c r="AT5" s="1"/>
      <c r="AU5" s="1"/>
    </row>
    <row r="6" spans="2:51" ht="15" customHeight="1" x14ac:dyDescent="0.3">
      <c r="B6" s="102" t="s">
        <v>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11" t="s">
        <v>79</v>
      </c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3"/>
      <c r="AR6" s="1"/>
      <c r="AS6" s="1"/>
      <c r="AT6" s="1"/>
      <c r="AU6" s="1"/>
    </row>
    <row r="7" spans="2:51" ht="15" customHeight="1" x14ac:dyDescent="0.3">
      <c r="B7" s="102" t="s">
        <v>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1" t="s">
        <v>79</v>
      </c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3"/>
      <c r="AR7" s="1"/>
      <c r="AS7" s="1"/>
      <c r="AT7" s="1"/>
      <c r="AU7" s="1"/>
    </row>
    <row r="8" spans="2:51" ht="15" customHeight="1" x14ac:dyDescent="0.3">
      <c r="B8" s="102" t="s">
        <v>6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11" t="s">
        <v>79</v>
      </c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3"/>
      <c r="AR8" s="1"/>
      <c r="AS8" s="1"/>
      <c r="AT8" s="1"/>
      <c r="AU8" s="1"/>
    </row>
    <row r="9" spans="2:51" ht="15" customHeight="1" x14ac:dyDescent="0.3">
      <c r="B9" s="102" t="s">
        <v>60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11" t="s">
        <v>79</v>
      </c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3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11" t="s">
        <v>79</v>
      </c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3"/>
      <c r="AR10" s="1"/>
      <c r="AS10" s="1"/>
      <c r="AT10" s="1"/>
      <c r="AU10" s="1"/>
    </row>
    <row r="11" spans="2:51" ht="15" customHeight="1" x14ac:dyDescent="0.3">
      <c r="B11" s="102" t="s">
        <v>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11" t="s">
        <v>79</v>
      </c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3"/>
      <c r="AR11" s="1"/>
      <c r="AS11" s="1"/>
      <c r="AT11" s="1"/>
      <c r="AU11" s="1"/>
      <c r="AY11" s="20"/>
    </row>
    <row r="12" spans="2:51" ht="15" customHeight="1" x14ac:dyDescent="0.3">
      <c r="B12" s="102" t="s">
        <v>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11" t="s">
        <v>79</v>
      </c>
      <c r="N12" s="112"/>
      <c r="O12" s="112"/>
      <c r="P12" s="112"/>
      <c r="Q12" s="112"/>
      <c r="R12" s="112"/>
      <c r="S12" s="112"/>
      <c r="T12" s="112"/>
      <c r="U12" s="112"/>
      <c r="V12" s="112"/>
      <c r="W12" s="113"/>
      <c r="X12" s="1"/>
      <c r="Y12" s="1"/>
      <c r="Z12" s="1"/>
      <c r="AA12" s="1"/>
      <c r="AB12" s="1"/>
      <c r="AC12" s="1"/>
      <c r="AD12" s="111" t="s">
        <v>79</v>
      </c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3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02" t="s">
        <v>61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11" t="s">
        <v>79</v>
      </c>
      <c r="N13" s="112"/>
      <c r="O13" s="112"/>
      <c r="P13" s="112"/>
      <c r="Q13" s="112"/>
      <c r="R13" s="112"/>
      <c r="S13" s="112"/>
      <c r="T13" s="112"/>
      <c r="U13" s="112"/>
      <c r="V13" s="112"/>
      <c r="W13" s="113"/>
      <c r="X13" s="1"/>
      <c r="Y13" s="1"/>
      <c r="Z13" s="1"/>
      <c r="AA13" s="1"/>
      <c r="AB13" s="1"/>
      <c r="AC13" s="1"/>
      <c r="AD13" s="111" t="s">
        <v>79</v>
      </c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3"/>
      <c r="AR13" s="1"/>
      <c r="AS13" s="1"/>
      <c r="AT13" s="1"/>
      <c r="AU13" s="1"/>
      <c r="AX13" s="19"/>
      <c r="AY13" s="20"/>
    </row>
    <row r="14" spans="2:51" ht="15" customHeight="1" x14ac:dyDescent="0.3">
      <c r="B14" s="102" t="s">
        <v>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11" t="s">
        <v>79</v>
      </c>
      <c r="N14" s="112"/>
      <c r="O14" s="112"/>
      <c r="P14" s="1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11" t="s">
        <v>79</v>
      </c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3"/>
      <c r="AR14" s="1"/>
      <c r="AS14" s="1"/>
      <c r="AT14" s="1"/>
      <c r="AU14" s="1"/>
      <c r="AX14" s="19"/>
      <c r="AY14" s="20"/>
    </row>
    <row r="15" spans="2:51" ht="15" customHeight="1" x14ac:dyDescent="0.3">
      <c r="B15" s="102" t="s">
        <v>11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11" t="s">
        <v>79</v>
      </c>
      <c r="N15" s="112"/>
      <c r="O15" s="112"/>
      <c r="P15" s="112"/>
      <c r="Q15" s="112"/>
      <c r="R15" s="112"/>
      <c r="S15" s="112"/>
      <c r="T15" s="112"/>
      <c r="U15" s="112"/>
      <c r="V15" s="112"/>
      <c r="W15" s="113"/>
      <c r="X15" s="1"/>
      <c r="Y15" s="1"/>
      <c r="Z15" s="1"/>
      <c r="AA15" s="1"/>
      <c r="AB15" s="1"/>
      <c r="AC15" s="1"/>
      <c r="AD15" s="111" t="s">
        <v>79</v>
      </c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3"/>
      <c r="AR15" s="1"/>
      <c r="AS15" s="1"/>
      <c r="AT15" s="1"/>
      <c r="AU15" s="1"/>
      <c r="AX15" s="19"/>
      <c r="AY15" s="20"/>
    </row>
    <row r="16" spans="2:51" ht="15" customHeight="1" x14ac:dyDescent="0.3">
      <c r="B16" s="102" t="s">
        <v>62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11" t="s">
        <v>79</v>
      </c>
      <c r="N16" s="112"/>
      <c r="O16" s="112"/>
      <c r="P16" s="112"/>
      <c r="Q16" s="112"/>
      <c r="R16" s="112"/>
      <c r="S16" s="112"/>
      <c r="T16" s="112"/>
      <c r="U16" s="112"/>
      <c r="V16" s="112"/>
      <c r="W16" s="113"/>
      <c r="X16" s="1"/>
      <c r="Y16" s="1"/>
      <c r="Z16" s="1"/>
      <c r="AA16" s="1"/>
      <c r="AB16" s="1"/>
      <c r="AC16" s="1"/>
      <c r="AD16" s="111" t="s">
        <v>79</v>
      </c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3"/>
      <c r="AR16" s="1"/>
      <c r="AS16" s="1"/>
      <c r="AT16" s="1"/>
      <c r="AU16" s="1"/>
      <c r="AX16" s="19"/>
      <c r="AY16" s="20"/>
    </row>
    <row r="17" spans="2:47" ht="15" customHeight="1" x14ac:dyDescent="0.3">
      <c r="B17" s="102" t="s">
        <v>12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11" t="s">
        <v>79</v>
      </c>
      <c r="N17" s="112"/>
      <c r="O17" s="112"/>
      <c r="P17" s="112"/>
      <c r="Q17" s="112"/>
      <c r="R17" s="112"/>
      <c r="S17" s="112"/>
      <c r="T17" s="112"/>
      <c r="U17" s="112"/>
      <c r="V17" s="112"/>
      <c r="W17" s="113"/>
      <c r="X17" s="1"/>
      <c r="Y17" s="1"/>
      <c r="Z17" s="1"/>
      <c r="AA17" s="1"/>
      <c r="AB17" s="1"/>
      <c r="AC17" s="1"/>
      <c r="AD17" s="111" t="s">
        <v>79</v>
      </c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3"/>
      <c r="AR17" s="1"/>
      <c r="AS17" s="1"/>
      <c r="AT17" s="1"/>
      <c r="AU17" s="1"/>
    </row>
    <row r="18" spans="2:47" ht="15" customHeight="1" x14ac:dyDescent="0.3">
      <c r="B18" s="102" t="s">
        <v>13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11" t="s">
        <v>79</v>
      </c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3"/>
      <c r="AR18" s="1"/>
      <c r="AS18" s="1"/>
      <c r="AT18" s="1"/>
      <c r="AU18" s="1"/>
    </row>
    <row r="19" spans="2:47" ht="15" customHeight="1" x14ac:dyDescent="0.3">
      <c r="B19" s="102" t="s">
        <v>19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11" t="s">
        <v>79</v>
      </c>
      <c r="N19" s="112"/>
      <c r="O19" s="112"/>
      <c r="P19" s="112"/>
      <c r="Q19" s="112"/>
      <c r="R19" s="112"/>
      <c r="S19" s="112"/>
      <c r="T19" s="112"/>
      <c r="U19" s="112"/>
      <c r="V19" s="112"/>
      <c r="W19" s="113"/>
      <c r="X19" s="1"/>
      <c r="Y19" s="1"/>
      <c r="Z19" s="1"/>
      <c r="AA19" s="1"/>
      <c r="AB19" s="1"/>
      <c r="AC19" s="1"/>
      <c r="AD19" s="111" t="s">
        <v>79</v>
      </c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3"/>
      <c r="AR19" s="1"/>
      <c r="AS19" s="1"/>
      <c r="AT19" s="1"/>
      <c r="AU19" s="1"/>
    </row>
    <row r="20" spans="2:47" ht="15" customHeight="1" x14ac:dyDescent="0.3">
      <c r="B20" s="102" t="s">
        <v>20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11" t="s">
        <v>79</v>
      </c>
      <c r="N20" s="112"/>
      <c r="O20" s="112"/>
      <c r="P20" s="112"/>
      <c r="Q20" s="112"/>
      <c r="R20" s="112"/>
      <c r="S20" s="112"/>
      <c r="T20" s="112"/>
      <c r="U20" s="112"/>
      <c r="V20" s="112"/>
      <c r="W20" s="113"/>
      <c r="X20" s="1"/>
      <c r="Y20" s="1"/>
      <c r="Z20" s="1"/>
      <c r="AA20" s="1"/>
      <c r="AB20" s="1"/>
      <c r="AC20" s="1"/>
      <c r="AD20" s="111" t="s">
        <v>79</v>
      </c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3"/>
      <c r="AR20" s="1"/>
      <c r="AS20" s="1"/>
      <c r="AT20" s="1"/>
      <c r="AU20" s="1"/>
    </row>
    <row r="21" spans="2:47" ht="15" customHeight="1" x14ac:dyDescent="0.3">
      <c r="B21" s="102" t="s">
        <v>21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11" t="s">
        <v>80</v>
      </c>
      <c r="N21" s="112"/>
      <c r="O21" s="112"/>
      <c r="P21" s="112"/>
      <c r="Q21" s="112"/>
      <c r="R21" s="112"/>
      <c r="S21" s="112"/>
      <c r="T21" s="112"/>
      <c r="U21" s="112"/>
      <c r="V21" s="112"/>
      <c r="W21" s="113"/>
      <c r="X21" s="1"/>
      <c r="Y21" s="1"/>
      <c r="Z21" s="1"/>
      <c r="AA21" s="1"/>
      <c r="AB21" s="1"/>
      <c r="AC21" s="1"/>
      <c r="AD21" s="111" t="s">
        <v>80</v>
      </c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3"/>
      <c r="AR21" s="1"/>
      <c r="AS21" s="1"/>
      <c r="AT21" s="1"/>
      <c r="AU21" s="1"/>
    </row>
    <row r="25" spans="2:47" x14ac:dyDescent="0.3">
      <c r="E25" s="16"/>
    </row>
  </sheetData>
  <mergeCells count="50">
    <mergeCell ref="AO2:AU2"/>
    <mergeCell ref="B5:L5"/>
    <mergeCell ref="M5:P5"/>
    <mergeCell ref="B6:L6"/>
    <mergeCell ref="B7:L7"/>
    <mergeCell ref="AD5:AQ5"/>
    <mergeCell ref="X6:AQ6"/>
    <mergeCell ref="X7:AQ7"/>
    <mergeCell ref="B4:L4"/>
    <mergeCell ref="M2:S2"/>
    <mergeCell ref="T2:Z2"/>
    <mergeCell ref="AA2:AG2"/>
    <mergeCell ref="AH2:AN2"/>
    <mergeCell ref="B8:L8"/>
    <mergeCell ref="B9:L9"/>
    <mergeCell ref="B10:L10"/>
    <mergeCell ref="AD10:AQ10"/>
    <mergeCell ref="X8:AQ8"/>
    <mergeCell ref="X9:AQ9"/>
    <mergeCell ref="B11:L11"/>
    <mergeCell ref="B12:L12"/>
    <mergeCell ref="M12:W12"/>
    <mergeCell ref="B13:L13"/>
    <mergeCell ref="M13:W13"/>
    <mergeCell ref="B14:L14"/>
    <mergeCell ref="M14:P14"/>
    <mergeCell ref="B15:L15"/>
    <mergeCell ref="M15:W15"/>
    <mergeCell ref="B16:L16"/>
    <mergeCell ref="M16:W16"/>
    <mergeCell ref="B17:L17"/>
    <mergeCell ref="M17:W17"/>
    <mergeCell ref="B18:L18"/>
    <mergeCell ref="B19:L19"/>
    <mergeCell ref="M19:W19"/>
    <mergeCell ref="AD21:AQ21"/>
    <mergeCell ref="B20:L20"/>
    <mergeCell ref="M20:W20"/>
    <mergeCell ref="B21:L21"/>
    <mergeCell ref="M21:W21"/>
    <mergeCell ref="AD11:AQ11"/>
    <mergeCell ref="AD14:AQ14"/>
    <mergeCell ref="AD18:AQ18"/>
    <mergeCell ref="AD19:AQ19"/>
    <mergeCell ref="AD20:AQ20"/>
    <mergeCell ref="AD17:AQ17"/>
    <mergeCell ref="AD15:AQ15"/>
    <mergeCell ref="AD16:AQ16"/>
    <mergeCell ref="AD12:AQ12"/>
    <mergeCell ref="AD13:AQ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D4" sqref="AD4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00" t="s">
        <v>14</v>
      </c>
      <c r="N2" s="100"/>
      <c r="O2" s="100"/>
      <c r="P2" s="100"/>
      <c r="Q2" s="100"/>
      <c r="R2" s="100"/>
      <c r="S2" s="100"/>
      <c r="T2" s="100" t="s">
        <v>15</v>
      </c>
      <c r="U2" s="100"/>
      <c r="V2" s="100"/>
      <c r="W2" s="100"/>
      <c r="X2" s="100"/>
      <c r="Y2" s="100"/>
      <c r="Z2" s="100"/>
      <c r="AA2" s="100" t="s">
        <v>16</v>
      </c>
      <c r="AB2" s="100"/>
      <c r="AC2" s="100"/>
      <c r="AD2" s="100"/>
      <c r="AE2" s="100"/>
      <c r="AF2" s="100"/>
      <c r="AG2" s="100"/>
      <c r="AH2" s="100" t="s">
        <v>17</v>
      </c>
      <c r="AI2" s="100"/>
      <c r="AJ2" s="100"/>
      <c r="AK2" s="100"/>
      <c r="AL2" s="100"/>
      <c r="AM2" s="100"/>
      <c r="AN2" s="100"/>
      <c r="AO2" s="100" t="s">
        <v>18</v>
      </c>
      <c r="AP2" s="100"/>
      <c r="AQ2" s="100"/>
      <c r="AR2" s="100"/>
      <c r="AS2" s="100"/>
      <c r="AT2" s="100"/>
      <c r="AU2" s="100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01" t="s">
        <v>81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3">
      <c r="B5" s="102" t="s">
        <v>4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11" t="s">
        <v>79</v>
      </c>
      <c r="N5" s="112"/>
      <c r="O5" s="112"/>
      <c r="P5" s="1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11" t="s">
        <v>82</v>
      </c>
      <c r="AI5" s="112"/>
      <c r="AJ5" s="112"/>
      <c r="AK5" s="112"/>
      <c r="AL5" s="112"/>
      <c r="AM5" s="112"/>
      <c r="AN5" s="112"/>
      <c r="AO5" s="112"/>
      <c r="AP5" s="113"/>
      <c r="AQ5" s="1"/>
      <c r="AR5" s="1"/>
      <c r="AS5" s="1"/>
      <c r="AT5" s="1"/>
      <c r="AU5" s="1"/>
    </row>
    <row r="6" spans="2:51" ht="15" customHeight="1" x14ac:dyDescent="0.3">
      <c r="B6" s="102" t="s">
        <v>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11" t="s">
        <v>79</v>
      </c>
      <c r="Y6" s="112"/>
      <c r="Z6" s="112"/>
      <c r="AA6" s="112"/>
      <c r="AB6" s="112"/>
      <c r="AC6" s="112"/>
      <c r="AD6" s="112"/>
      <c r="AE6" s="112"/>
      <c r="AF6" s="112"/>
      <c r="AG6" s="1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02" t="s">
        <v>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1" t="s">
        <v>79</v>
      </c>
      <c r="Y7" s="112"/>
      <c r="Z7" s="112"/>
      <c r="AA7" s="112"/>
      <c r="AB7" s="112"/>
      <c r="AC7" s="112"/>
      <c r="AD7" s="112"/>
      <c r="AE7" s="112"/>
      <c r="AF7" s="112"/>
      <c r="AG7" s="1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02" t="s">
        <v>6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11" t="s">
        <v>79</v>
      </c>
      <c r="Y8" s="112"/>
      <c r="Z8" s="112"/>
      <c r="AA8" s="112"/>
      <c r="AB8" s="112"/>
      <c r="AC8" s="112"/>
      <c r="AD8" s="112"/>
      <c r="AE8" s="112"/>
      <c r="AF8" s="112"/>
      <c r="AG8" s="1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02" t="s">
        <v>60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11" t="s">
        <v>79</v>
      </c>
      <c r="Y9" s="112"/>
      <c r="Z9" s="112"/>
      <c r="AA9" s="112"/>
      <c r="AB9" s="112"/>
      <c r="AC9" s="112"/>
      <c r="AD9" s="112"/>
      <c r="AE9" s="112"/>
      <c r="AF9" s="112"/>
      <c r="AG9" s="1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11" t="s">
        <v>82</v>
      </c>
      <c r="AI10" s="112"/>
      <c r="AJ10" s="112"/>
      <c r="AK10" s="112"/>
      <c r="AL10" s="112"/>
      <c r="AM10" s="112"/>
      <c r="AN10" s="112"/>
      <c r="AO10" s="112"/>
      <c r="AP10" s="113"/>
      <c r="AQ10" s="1"/>
      <c r="AR10" s="1"/>
      <c r="AS10" s="1"/>
      <c r="AT10" s="1"/>
      <c r="AU10" s="1"/>
    </row>
    <row r="11" spans="2:51" ht="15" customHeight="1" x14ac:dyDescent="0.3">
      <c r="B11" s="102" t="s">
        <v>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11" t="s">
        <v>82</v>
      </c>
      <c r="AI11" s="112"/>
      <c r="AJ11" s="112"/>
      <c r="AK11" s="112"/>
      <c r="AL11" s="112"/>
      <c r="AM11" s="112"/>
      <c r="AN11" s="112"/>
      <c r="AO11" s="112"/>
      <c r="AP11" s="113"/>
      <c r="AQ11" s="1"/>
      <c r="AR11" s="1"/>
      <c r="AS11" s="1"/>
      <c r="AT11" s="1"/>
      <c r="AU11" s="1"/>
      <c r="AY11" s="20"/>
    </row>
    <row r="12" spans="2:51" ht="15" customHeight="1" x14ac:dyDescent="0.3">
      <c r="B12" s="102" t="s">
        <v>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11" t="s">
        <v>79</v>
      </c>
      <c r="N12" s="112"/>
      <c r="O12" s="112"/>
      <c r="P12" s="112"/>
      <c r="Q12" s="112"/>
      <c r="R12" s="112"/>
      <c r="S12" s="112"/>
      <c r="T12" s="112"/>
      <c r="U12" s="112"/>
      <c r="V12" s="112"/>
      <c r="W12" s="113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02" t="s">
        <v>61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11" t="s">
        <v>79</v>
      </c>
      <c r="N13" s="112"/>
      <c r="O13" s="112"/>
      <c r="P13" s="112"/>
      <c r="Q13" s="112"/>
      <c r="R13" s="112"/>
      <c r="S13" s="112"/>
      <c r="T13" s="112"/>
      <c r="U13" s="112"/>
      <c r="V13" s="112"/>
      <c r="W13" s="113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02" t="s">
        <v>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11" t="s">
        <v>79</v>
      </c>
      <c r="N14" s="112"/>
      <c r="O14" s="112"/>
      <c r="P14" s="1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11" t="s">
        <v>82</v>
      </c>
      <c r="AI14" s="112"/>
      <c r="AJ14" s="112"/>
      <c r="AK14" s="112"/>
      <c r="AL14" s="112"/>
      <c r="AM14" s="112"/>
      <c r="AN14" s="112"/>
      <c r="AO14" s="112"/>
      <c r="AP14" s="113"/>
      <c r="AQ14" s="1"/>
      <c r="AR14" s="1"/>
      <c r="AS14" s="1"/>
      <c r="AT14" s="1"/>
      <c r="AU14" s="1"/>
      <c r="AX14" s="19"/>
      <c r="AY14" s="20"/>
    </row>
    <row r="15" spans="2:51" ht="15" customHeight="1" x14ac:dyDescent="0.3">
      <c r="B15" s="102" t="s">
        <v>11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11" t="s">
        <v>79</v>
      </c>
      <c r="N15" s="112"/>
      <c r="O15" s="112"/>
      <c r="P15" s="112"/>
      <c r="Q15" s="112"/>
      <c r="R15" s="112"/>
      <c r="S15" s="112"/>
      <c r="T15" s="112"/>
      <c r="U15" s="112"/>
      <c r="V15" s="112"/>
      <c r="W15" s="113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02" t="s">
        <v>62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11" t="s">
        <v>79</v>
      </c>
      <c r="N16" s="112"/>
      <c r="O16" s="112"/>
      <c r="P16" s="112"/>
      <c r="Q16" s="112"/>
      <c r="R16" s="112"/>
      <c r="S16" s="112"/>
      <c r="T16" s="112"/>
      <c r="U16" s="112"/>
      <c r="V16" s="112"/>
      <c r="W16" s="113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02" t="s">
        <v>12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11" t="s">
        <v>79</v>
      </c>
      <c r="N17" s="112"/>
      <c r="O17" s="112"/>
      <c r="P17" s="112"/>
      <c r="Q17" s="112"/>
      <c r="R17" s="112"/>
      <c r="S17" s="112"/>
      <c r="T17" s="112"/>
      <c r="U17" s="112"/>
      <c r="V17" s="112"/>
      <c r="W17" s="113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02" t="s">
        <v>13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11" t="s">
        <v>82</v>
      </c>
      <c r="AI18" s="112"/>
      <c r="AJ18" s="112"/>
      <c r="AK18" s="112"/>
      <c r="AL18" s="112"/>
      <c r="AM18" s="112"/>
      <c r="AN18" s="112"/>
      <c r="AO18" s="112"/>
      <c r="AP18" s="113"/>
      <c r="AQ18" s="1"/>
      <c r="AR18" s="1"/>
      <c r="AS18" s="1"/>
      <c r="AT18" s="1"/>
      <c r="AU18" s="1"/>
    </row>
    <row r="19" spans="2:47" ht="15" customHeight="1" x14ac:dyDescent="0.3">
      <c r="B19" s="102" t="s">
        <v>19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11" t="s">
        <v>79</v>
      </c>
      <c r="N19" s="112"/>
      <c r="O19" s="112"/>
      <c r="P19" s="112"/>
      <c r="Q19" s="112"/>
      <c r="R19" s="112"/>
      <c r="S19" s="112"/>
      <c r="T19" s="112"/>
      <c r="U19" s="112"/>
      <c r="V19" s="112"/>
      <c r="W19" s="113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11" t="s">
        <v>82</v>
      </c>
      <c r="AI19" s="112"/>
      <c r="AJ19" s="112"/>
      <c r="AK19" s="112"/>
      <c r="AL19" s="112"/>
      <c r="AM19" s="112"/>
      <c r="AN19" s="112"/>
      <c r="AO19" s="112"/>
      <c r="AP19" s="113"/>
      <c r="AQ19" s="1"/>
      <c r="AR19" s="1"/>
      <c r="AS19" s="1"/>
      <c r="AT19" s="1"/>
      <c r="AU19" s="1"/>
    </row>
    <row r="20" spans="2:47" ht="15" customHeight="1" x14ac:dyDescent="0.3">
      <c r="B20" s="102" t="s">
        <v>20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11" t="s">
        <v>79</v>
      </c>
      <c r="N20" s="112"/>
      <c r="O20" s="112"/>
      <c r="P20" s="112"/>
      <c r="Q20" s="112"/>
      <c r="R20" s="112"/>
      <c r="S20" s="112"/>
      <c r="T20" s="112"/>
      <c r="U20" s="112"/>
      <c r="V20" s="112"/>
      <c r="W20" s="113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11" t="s">
        <v>82</v>
      </c>
      <c r="AI20" s="112"/>
      <c r="AJ20" s="112"/>
      <c r="AK20" s="112"/>
      <c r="AL20" s="112"/>
      <c r="AM20" s="112"/>
      <c r="AN20" s="112"/>
      <c r="AO20" s="112"/>
      <c r="AP20" s="113"/>
      <c r="AQ20" s="1"/>
      <c r="AR20" s="1"/>
      <c r="AS20" s="1"/>
      <c r="AT20" s="1"/>
      <c r="AU20" s="1"/>
    </row>
    <row r="21" spans="2:47" ht="15" customHeight="1" x14ac:dyDescent="0.3">
      <c r="B21" s="102" t="s">
        <v>21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11" t="s">
        <v>80</v>
      </c>
      <c r="N21" s="112"/>
      <c r="O21" s="112"/>
      <c r="P21" s="112"/>
      <c r="Q21" s="112"/>
      <c r="R21" s="112"/>
      <c r="S21" s="112"/>
      <c r="T21" s="112"/>
      <c r="U21" s="112"/>
      <c r="V21" s="112"/>
      <c r="W21" s="113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11" t="s">
        <v>83</v>
      </c>
      <c r="AI21" s="112"/>
      <c r="AJ21" s="112"/>
      <c r="AK21" s="112"/>
      <c r="AL21" s="112"/>
      <c r="AM21" s="112"/>
      <c r="AN21" s="112"/>
      <c r="AO21" s="112"/>
      <c r="AP21" s="113"/>
      <c r="AQ21" s="1"/>
      <c r="AR21" s="1"/>
      <c r="AS21" s="1"/>
      <c r="AT21" s="1"/>
      <c r="AU21" s="1"/>
    </row>
    <row r="25" spans="2:47" x14ac:dyDescent="0.3">
      <c r="E25" s="16"/>
    </row>
  </sheetData>
  <mergeCells count="45">
    <mergeCell ref="AO2:AU2"/>
    <mergeCell ref="B5:L5"/>
    <mergeCell ref="B6:L6"/>
    <mergeCell ref="B7:L7"/>
    <mergeCell ref="M5:P5"/>
    <mergeCell ref="AH5:AP5"/>
    <mergeCell ref="X6:AG6"/>
    <mergeCell ref="X7:AG7"/>
    <mergeCell ref="B4:L4"/>
    <mergeCell ref="M2:S2"/>
    <mergeCell ref="T2:Z2"/>
    <mergeCell ref="AA2:AG2"/>
    <mergeCell ref="AH2:AN2"/>
    <mergeCell ref="B8:L8"/>
    <mergeCell ref="B9:L9"/>
    <mergeCell ref="B10:L10"/>
    <mergeCell ref="AH10:AP10"/>
    <mergeCell ref="X8:AG8"/>
    <mergeCell ref="X9:AG9"/>
    <mergeCell ref="AH14:AP14"/>
    <mergeCell ref="B11:L11"/>
    <mergeCell ref="AH11:AP11"/>
    <mergeCell ref="B12:L12"/>
    <mergeCell ref="M12:W12"/>
    <mergeCell ref="B13:L13"/>
    <mergeCell ref="M13:W13"/>
    <mergeCell ref="B14:L14"/>
    <mergeCell ref="B15:L15"/>
    <mergeCell ref="M15:W15"/>
    <mergeCell ref="B16:L16"/>
    <mergeCell ref="M16:W16"/>
    <mergeCell ref="M14:P14"/>
    <mergeCell ref="B17:L17"/>
    <mergeCell ref="M17:W17"/>
    <mergeCell ref="B18:L18"/>
    <mergeCell ref="AH18:AP18"/>
    <mergeCell ref="B19:L19"/>
    <mergeCell ref="M19:W19"/>
    <mergeCell ref="AH19:AP19"/>
    <mergeCell ref="B20:L20"/>
    <mergeCell ref="M20:W20"/>
    <mergeCell ref="B21:L21"/>
    <mergeCell ref="M21:W21"/>
    <mergeCell ref="AH20:AP20"/>
    <mergeCell ref="AH21:AP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K26" sqref="AK26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51" x14ac:dyDescent="0.3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23">
        <v>1</v>
      </c>
      <c r="AR3" s="23">
        <v>2</v>
      </c>
      <c r="AS3" s="23">
        <v>3</v>
      </c>
      <c r="AT3" s="23">
        <v>4</v>
      </c>
      <c r="AU3" s="23">
        <v>5</v>
      </c>
    </row>
    <row r="4" spans="2:51" x14ac:dyDescent="0.3">
      <c r="B4" s="101" t="s">
        <v>70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3</v>
      </c>
      <c r="N4" s="2" t="s">
        <v>1</v>
      </c>
      <c r="O4" s="2" t="s">
        <v>1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3</v>
      </c>
      <c r="U4" s="2" t="s">
        <v>1</v>
      </c>
      <c r="V4" s="2" t="s">
        <v>1</v>
      </c>
      <c r="W4" s="2" t="s">
        <v>0</v>
      </c>
      <c r="X4" s="2" t="s">
        <v>1</v>
      </c>
      <c r="Y4" s="2" t="s">
        <v>2</v>
      </c>
      <c r="Z4" s="2" t="s">
        <v>3</v>
      </c>
      <c r="AA4" s="2" t="s">
        <v>3</v>
      </c>
      <c r="AB4" s="2" t="s">
        <v>1</v>
      </c>
      <c r="AC4" s="2" t="s">
        <v>1</v>
      </c>
      <c r="AD4" s="2" t="s">
        <v>0</v>
      </c>
      <c r="AE4" s="2" t="s">
        <v>1</v>
      </c>
      <c r="AF4" s="2" t="s">
        <v>2</v>
      </c>
      <c r="AG4" s="2" t="s">
        <v>3</v>
      </c>
      <c r="AH4" s="2" t="s">
        <v>3</v>
      </c>
      <c r="AI4" s="2" t="s">
        <v>1</v>
      </c>
      <c r="AJ4" s="2" t="s">
        <v>1</v>
      </c>
      <c r="AK4" s="2" t="s">
        <v>0</v>
      </c>
      <c r="AL4" s="2" t="s">
        <v>1</v>
      </c>
      <c r="AM4" s="2" t="s">
        <v>2</v>
      </c>
      <c r="AN4" s="2" t="s">
        <v>3</v>
      </c>
      <c r="AO4" s="2" t="s">
        <v>3</v>
      </c>
      <c r="AP4" s="2" t="s">
        <v>1</v>
      </c>
      <c r="AQ4" s="2" t="s">
        <v>1</v>
      </c>
      <c r="AR4" s="2" t="s">
        <v>0</v>
      </c>
      <c r="AS4" s="2" t="s">
        <v>1</v>
      </c>
      <c r="AT4" s="2" t="s">
        <v>2</v>
      </c>
      <c r="AU4" s="2" t="s">
        <v>3</v>
      </c>
    </row>
    <row r="5" spans="2:51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67" t="s">
        <v>57</v>
      </c>
      <c r="AP5" s="68"/>
      <c r="AQ5" s="68"/>
      <c r="AR5" s="68"/>
      <c r="AS5" s="68"/>
      <c r="AT5" s="68"/>
      <c r="AU5" s="1"/>
    </row>
    <row r="6" spans="2:51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67" t="s">
        <v>57</v>
      </c>
      <c r="Z6" s="68"/>
      <c r="AA6" s="68"/>
      <c r="AB6" s="68"/>
      <c r="AC6" s="68"/>
      <c r="AD6" s="68"/>
      <c r="AE6" s="68"/>
      <c r="AF6" s="9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15" t="s">
        <v>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7" t="s">
        <v>57</v>
      </c>
      <c r="Z7" s="68"/>
      <c r="AA7" s="68"/>
      <c r="AB7" s="68"/>
      <c r="AC7" s="68"/>
      <c r="AD7" s="68"/>
      <c r="AE7" s="68"/>
      <c r="AF7" s="92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14" t="s">
        <v>6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67" t="s">
        <v>57</v>
      </c>
      <c r="Z8" s="68"/>
      <c r="AA8" s="68"/>
      <c r="AB8" s="68"/>
      <c r="AC8" s="68"/>
      <c r="AD8" s="68"/>
      <c r="AE8" s="68"/>
      <c r="AF8" s="92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15" t="s">
        <v>60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67" t="s">
        <v>57</v>
      </c>
      <c r="Z9" s="68"/>
      <c r="AA9" s="68"/>
      <c r="AB9" s="68"/>
      <c r="AC9" s="68"/>
      <c r="AD9" s="68"/>
      <c r="AE9" s="68"/>
      <c r="AF9" s="9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67" t="s">
        <v>57</v>
      </c>
      <c r="AI10" s="68"/>
      <c r="AJ10" s="68"/>
      <c r="AK10" s="68"/>
      <c r="AL10" s="68"/>
      <c r="AM10" s="68"/>
      <c r="AN10" s="68"/>
      <c r="AO10" s="68"/>
      <c r="AP10" s="92"/>
      <c r="AQ10" s="1"/>
      <c r="AR10" s="1"/>
      <c r="AS10" s="1"/>
      <c r="AT10" s="1"/>
      <c r="AU10" s="1"/>
    </row>
    <row r="11" spans="2:51" ht="15" customHeight="1" x14ac:dyDescent="0.3">
      <c r="B11" s="114" t="s">
        <v>8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67" t="s">
        <v>57</v>
      </c>
      <c r="AI11" s="68"/>
      <c r="AJ11" s="68"/>
      <c r="AK11" s="68"/>
      <c r="AL11" s="68"/>
      <c r="AM11" s="68"/>
      <c r="AN11" s="68"/>
      <c r="AO11" s="68"/>
      <c r="AP11" s="92"/>
      <c r="AQ11" s="1"/>
      <c r="AR11" s="1"/>
      <c r="AS11" s="1"/>
      <c r="AT11" s="1"/>
      <c r="AU11" s="1"/>
      <c r="AY11" s="20"/>
    </row>
    <row r="12" spans="2:51" ht="15" customHeight="1" x14ac:dyDescent="0.3">
      <c r="B12" s="114" t="s">
        <v>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67" t="s">
        <v>57</v>
      </c>
      <c r="N12" s="68"/>
      <c r="O12" s="68"/>
      <c r="P12" s="68"/>
      <c r="Q12" s="68"/>
      <c r="R12" s="68"/>
      <c r="S12" s="68"/>
      <c r="T12" s="68"/>
      <c r="U12" s="68"/>
      <c r="V12" s="68"/>
      <c r="W12" s="9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15" t="s">
        <v>61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67" t="s">
        <v>57</v>
      </c>
      <c r="N13" s="68"/>
      <c r="O13" s="68"/>
      <c r="P13" s="68"/>
      <c r="Q13" s="68"/>
      <c r="R13" s="68"/>
      <c r="S13" s="68"/>
      <c r="T13" s="68"/>
      <c r="U13" s="68"/>
      <c r="V13" s="68"/>
      <c r="W13" s="9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14" t="s">
        <v>10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67" t="s">
        <v>57</v>
      </c>
      <c r="AP14" s="68"/>
      <c r="AQ14" s="68"/>
      <c r="AR14" s="68"/>
      <c r="AS14" s="68"/>
      <c r="AT14" s="68"/>
      <c r="AU14" s="1"/>
      <c r="AX14" s="19"/>
      <c r="AY14" s="20"/>
    </row>
    <row r="15" spans="2:51" ht="15" customHeight="1" x14ac:dyDescent="0.3">
      <c r="B15" s="114" t="s">
        <v>11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67" t="s">
        <v>57</v>
      </c>
      <c r="N15" s="68"/>
      <c r="O15" s="68"/>
      <c r="P15" s="68"/>
      <c r="Q15" s="68"/>
      <c r="R15" s="68"/>
      <c r="S15" s="68"/>
      <c r="T15" s="68"/>
      <c r="U15" s="68"/>
      <c r="V15" s="68"/>
      <c r="W15" s="9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15" t="s">
        <v>62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67" t="s">
        <v>57</v>
      </c>
      <c r="N16" s="68"/>
      <c r="O16" s="68"/>
      <c r="P16" s="68"/>
      <c r="Q16" s="68"/>
      <c r="R16" s="68"/>
      <c r="S16" s="68"/>
      <c r="T16" s="68"/>
      <c r="U16" s="68"/>
      <c r="V16" s="68"/>
      <c r="W16" s="9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14" t="s">
        <v>12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67" t="s">
        <v>57</v>
      </c>
      <c r="N17" s="68"/>
      <c r="O17" s="68"/>
      <c r="P17" s="68"/>
      <c r="Q17" s="68"/>
      <c r="R17" s="68"/>
      <c r="S17" s="68"/>
      <c r="T17" s="68"/>
      <c r="U17" s="68"/>
      <c r="V17" s="68"/>
      <c r="W17" s="92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14" t="s">
        <v>13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67" t="s">
        <v>57</v>
      </c>
      <c r="AI18" s="68"/>
      <c r="AJ18" s="68"/>
      <c r="AK18" s="68"/>
      <c r="AL18" s="68"/>
      <c r="AM18" s="68"/>
      <c r="AN18" s="68"/>
      <c r="AO18" s="68"/>
      <c r="AP18" s="68"/>
      <c r="AQ18" s="1"/>
      <c r="AR18" s="1"/>
      <c r="AS18" s="1"/>
      <c r="AT18" s="1"/>
      <c r="AU18" s="1"/>
    </row>
    <row r="19" spans="2:47" ht="15" customHeight="1" x14ac:dyDescent="0.3">
      <c r="B19" s="114" t="s">
        <v>19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67" t="s">
        <v>57</v>
      </c>
      <c r="N19" s="68"/>
      <c r="O19" s="68"/>
      <c r="P19" s="68"/>
      <c r="Q19" s="68"/>
      <c r="R19" s="68"/>
      <c r="S19" s="68"/>
      <c r="T19" s="68"/>
      <c r="U19" s="68"/>
      <c r="V19" s="68"/>
      <c r="W19" s="92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7" t="s">
        <v>57</v>
      </c>
      <c r="AI19" s="68"/>
      <c r="AJ19" s="68"/>
      <c r="AK19" s="68"/>
      <c r="AL19" s="68"/>
      <c r="AM19" s="68"/>
      <c r="AN19" s="1"/>
      <c r="AO19" s="1"/>
      <c r="AP19" s="1"/>
      <c r="AQ19" s="1"/>
      <c r="AR19" s="1"/>
      <c r="AS19" s="1"/>
      <c r="AT19" s="1"/>
      <c r="AU19" s="1"/>
    </row>
    <row r="20" spans="2:47" ht="15" customHeight="1" x14ac:dyDescent="0.3">
      <c r="B20" s="114" t="s">
        <v>20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67" t="s">
        <v>57</v>
      </c>
      <c r="N20" s="68"/>
      <c r="O20" s="68"/>
      <c r="P20" s="68"/>
      <c r="Q20" s="68"/>
      <c r="R20" s="68"/>
      <c r="S20" s="68"/>
      <c r="T20" s="68"/>
      <c r="U20" s="68"/>
      <c r="V20" s="68"/>
      <c r="W20" s="9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7" t="s">
        <v>57</v>
      </c>
      <c r="AI20" s="68"/>
      <c r="AJ20" s="68"/>
      <c r="AK20" s="68"/>
      <c r="AL20" s="68"/>
      <c r="AM20" s="68"/>
      <c r="AN20" s="1"/>
      <c r="AO20" s="1"/>
      <c r="AP20" s="1"/>
      <c r="AQ20" s="1"/>
      <c r="AR20" s="1"/>
      <c r="AS20" s="1"/>
      <c r="AT20" s="1"/>
      <c r="AU20" s="1"/>
    </row>
    <row r="21" spans="2:47" ht="15" customHeight="1" x14ac:dyDescent="0.3">
      <c r="B21" s="114" t="s">
        <v>21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7" t="s">
        <v>69</v>
      </c>
      <c r="N21" s="118"/>
      <c r="O21" s="118"/>
      <c r="P21" s="118"/>
      <c r="Q21" s="118"/>
      <c r="R21" s="118"/>
      <c r="S21" s="118"/>
      <c r="T21" s="118"/>
      <c r="U21" s="118"/>
      <c r="V21" s="118"/>
      <c r="W21" s="119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20" t="s">
        <v>69</v>
      </c>
      <c r="AI21" s="121"/>
      <c r="AJ21" s="121"/>
      <c r="AK21" s="121"/>
      <c r="AL21" s="121"/>
      <c r="AM21" s="121"/>
      <c r="AN21" s="1"/>
      <c r="AO21" s="1"/>
      <c r="AP21" s="1"/>
      <c r="AQ21" s="1"/>
      <c r="AR21" s="1"/>
      <c r="AS21" s="1"/>
      <c r="AT21" s="1"/>
      <c r="AU21" s="1"/>
    </row>
    <row r="25" spans="2:47" x14ac:dyDescent="0.3">
      <c r="E25" s="16"/>
    </row>
  </sheetData>
  <mergeCells count="43">
    <mergeCell ref="AH19:AM19"/>
    <mergeCell ref="AH20:AM20"/>
    <mergeCell ref="AH21:AM21"/>
    <mergeCell ref="AH18:AP18"/>
    <mergeCell ref="AO5:AT5"/>
    <mergeCell ref="AO14:AT14"/>
    <mergeCell ref="AH10:AP10"/>
    <mergeCell ref="AH11:AP11"/>
    <mergeCell ref="B15:L15"/>
    <mergeCell ref="B16:L16"/>
    <mergeCell ref="M15:W15"/>
    <mergeCell ref="B20:L20"/>
    <mergeCell ref="B21:L21"/>
    <mergeCell ref="M20:W20"/>
    <mergeCell ref="M21:W21"/>
    <mergeCell ref="B17:L17"/>
    <mergeCell ref="B18:L18"/>
    <mergeCell ref="B19:L19"/>
    <mergeCell ref="M17:W17"/>
    <mergeCell ref="M19:W19"/>
    <mergeCell ref="M16:W16"/>
    <mergeCell ref="AO2:AU2"/>
    <mergeCell ref="B5:L5"/>
    <mergeCell ref="B6:L6"/>
    <mergeCell ref="B7:L7"/>
    <mergeCell ref="Y6:AF6"/>
    <mergeCell ref="Y7:AF7"/>
    <mergeCell ref="B4:L4"/>
    <mergeCell ref="M2:S2"/>
    <mergeCell ref="T2:Z2"/>
    <mergeCell ref="AA2:AG2"/>
    <mergeCell ref="AH2:AN2"/>
    <mergeCell ref="B8:L8"/>
    <mergeCell ref="B9:L9"/>
    <mergeCell ref="B10:L10"/>
    <mergeCell ref="Y8:AF8"/>
    <mergeCell ref="B11:L11"/>
    <mergeCell ref="Y9:AF9"/>
    <mergeCell ref="B12:L12"/>
    <mergeCell ref="B13:L13"/>
    <mergeCell ref="M12:W12"/>
    <mergeCell ref="M13:W13"/>
    <mergeCell ref="B14:L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K5" sqref="AK5:AP5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51" x14ac:dyDescent="0.3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>
        <v>31</v>
      </c>
      <c r="AR3" s="3"/>
      <c r="AS3" s="3"/>
      <c r="AT3" s="3"/>
      <c r="AU3" s="3"/>
    </row>
    <row r="4" spans="2:51" x14ac:dyDescent="0.3">
      <c r="B4" s="101" t="s">
        <v>68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66</v>
      </c>
      <c r="N4" s="2" t="s">
        <v>2</v>
      </c>
      <c r="O4" s="2" t="s">
        <v>3</v>
      </c>
      <c r="P4" s="2" t="s">
        <v>3</v>
      </c>
      <c r="Q4" s="2" t="s">
        <v>1</v>
      </c>
      <c r="R4" s="2" t="s">
        <v>1</v>
      </c>
      <c r="S4" s="2" t="s">
        <v>0</v>
      </c>
      <c r="T4" s="2" t="s">
        <v>66</v>
      </c>
      <c r="U4" s="2" t="s">
        <v>2</v>
      </c>
      <c r="V4" s="2" t="s">
        <v>3</v>
      </c>
      <c r="W4" s="2" t="s">
        <v>3</v>
      </c>
      <c r="X4" s="2" t="s">
        <v>1</v>
      </c>
      <c r="Y4" s="2" t="s">
        <v>1</v>
      </c>
      <c r="Z4" s="2" t="s">
        <v>0</v>
      </c>
      <c r="AA4" s="2" t="s">
        <v>66</v>
      </c>
      <c r="AB4" s="2" t="s">
        <v>2</v>
      </c>
      <c r="AC4" s="2" t="s">
        <v>3</v>
      </c>
      <c r="AD4" s="2" t="s">
        <v>3</v>
      </c>
      <c r="AE4" s="2" t="s">
        <v>1</v>
      </c>
      <c r="AF4" s="2" t="s">
        <v>1</v>
      </c>
      <c r="AG4" s="2" t="s">
        <v>0</v>
      </c>
      <c r="AH4" s="2" t="s">
        <v>66</v>
      </c>
      <c r="AI4" s="2" t="s">
        <v>2</v>
      </c>
      <c r="AJ4" s="2" t="s">
        <v>3</v>
      </c>
      <c r="AK4" s="2" t="s">
        <v>3</v>
      </c>
      <c r="AL4" s="2" t="s">
        <v>1</v>
      </c>
      <c r="AM4" s="2" t="s">
        <v>1</v>
      </c>
      <c r="AN4" s="2" t="s">
        <v>0</v>
      </c>
      <c r="AO4" s="2" t="s">
        <v>66</v>
      </c>
      <c r="AP4" s="2" t="s">
        <v>2</v>
      </c>
      <c r="AQ4" s="2" t="s">
        <v>3</v>
      </c>
      <c r="AR4" s="2"/>
      <c r="AS4" s="2"/>
      <c r="AT4" s="2"/>
      <c r="AU4" s="2"/>
    </row>
    <row r="5" spans="2:51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67" t="s">
        <v>46</v>
      </c>
      <c r="AL5" s="68"/>
      <c r="AM5" s="68"/>
      <c r="AN5" s="68"/>
      <c r="AO5" s="68"/>
      <c r="AP5" s="68"/>
      <c r="AQ5" s="1"/>
      <c r="AR5" s="1"/>
      <c r="AS5" s="1"/>
      <c r="AT5" s="1"/>
      <c r="AU5" s="1"/>
    </row>
    <row r="6" spans="2:51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67" t="s">
        <v>57</v>
      </c>
      <c r="X6" s="68"/>
      <c r="Y6" s="68"/>
      <c r="Z6" s="68"/>
      <c r="AA6" s="68"/>
      <c r="AB6" s="68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15" t="s">
        <v>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"/>
      <c r="N7" s="1"/>
      <c r="O7" s="1"/>
      <c r="P7" s="1"/>
      <c r="Q7" s="1"/>
      <c r="R7" s="1"/>
      <c r="S7" s="1"/>
      <c r="T7" s="1"/>
      <c r="U7" s="1"/>
      <c r="V7" s="1"/>
      <c r="W7" s="97" t="s">
        <v>57</v>
      </c>
      <c r="X7" s="98"/>
      <c r="Y7" s="98"/>
      <c r="Z7" s="98"/>
      <c r="AA7" s="98"/>
      <c r="AB7" s="98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14" t="s">
        <v>6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"/>
      <c r="N8" s="1"/>
      <c r="O8" s="1"/>
      <c r="P8" s="1"/>
      <c r="Q8" s="1"/>
      <c r="R8" s="1"/>
      <c r="S8" s="1"/>
      <c r="T8" s="1"/>
      <c r="U8" s="1"/>
      <c r="V8" s="1"/>
      <c r="W8" s="67" t="s">
        <v>57</v>
      </c>
      <c r="X8" s="68"/>
      <c r="Y8" s="68"/>
      <c r="Z8" s="68"/>
      <c r="AA8" s="68"/>
      <c r="AB8" s="68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15" t="s">
        <v>60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97" t="s">
        <v>57</v>
      </c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9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67" t="s">
        <v>57</v>
      </c>
      <c r="AL10" s="68"/>
      <c r="AM10" s="68"/>
      <c r="AN10" s="68"/>
      <c r="AO10" s="68"/>
      <c r="AP10" s="68"/>
      <c r="AQ10" s="1"/>
      <c r="AR10" s="1"/>
      <c r="AS10" s="1"/>
      <c r="AT10" s="1"/>
      <c r="AU10" s="1"/>
    </row>
    <row r="11" spans="2:51" ht="15" customHeight="1" x14ac:dyDescent="0.3">
      <c r="B11" s="114" t="s">
        <v>8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67" t="s">
        <v>57</v>
      </c>
      <c r="AL11" s="68"/>
      <c r="AM11" s="68"/>
      <c r="AN11" s="68"/>
      <c r="AO11" s="68"/>
      <c r="AP11" s="68"/>
      <c r="AQ11" s="1"/>
      <c r="AR11" s="1"/>
      <c r="AS11" s="1"/>
      <c r="AT11" s="1"/>
      <c r="AU11" s="1"/>
      <c r="AY11" s="20"/>
    </row>
    <row r="12" spans="2:51" ht="15" customHeight="1" x14ac:dyDescent="0.3">
      <c r="B12" s="114" t="s">
        <v>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67" t="s">
        <v>57</v>
      </c>
      <c r="N12" s="68"/>
      <c r="O12" s="68"/>
      <c r="P12" s="68"/>
      <c r="Q12" s="68"/>
      <c r="R12" s="68"/>
      <c r="S12" s="68"/>
      <c r="T12" s="68"/>
      <c r="U12" s="68"/>
      <c r="V12" s="92"/>
      <c r="W12" s="1"/>
      <c r="X12" s="1"/>
      <c r="Y12" s="1"/>
      <c r="Z12" s="1"/>
      <c r="AA12" s="1"/>
      <c r="AB12" s="1"/>
      <c r="AC12" s="1"/>
      <c r="AD12" s="67" t="s">
        <v>57</v>
      </c>
      <c r="AE12" s="68"/>
      <c r="AF12" s="68"/>
      <c r="AG12" s="68"/>
      <c r="AH12" s="68"/>
      <c r="AI12" s="68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15" t="s">
        <v>61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97" t="s">
        <v>57</v>
      </c>
      <c r="N13" s="98"/>
      <c r="O13" s="98"/>
      <c r="P13" s="98"/>
      <c r="Q13" s="98"/>
      <c r="R13" s="98"/>
      <c r="S13" s="98"/>
      <c r="T13" s="98"/>
      <c r="U13" s="98"/>
      <c r="V13" s="99"/>
      <c r="W13" s="1"/>
      <c r="X13" s="1"/>
      <c r="Y13" s="1"/>
      <c r="Z13" s="1"/>
      <c r="AA13" s="1"/>
      <c r="AB13" s="1"/>
      <c r="AC13" s="1"/>
      <c r="AD13" s="97" t="s">
        <v>57</v>
      </c>
      <c r="AE13" s="98"/>
      <c r="AF13" s="98"/>
      <c r="AG13" s="98"/>
      <c r="AH13" s="98"/>
      <c r="AI13" s="98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14" t="s">
        <v>10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67" t="s">
        <v>46</v>
      </c>
      <c r="AL14" s="68"/>
      <c r="AM14" s="68"/>
      <c r="AN14" s="68"/>
      <c r="AO14" s="68"/>
      <c r="AP14" s="68"/>
      <c r="AQ14" s="1"/>
      <c r="AR14" s="1"/>
      <c r="AS14" s="1"/>
      <c r="AT14" s="1"/>
      <c r="AU14" s="1"/>
      <c r="AX14" s="19"/>
      <c r="AY14" s="20"/>
    </row>
    <row r="15" spans="2:51" ht="15" customHeight="1" x14ac:dyDescent="0.3">
      <c r="B15" s="114" t="s">
        <v>11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67" t="s">
        <v>57</v>
      </c>
      <c r="N15" s="68"/>
      <c r="O15" s="68"/>
      <c r="P15" s="68"/>
      <c r="Q15" s="68"/>
      <c r="R15" s="68"/>
      <c r="S15" s="68"/>
      <c r="T15" s="68"/>
      <c r="U15" s="68"/>
      <c r="V15" s="92"/>
      <c r="W15" s="1"/>
      <c r="X15" s="1"/>
      <c r="Y15" s="1"/>
      <c r="Z15" s="1"/>
      <c r="AA15" s="1"/>
      <c r="AB15" s="1"/>
      <c r="AC15" s="1"/>
      <c r="AD15" s="67" t="s">
        <v>57</v>
      </c>
      <c r="AE15" s="68"/>
      <c r="AF15" s="68"/>
      <c r="AG15" s="68"/>
      <c r="AH15" s="68"/>
      <c r="AI15" s="68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15" t="s">
        <v>62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97" t="s">
        <v>57</v>
      </c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9"/>
      <c r="AX16" s="19"/>
      <c r="AY16" s="20"/>
    </row>
    <row r="17" spans="2:47" ht="15" customHeight="1" x14ac:dyDescent="0.3">
      <c r="B17" s="114" t="s">
        <v>12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67" t="s">
        <v>57</v>
      </c>
      <c r="N17" s="68"/>
      <c r="O17" s="68"/>
      <c r="P17" s="68"/>
      <c r="Q17" s="68"/>
      <c r="R17" s="68"/>
      <c r="S17" s="68"/>
      <c r="T17" s="68"/>
      <c r="U17" s="68"/>
      <c r="V17" s="9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14" t="s">
        <v>13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67" t="s">
        <v>57</v>
      </c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92"/>
      <c r="AR18" s="1"/>
      <c r="AS18" s="1"/>
      <c r="AT18" s="1"/>
      <c r="AU18" s="1"/>
    </row>
    <row r="19" spans="2:47" ht="15" customHeight="1" x14ac:dyDescent="0.3">
      <c r="B19" s="114" t="s">
        <v>19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67" t="s">
        <v>57</v>
      </c>
      <c r="N19" s="68"/>
      <c r="O19" s="68"/>
      <c r="P19" s="68"/>
      <c r="Q19" s="68"/>
      <c r="R19" s="68"/>
      <c r="S19" s="68"/>
      <c r="T19" s="68"/>
      <c r="U19" s="68"/>
      <c r="V19" s="9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67" t="s">
        <v>57</v>
      </c>
      <c r="AL19" s="68"/>
      <c r="AM19" s="68"/>
      <c r="AN19" s="68"/>
      <c r="AO19" s="68"/>
      <c r="AP19" s="68"/>
      <c r="AQ19" s="1"/>
      <c r="AR19" s="1"/>
      <c r="AS19" s="1"/>
      <c r="AT19" s="1"/>
      <c r="AU19" s="1"/>
    </row>
    <row r="20" spans="2:47" ht="15" customHeight="1" x14ac:dyDescent="0.3">
      <c r="B20" s="114" t="s">
        <v>20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67" t="s">
        <v>57</v>
      </c>
      <c r="N20" s="68"/>
      <c r="O20" s="68"/>
      <c r="P20" s="68"/>
      <c r="Q20" s="68"/>
      <c r="R20" s="68"/>
      <c r="S20" s="68"/>
      <c r="T20" s="68"/>
      <c r="U20" s="68"/>
      <c r="V20" s="9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67" t="s">
        <v>57</v>
      </c>
      <c r="AL20" s="68"/>
      <c r="AM20" s="68"/>
      <c r="AN20" s="68"/>
      <c r="AO20" s="68"/>
      <c r="AP20" s="68"/>
      <c r="AQ20" s="1"/>
      <c r="AR20" s="1"/>
      <c r="AS20" s="1"/>
      <c r="AT20" s="1"/>
      <c r="AU20" s="1"/>
    </row>
    <row r="21" spans="2:47" ht="15" customHeight="1" x14ac:dyDescent="0.3">
      <c r="B21" s="114" t="s">
        <v>21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7" t="s">
        <v>69</v>
      </c>
      <c r="N21" s="118"/>
      <c r="O21" s="118"/>
      <c r="P21" s="118"/>
      <c r="Q21" s="118"/>
      <c r="R21" s="118"/>
      <c r="S21" s="118"/>
      <c r="T21" s="118"/>
      <c r="U21" s="118"/>
      <c r="V21" s="11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17" t="s">
        <v>69</v>
      </c>
      <c r="AL21" s="118"/>
      <c r="AM21" s="118"/>
      <c r="AN21" s="118"/>
      <c r="AO21" s="118"/>
      <c r="AP21" s="118"/>
      <c r="AQ21" s="1"/>
      <c r="AR21" s="1"/>
      <c r="AS21" s="1"/>
      <c r="AT21" s="1"/>
      <c r="AU21" s="1"/>
    </row>
    <row r="25" spans="2:47" x14ac:dyDescent="0.3">
      <c r="E25" s="16"/>
    </row>
  </sheetData>
  <mergeCells count="46">
    <mergeCell ref="AK19:AP19"/>
    <mergeCell ref="AK20:AP20"/>
    <mergeCell ref="AK21:AP21"/>
    <mergeCell ref="M16:AU16"/>
    <mergeCell ref="AD18:AQ18"/>
    <mergeCell ref="AK11:AP11"/>
    <mergeCell ref="AK14:AP14"/>
    <mergeCell ref="M9:AU9"/>
    <mergeCell ref="AD12:AI12"/>
    <mergeCell ref="AD13:AI13"/>
    <mergeCell ref="B20:L20"/>
    <mergeCell ref="B21:L21"/>
    <mergeCell ref="M20:V20"/>
    <mergeCell ref="M21:V21"/>
    <mergeCell ref="B17:L17"/>
    <mergeCell ref="M17:V17"/>
    <mergeCell ref="B18:L18"/>
    <mergeCell ref="B19:L19"/>
    <mergeCell ref="M19:V19"/>
    <mergeCell ref="B14:L14"/>
    <mergeCell ref="B15:L15"/>
    <mergeCell ref="B16:L16"/>
    <mergeCell ref="M15:V15"/>
    <mergeCell ref="AD15:AI15"/>
    <mergeCell ref="AA2:AG2"/>
    <mergeCell ref="B11:L11"/>
    <mergeCell ref="B12:L12"/>
    <mergeCell ref="M12:V12"/>
    <mergeCell ref="B13:L13"/>
    <mergeCell ref="M13:V13"/>
    <mergeCell ref="AH2:AN2"/>
    <mergeCell ref="AO2:AU2"/>
    <mergeCell ref="B8:L8"/>
    <mergeCell ref="B9:L9"/>
    <mergeCell ref="B10:L10"/>
    <mergeCell ref="W8:AB8"/>
    <mergeCell ref="B5:L5"/>
    <mergeCell ref="B6:L6"/>
    <mergeCell ref="B7:L7"/>
    <mergeCell ref="W6:AB6"/>
    <mergeCell ref="W7:AB7"/>
    <mergeCell ref="AK5:AP5"/>
    <mergeCell ref="AK10:AP10"/>
    <mergeCell ref="B4:L4"/>
    <mergeCell ref="M2:S2"/>
    <mergeCell ref="T2:Z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E22" sqref="E22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78" t="s">
        <v>180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3">
      <c r="C20" s="82" t="s">
        <v>181</v>
      </c>
      <c r="D20" s="83"/>
      <c r="E20" s="61"/>
      <c r="F20" s="80">
        <v>0.15</v>
      </c>
      <c r="G20" s="45" t="s">
        <v>144</v>
      </c>
      <c r="H20" s="61"/>
      <c r="I20" s="80">
        <v>0.15</v>
      </c>
      <c r="J20" s="45" t="s">
        <v>144</v>
      </c>
      <c r="K20" s="61"/>
      <c r="L20" s="80">
        <v>0.15</v>
      </c>
      <c r="M20" s="45" t="s">
        <v>144</v>
      </c>
      <c r="N20" s="61"/>
      <c r="O20" s="80">
        <v>0.15</v>
      </c>
    </row>
    <row r="21" spans="2:19" x14ac:dyDescent="0.3">
      <c r="B21" s="28" t="s">
        <v>147</v>
      </c>
      <c r="C21" s="84"/>
      <c r="D21" s="85"/>
      <c r="E21" s="60" t="s">
        <v>182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3">
      <c r="B22" s="55">
        <v>794</v>
      </c>
      <c r="C22" s="9" t="s">
        <v>28</v>
      </c>
      <c r="D22" s="42">
        <f>'POLÍTICA COMERCIAL Jan24'!C22*(1+'POLÍTICA COMERCIAL Out24 II'!S$19)</f>
        <v>392.18940000000003</v>
      </c>
      <c r="E22" s="42">
        <f>D22*(1+Q$19)</f>
        <v>403.95508200000006</v>
      </c>
      <c r="F22" s="52">
        <f>E22*(1-F$20)</f>
        <v>343.36181970000007</v>
      </c>
      <c r="G22" s="42">
        <f>'POLÍTICA COMERCIAL Jan24'!G22*(1+'POLÍTICA COMERCIAL Out24 II'!S$19)</f>
        <v>423.98940000000005</v>
      </c>
      <c r="H22" s="42">
        <f>G22*(1+Q$19)</f>
        <v>436.70908200000008</v>
      </c>
      <c r="I22" s="52">
        <f>H22*(1-I$20)</f>
        <v>371.20271970000005</v>
      </c>
      <c r="J22" s="42">
        <f>'POLÍTICA COMERCIAL Jan24'!I22*(1+'POLÍTICA COMERCIAL Out24 II'!S$19)</f>
        <v>455.78940000000006</v>
      </c>
      <c r="K22" s="42">
        <f>J22*(1+Q$19)</f>
        <v>469.4630820000001</v>
      </c>
      <c r="L22" s="52">
        <f>K22*(1-L$20)</f>
        <v>399.04361970000008</v>
      </c>
      <c r="M22" s="42">
        <f>'POLÍTICA COMERCIAL Jan24'!K22*(1+'POLÍTICA COMERCIAL Out24 II'!S$19)</f>
        <v>423.98940000000005</v>
      </c>
      <c r="N22" s="42">
        <f>M22*(1+Q$19)</f>
        <v>436.70908200000008</v>
      </c>
      <c r="O22" s="52">
        <f>N22*(1-O$20)</f>
        <v>371.20271970000005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Out24 II'!S$19)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380.4830197</v>
      </c>
      <c r="G23" s="42">
        <f>'POLÍTICA COMERCIAL Jan24'!G24*(1+'POLÍTICA COMERCIAL Out24 II'!S$19)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408.32391970000003</v>
      </c>
      <c r="J23" s="42">
        <f>'POLÍTICA COMERCIAL Jan24'!I24*(1+'POLÍTICA COMERCIAL Out24 II'!S$19)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436.16481970000001</v>
      </c>
      <c r="M23" s="42">
        <f>'POLÍTICA COMERCIAL Jan24'!K24*(1+'POLÍTICA COMERCIAL Out24 II'!S$19)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408.32391970000003</v>
      </c>
      <c r="Q23" s="63"/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312.34950000000003</v>
      </c>
      <c r="G24" s="42">
        <f>413.07133004*0.93</f>
        <v>384.15633693720002</v>
      </c>
      <c r="H24" s="42">
        <v>395.68</v>
      </c>
      <c r="I24" s="52">
        <f t="shared" si="4"/>
        <v>336.32799999999997</v>
      </c>
      <c r="J24" s="42">
        <f>441.90761032*0.93</f>
        <v>410.9740775976</v>
      </c>
      <c r="K24" s="42">
        <v>423.3</v>
      </c>
      <c r="L24" s="52">
        <f t="shared" si="6"/>
        <v>359.80500000000001</v>
      </c>
      <c r="M24" s="42">
        <f>413.07133004*0.93</f>
        <v>384.15633693720002</v>
      </c>
      <c r="N24" s="42">
        <f>H24</f>
        <v>395.68</v>
      </c>
      <c r="O24" s="52">
        <f t="shared" si="8"/>
        <v>336.32799999999997</v>
      </c>
      <c r="Q24" s="64"/>
    </row>
    <row r="25" spans="2:19" x14ac:dyDescent="0.3">
      <c r="B25" s="55">
        <v>796</v>
      </c>
      <c r="C25" s="9" t="s">
        <v>30</v>
      </c>
      <c r="D25" s="42">
        <f>'POLÍTICA COMERCIAL Jan24'!C26*(1+'POLÍTICA COMERCIAL Out24 II'!S$19)</f>
        <v>487.58940000000001</v>
      </c>
      <c r="E25" s="42">
        <f t="shared" si="1"/>
        <v>502.217082</v>
      </c>
      <c r="F25" s="52">
        <f t="shared" si="2"/>
        <v>426.8845197</v>
      </c>
      <c r="G25" s="42">
        <f>'POLÍTICA COMERCIAL Jan24'!G26*(1+'POLÍTICA COMERCIAL Out24 II'!S$19)</f>
        <v>519.38940000000002</v>
      </c>
      <c r="H25" s="42">
        <f t="shared" si="3"/>
        <v>534.97108200000002</v>
      </c>
      <c r="I25" s="52">
        <f t="shared" si="4"/>
        <v>454.72541970000003</v>
      </c>
      <c r="J25" s="42">
        <f>'POLÍTICA COMERCIAL Jan24'!I26*(1+'POLÍTICA COMERCIAL Out24 II'!S$19)</f>
        <v>551.18940000000009</v>
      </c>
      <c r="K25" s="42">
        <f t="shared" si="5"/>
        <v>567.72508200000016</v>
      </c>
      <c r="L25" s="52">
        <f t="shared" si="6"/>
        <v>482.56631970000012</v>
      </c>
      <c r="M25" s="42">
        <f>'POLÍTICA COMERCIAL Jan24'!K26*(1+'POLÍTICA COMERCIAL Out24 II'!S$19)</f>
        <v>519.38940000000002</v>
      </c>
      <c r="N25" s="42">
        <f t="shared" si="7"/>
        <v>534.97108200000002</v>
      </c>
      <c r="O25" s="52">
        <f t="shared" si="8"/>
        <v>454.72541970000003</v>
      </c>
      <c r="Q25" s="27"/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352.495</v>
      </c>
      <c r="G26" s="42">
        <f>0.94*457.70775408</f>
        <v>430.24528883519997</v>
      </c>
      <c r="H26" s="42">
        <v>443.15</v>
      </c>
      <c r="I26" s="52">
        <f t="shared" si="4"/>
        <v>376.67749999999995</v>
      </c>
      <c r="J26" s="42">
        <f>0.94*486.47493932</f>
        <v>457.28644296079995</v>
      </c>
      <c r="K26" s="42">
        <v>471.01</v>
      </c>
      <c r="L26" s="52">
        <f t="shared" si="6"/>
        <v>400.35849999999999</v>
      </c>
      <c r="M26" s="42">
        <f>0.94*457.70775408</f>
        <v>430.24528883519997</v>
      </c>
      <c r="N26" s="42">
        <f>H26</f>
        <v>443.15</v>
      </c>
      <c r="O26" s="52">
        <f t="shared" si="8"/>
        <v>376.67749999999995</v>
      </c>
      <c r="Q26" s="27"/>
    </row>
    <row r="27" spans="2:19" x14ac:dyDescent="0.3">
      <c r="B27" s="55">
        <v>797</v>
      </c>
      <c r="C27" s="9" t="s">
        <v>31</v>
      </c>
      <c r="D27" s="42">
        <f>'POLÍTICA COMERCIAL Jan24'!C28*(1+'POLÍTICA COMERCIAL Out24 II'!S$19)</f>
        <v>635.98940000000005</v>
      </c>
      <c r="E27" s="42">
        <f t="shared" si="1"/>
        <v>655.06908200000009</v>
      </c>
      <c r="F27" s="52">
        <f t="shared" si="2"/>
        <v>556.8087197000001</v>
      </c>
      <c r="G27" s="42">
        <f>'POLÍTICA COMERCIAL Jan24'!G28*(1+'POLÍTICA COMERCIAL Out24 II'!S$19)</f>
        <v>667.7894</v>
      </c>
      <c r="H27" s="42">
        <f t="shared" si="3"/>
        <v>687.823082</v>
      </c>
      <c r="I27" s="52">
        <f t="shared" si="4"/>
        <v>584.64961970000002</v>
      </c>
      <c r="J27" s="42">
        <f>'POLÍTICA COMERCIAL Jan24'!I28*(1+'POLÍTICA COMERCIAL Out24 II'!S$19)</f>
        <v>710.18940000000009</v>
      </c>
      <c r="K27" s="42">
        <f t="shared" si="5"/>
        <v>731.49508200000014</v>
      </c>
      <c r="L27" s="52">
        <f t="shared" si="6"/>
        <v>621.77081970000006</v>
      </c>
      <c r="M27" s="42">
        <f>'POLÍTICA COMERCIAL Jan24'!K28*(1+'POLÍTICA COMERCIAL Out24 II'!S$19)</f>
        <v>667.7894</v>
      </c>
      <c r="N27" s="42">
        <f t="shared" si="7"/>
        <v>687.823082</v>
      </c>
      <c r="O27" s="52">
        <f t="shared" si="8"/>
        <v>584.64961970000002</v>
      </c>
      <c r="P27" s="15"/>
      <c r="Q27" s="27"/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471.733</v>
      </c>
      <c r="G28" s="42">
        <f>0.96*588.00208064</f>
        <v>564.48199741439998</v>
      </c>
      <c r="H28" s="42">
        <v>581.41999999999996</v>
      </c>
      <c r="I28" s="52">
        <f t="shared" si="4"/>
        <v>494.20699999999994</v>
      </c>
      <c r="J28" s="42">
        <f>0.95*635.30051448</f>
        <v>603.53548875599995</v>
      </c>
      <c r="K28" s="42">
        <v>621.64</v>
      </c>
      <c r="L28" s="52">
        <f t="shared" si="6"/>
        <v>528.39400000000001</v>
      </c>
      <c r="M28" s="42">
        <f>0.96*588.00208064</f>
        <v>564.48199741439998</v>
      </c>
      <c r="N28" s="42">
        <f>H28</f>
        <v>581.41999999999996</v>
      </c>
      <c r="O28" s="52">
        <f t="shared" si="8"/>
        <v>494.20699999999994</v>
      </c>
      <c r="P28" s="15"/>
      <c r="Q28" s="27"/>
    </row>
    <row r="29" spans="2:19" x14ac:dyDescent="0.3">
      <c r="B29" s="55">
        <v>799</v>
      </c>
      <c r="C29" s="9" t="s">
        <v>33</v>
      </c>
      <c r="D29" s="42">
        <f>'POLÍTICA COMERCIAL Jan24'!C31*(1+'POLÍTICA COMERCIAL Out24 II'!S$19)</f>
        <v>816.18940000000009</v>
      </c>
      <c r="E29" s="42">
        <f t="shared" si="1"/>
        <v>840.67508200000009</v>
      </c>
      <c r="F29" s="52">
        <f t="shared" si="2"/>
        <v>714.57381970000006</v>
      </c>
      <c r="G29" s="42">
        <f>'POLÍTICA COMERCIAL Jan24'!G31*(1+'POLÍTICA COMERCIAL Out24 II'!S$19)</f>
        <v>847.98940000000005</v>
      </c>
      <c r="H29" s="42">
        <f t="shared" si="3"/>
        <v>873.42908200000011</v>
      </c>
      <c r="I29" s="52">
        <f t="shared" si="4"/>
        <v>742.41471970000009</v>
      </c>
      <c r="J29" s="42">
        <f>'POLÍTICA COMERCIAL Jan24'!I31*(1+'POLÍTICA COMERCIAL Out24 II'!S$19)</f>
        <v>890.38940000000002</v>
      </c>
      <c r="K29" s="42">
        <f t="shared" si="5"/>
        <v>917.10108200000002</v>
      </c>
      <c r="L29" s="52">
        <f t="shared" si="6"/>
        <v>779.53591970000002</v>
      </c>
      <c r="M29" s="42">
        <f>'POLÍTICA COMERCIAL Jan24'!K31*(1+'POLÍTICA COMERCIAL Out24 II'!S$19)</f>
        <v>847.98940000000005</v>
      </c>
      <c r="N29" s="42">
        <f t="shared" si="7"/>
        <v>873.42908200000011</v>
      </c>
      <c r="O29" s="52">
        <f t="shared" si="8"/>
        <v>742.41471970000009</v>
      </c>
      <c r="Q29" s="27"/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607.50350000000003</v>
      </c>
      <c r="G30" s="42">
        <f>0.96*747.62293324</f>
        <v>717.71801591039991</v>
      </c>
      <c r="H30" s="42">
        <v>739.25</v>
      </c>
      <c r="I30" s="52">
        <f t="shared" si="4"/>
        <v>628.36249999999995</v>
      </c>
      <c r="J30" s="42">
        <f>0.955*789.98477324</f>
        <v>754.43545844419998</v>
      </c>
      <c r="K30" s="42">
        <v>777.07</v>
      </c>
      <c r="L30" s="52">
        <f t="shared" si="6"/>
        <v>660.5095</v>
      </c>
      <c r="M30" s="42">
        <f>0.96*747.62293324</f>
        <v>717.71801591039991</v>
      </c>
      <c r="N30" s="42">
        <f>H30</f>
        <v>739.25</v>
      </c>
      <c r="O30" s="52">
        <f t="shared" si="8"/>
        <v>628.36249999999995</v>
      </c>
      <c r="Q30" s="27"/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Out24 II'!S$19)</f>
        <v>413.38940000000002</v>
      </c>
      <c r="E31" s="42">
        <f t="shared" si="1"/>
        <v>425.79108200000002</v>
      </c>
      <c r="F31" s="52">
        <f t="shared" si="2"/>
        <v>361.92241969999998</v>
      </c>
      <c r="G31" s="42">
        <f>'POLÍTICA COMERCIAL Jan24'!G33*(1+'POLÍTICA COMERCIAL Out24 II'!S$19)</f>
        <v>445.18940000000003</v>
      </c>
      <c r="H31" s="42">
        <f t="shared" si="3"/>
        <v>458.54508200000004</v>
      </c>
      <c r="I31" s="52">
        <f t="shared" si="4"/>
        <v>389.76331970000001</v>
      </c>
      <c r="J31" s="42">
        <f>'POLÍTICA COMERCIAL Jan24'!I33*(1+'POLÍTICA COMERCIAL Out24 II'!S$19)</f>
        <v>466.38940000000002</v>
      </c>
      <c r="K31" s="42">
        <f t="shared" si="5"/>
        <v>480.38108200000005</v>
      </c>
      <c r="L31" s="52">
        <f t="shared" si="6"/>
        <v>408.32391970000003</v>
      </c>
      <c r="M31" s="42">
        <f>'POLÍTICA COMERCIAL Jan24'!K33*(1+'POLÍTICA COMERCIAL Out24 II'!S$19)</f>
        <v>445.18940000000003</v>
      </c>
      <c r="N31" s="42">
        <f t="shared" si="7"/>
        <v>458.54508200000004</v>
      </c>
      <c r="O31" s="52">
        <f t="shared" si="8"/>
        <v>389.76331970000001</v>
      </c>
      <c r="Q31" s="27"/>
    </row>
    <row r="32" spans="2:19" x14ac:dyDescent="0.3">
      <c r="B32" s="55">
        <v>801</v>
      </c>
      <c r="C32" s="9" t="s">
        <v>35</v>
      </c>
      <c r="D32" s="42">
        <f>'POLÍTICA COMERCIAL Jan24'!C34*(1+'POLÍTICA COMERCIAL Out24 II'!S$19)</f>
        <v>493.94940000000003</v>
      </c>
      <c r="E32" s="42">
        <f t="shared" si="1"/>
        <v>508.76788200000004</v>
      </c>
      <c r="F32" s="52">
        <f t="shared" si="2"/>
        <v>432.45269970000004</v>
      </c>
      <c r="G32" s="42">
        <f>'POLÍTICA COMERCIAL Jan24'!G34*(1+'POLÍTICA COMERCIAL Out24 II'!S$19)</f>
        <v>525.74940000000004</v>
      </c>
      <c r="H32" s="42">
        <f t="shared" si="3"/>
        <v>541.52188200000001</v>
      </c>
      <c r="I32" s="52">
        <f t="shared" si="4"/>
        <v>460.29359970000002</v>
      </c>
      <c r="J32" s="42">
        <f>'POLÍTICA COMERCIAL Jan24'!I34*(1+'POLÍTICA COMERCIAL Out24 II'!S$19)</f>
        <v>568.14940000000001</v>
      </c>
      <c r="K32" s="42">
        <f t="shared" si="5"/>
        <v>585.19388200000003</v>
      </c>
      <c r="L32" s="52">
        <f t="shared" si="6"/>
        <v>497.4147997</v>
      </c>
      <c r="M32" s="42">
        <f>'POLÍTICA COMERCIAL Jan24'!K34*(1+'POLÍTICA COMERCIAL Out24 II'!S$19)</f>
        <v>525.74940000000004</v>
      </c>
      <c r="N32" s="42">
        <f t="shared" si="7"/>
        <v>541.52188200000001</v>
      </c>
      <c r="O32" s="52">
        <f t="shared" si="8"/>
        <v>460.29359970000002</v>
      </c>
      <c r="Q32" s="27"/>
    </row>
    <row r="33" spans="2:17" x14ac:dyDescent="0.3">
      <c r="B33" s="55">
        <v>802</v>
      </c>
      <c r="C33" s="9" t="s">
        <v>34</v>
      </c>
      <c r="D33" s="42">
        <f>'POLÍTICA COMERCIAL Jan24'!C35*(1+'POLÍTICA COMERCIAL Out24 II'!S$19)</f>
        <v>625.38940000000002</v>
      </c>
      <c r="E33" s="42">
        <f t="shared" si="1"/>
        <v>644.15108200000009</v>
      </c>
      <c r="F33" s="52">
        <f t="shared" si="2"/>
        <v>547.52841970000009</v>
      </c>
      <c r="G33" s="42">
        <f>'POLÍTICA COMERCIAL Jan24'!G35*(1+'POLÍTICA COMERCIAL Out24 II'!S$19)</f>
        <v>657.18940000000009</v>
      </c>
      <c r="H33" s="42">
        <f t="shared" si="3"/>
        <v>676.90508200000011</v>
      </c>
      <c r="I33" s="52">
        <f t="shared" si="4"/>
        <v>575.36931970000012</v>
      </c>
      <c r="J33" s="42">
        <f>'POLÍTICA COMERCIAL Jan24'!I35*(1+'POLÍTICA COMERCIAL Out24 II'!S$19)</f>
        <v>731.38940000000002</v>
      </c>
      <c r="K33" s="42">
        <f t="shared" si="5"/>
        <v>753.33108200000004</v>
      </c>
      <c r="L33" s="52">
        <f t="shared" si="6"/>
        <v>640.33141969999997</v>
      </c>
      <c r="M33" s="42">
        <f>'POLÍTICA COMERCIAL Jan24'!K35*(1+'POLÍTICA COMERCIAL Out24 II'!S$19)</f>
        <v>657.18940000000009</v>
      </c>
      <c r="N33" s="42">
        <f t="shared" si="7"/>
        <v>676.90508200000011</v>
      </c>
      <c r="O33" s="52">
        <f t="shared" si="8"/>
        <v>575.36931970000012</v>
      </c>
      <c r="Q33" s="27"/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Out24 II'!S$19)</f>
        <v>669.57038682500001</v>
      </c>
      <c r="E34" s="42">
        <f t="shared" si="1"/>
        <v>689.65749842975004</v>
      </c>
      <c r="F34" s="52">
        <f t="shared" si="2"/>
        <v>586.20887366528757</v>
      </c>
      <c r="G34" s="42">
        <f>'POLÍTICA COMERCIAL Jan24'!G36*(1+'POLÍTICA COMERCIAL Out24 II'!S$19)</f>
        <v>775.37993000000006</v>
      </c>
      <c r="H34" s="42">
        <f t="shared" si="3"/>
        <v>798.64132790000008</v>
      </c>
      <c r="I34" s="52">
        <f t="shared" si="4"/>
        <v>678.8451287150001</v>
      </c>
      <c r="J34" s="42">
        <f>'POLÍTICA COMERCIAL Jan24'!I36*(1+'POLÍTICA COMERCIAL Out24 II'!S$19)</f>
        <v>815.65993000000003</v>
      </c>
      <c r="K34" s="42">
        <f t="shared" si="5"/>
        <v>840.12972790000003</v>
      </c>
      <c r="L34" s="52">
        <f t="shared" si="6"/>
        <v>714.11026871499996</v>
      </c>
      <c r="M34" s="42">
        <f>'POLÍTICA COMERCIAL Jan24'!K36*(1+'POLÍTICA COMERCIAL Out24 II'!S$19)</f>
        <v>775.37993000000006</v>
      </c>
      <c r="N34" s="42">
        <f t="shared" si="7"/>
        <v>798.64132790000008</v>
      </c>
      <c r="O34" s="52">
        <f t="shared" si="8"/>
        <v>678.8451287150001</v>
      </c>
      <c r="Q34" s="27"/>
    </row>
    <row r="35" spans="2:17" x14ac:dyDescent="0.3">
      <c r="B35" s="55" t="s">
        <v>151</v>
      </c>
      <c r="C35" s="9" t="s">
        <v>37</v>
      </c>
      <c r="D35" s="42">
        <f>'POLÍTICA COMERCIAL Jan24'!C38*(1+'POLÍTICA COMERCIAL Out24 II'!S$19)</f>
        <v>58.194000000000003</v>
      </c>
      <c r="E35" s="42">
        <f t="shared" si="1"/>
        <v>59.939820000000005</v>
      </c>
      <c r="F35" s="52">
        <f t="shared" si="2"/>
        <v>50.948847000000001</v>
      </c>
      <c r="G35" s="42">
        <f>'POLÍTICA COMERCIAL Jan24'!G38*(1+'POLÍTICA COMERCIAL Out24 II'!S$19)</f>
        <v>64.861188000000013</v>
      </c>
      <c r="H35" s="42">
        <f t="shared" si="3"/>
        <v>66.807023640000011</v>
      </c>
      <c r="I35" s="52">
        <f t="shared" si="4"/>
        <v>56.785970094000007</v>
      </c>
      <c r="J35" s="42">
        <f>'POLÍTICA COMERCIAL Jan24'!I38*(1+'POLÍTICA COMERCIAL Out24 II'!S$19)</f>
        <v>70.169880000000006</v>
      </c>
      <c r="K35" s="42">
        <f t="shared" si="5"/>
        <v>72.274976400000014</v>
      </c>
      <c r="L35" s="52">
        <f t="shared" si="6"/>
        <v>61.433729940000013</v>
      </c>
      <c r="M35" s="42">
        <f>'POLÍTICA COMERCIAL Jan24'!K38*(1+'POLÍTICA COMERCIAL Out24 II'!S$19)</f>
        <v>64.861188000000013</v>
      </c>
      <c r="N35" s="42">
        <f t="shared" si="7"/>
        <v>66.807023640000011</v>
      </c>
      <c r="O35" s="52">
        <f t="shared" si="8"/>
        <v>56.785970094000007</v>
      </c>
      <c r="Q35" s="27"/>
    </row>
    <row r="36" spans="2:17" x14ac:dyDescent="0.3">
      <c r="B36" s="55" t="s">
        <v>150</v>
      </c>
      <c r="C36" s="9" t="s">
        <v>36</v>
      </c>
      <c r="D36" s="42">
        <f>'POLÍTICA COMERCIAL Jan24'!C39*(1+'POLÍTICA COMERCIAL Out24 II'!S$19)</f>
        <v>55.284299999999995</v>
      </c>
      <c r="E36" s="42">
        <f t="shared" si="1"/>
        <v>56.942828999999996</v>
      </c>
      <c r="F36" s="52">
        <f t="shared" si="2"/>
        <v>48.401404649999996</v>
      </c>
      <c r="G36" s="42">
        <f>'POLÍTICA COMERCIAL Jan24'!G39*(1+'POLÍTICA COMERCIAL Out24 II'!S$19)</f>
        <v>61.618128600000006</v>
      </c>
      <c r="H36" s="42">
        <f t="shared" si="3"/>
        <v>63.466672458000005</v>
      </c>
      <c r="I36" s="52">
        <f t="shared" si="4"/>
        <v>53.946671589300003</v>
      </c>
      <c r="J36" s="42">
        <f>'POLÍTICA COMERCIAL Jan24'!I39*(1+'POLÍTICA COMERCIAL Out24 II'!S$19)</f>
        <v>66.661386000000007</v>
      </c>
      <c r="K36" s="42">
        <f t="shared" si="5"/>
        <v>68.661227580000016</v>
      </c>
      <c r="L36" s="52">
        <f t="shared" si="6"/>
        <v>58.362043443000012</v>
      </c>
      <c r="M36" s="42">
        <f>'POLÍTICA COMERCIAL Jan24'!K39*(1+'POLÍTICA COMERCIAL Out24 II'!S$19)</f>
        <v>61.618128600000006</v>
      </c>
      <c r="N36" s="42">
        <f t="shared" si="7"/>
        <v>63.466672458000005</v>
      </c>
      <c r="O36" s="52">
        <f t="shared" si="8"/>
        <v>53.946671589300003</v>
      </c>
      <c r="Q36" s="27"/>
    </row>
    <row r="37" spans="2:17" x14ac:dyDescent="0.3">
      <c r="B37" s="55">
        <v>681</v>
      </c>
      <c r="C37" s="9" t="s">
        <v>38</v>
      </c>
      <c r="D37" s="42">
        <f>'POLÍTICA COMERCIAL Jan24'!C40*(1+'POLÍTICA COMERCIAL Out24 II'!S$19)</f>
        <v>83.740000000000009</v>
      </c>
      <c r="E37" s="42">
        <f t="shared" si="1"/>
        <v>86.252200000000016</v>
      </c>
      <c r="F37" s="52">
        <f t="shared" si="2"/>
        <v>73.314370000000011</v>
      </c>
      <c r="G37" s="42">
        <f>'POLÍTICA COMERCIAL Jan24'!G40*(1+'POLÍTICA COMERCIAL Out24 II'!S$19)</f>
        <v>96.226800000000011</v>
      </c>
      <c r="H37" s="42">
        <f t="shared" si="3"/>
        <v>99.113604000000009</v>
      </c>
      <c r="I37" s="52">
        <f t="shared" si="4"/>
        <v>84.246563399999999</v>
      </c>
      <c r="J37" s="42">
        <f>'POLÍTICA COMERCIAL Jan24'!I40*(1+'POLÍTICA COMERCIAL Out24 II'!S$19)</f>
        <v>107.03880000000001</v>
      </c>
      <c r="K37" s="42">
        <f t="shared" si="5"/>
        <v>110.24996400000001</v>
      </c>
      <c r="L37" s="52">
        <f t="shared" si="6"/>
        <v>93.712469400000003</v>
      </c>
      <c r="M37" s="42">
        <f>'POLÍTICA COMERCIAL Jan24'!K40*(1+'POLÍTICA COMERCIAL Out24 II'!S$19)</f>
        <v>96.226800000000011</v>
      </c>
      <c r="N37" s="42">
        <f t="shared" si="7"/>
        <v>99.113604000000009</v>
      </c>
      <c r="O37" s="52">
        <f t="shared" si="8"/>
        <v>84.246563399999999</v>
      </c>
      <c r="Q37" s="27"/>
    </row>
    <row r="38" spans="2:17" x14ac:dyDescent="0.3">
      <c r="B38" s="55" t="s">
        <v>149</v>
      </c>
      <c r="C38" s="9" t="s">
        <v>39</v>
      </c>
      <c r="D38" s="42">
        <f>'POLÍTICA COMERCIAL Jan24'!C41*(1+'POLÍTICA COMERCIAL Out24 II'!S$19)</f>
        <v>73.14</v>
      </c>
      <c r="E38" s="42">
        <f t="shared" si="1"/>
        <v>75.334199999999996</v>
      </c>
      <c r="F38" s="52">
        <f t="shared" si="2"/>
        <v>64.03407</v>
      </c>
      <c r="G38" s="42">
        <f>'POLÍTICA COMERCIAL Jan24'!G41*(1+'POLÍTICA COMERCIAL Out24 II'!S$19)</f>
        <v>83.634000000000015</v>
      </c>
      <c r="H38" s="42">
        <f t="shared" si="3"/>
        <v>86.143020000000021</v>
      </c>
      <c r="I38" s="52">
        <f t="shared" si="4"/>
        <v>73.221567000000022</v>
      </c>
      <c r="J38" s="42">
        <f>'POLÍTICA COMERCIAL Jan24'!I41*(1+'POLÍTICA COMERCIAL Out24 II'!S$19)</f>
        <v>93.174000000000007</v>
      </c>
      <c r="K38" s="42">
        <f t="shared" si="5"/>
        <v>95.969220000000007</v>
      </c>
      <c r="L38" s="52">
        <f t="shared" si="6"/>
        <v>81.573836999999997</v>
      </c>
      <c r="M38" s="42">
        <f>'POLÍTICA COMERCIAL Jan24'!K41*(1+'POLÍTICA COMERCIAL Out24 II'!S$19)</f>
        <v>83.634000000000015</v>
      </c>
      <c r="N38" s="42">
        <f t="shared" si="7"/>
        <v>86.143020000000021</v>
      </c>
      <c r="O38" s="52">
        <f t="shared" si="8"/>
        <v>73.221567000000022</v>
      </c>
      <c r="Q38" s="27"/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>SITE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3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3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76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3">
      <c r="B65" s="77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9">E65*(1-F$42)</f>
        <v>352.495</v>
      </c>
      <c r="G65" s="42">
        <f>G27</f>
        <v>667.7894</v>
      </c>
      <c r="H65" s="42">
        <f>H26</f>
        <v>443.15</v>
      </c>
      <c r="I65" s="52">
        <f t="shared" ref="I65:I68" si="10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1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2">N65*(1-O$42)</f>
        <v>376.67749999999995</v>
      </c>
    </row>
    <row r="66" spans="2:15" x14ac:dyDescent="0.3">
      <c r="B66" s="77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9"/>
        <v>471.733</v>
      </c>
      <c r="G66" s="42">
        <f>G29</f>
        <v>847.98940000000005</v>
      </c>
      <c r="H66" s="42">
        <f>H28</f>
        <v>581.41999999999996</v>
      </c>
      <c r="I66" s="52">
        <f t="shared" si="10"/>
        <v>494.20699999999994</v>
      </c>
      <c r="J66" s="42">
        <f>J29</f>
        <v>890.38940000000002</v>
      </c>
      <c r="K66" s="42">
        <f>K28</f>
        <v>621.64</v>
      </c>
      <c r="L66" s="52">
        <f t="shared" si="11"/>
        <v>528.39400000000001</v>
      </c>
      <c r="M66" s="42">
        <f>M29</f>
        <v>847.98940000000005</v>
      </c>
      <c r="N66" s="42">
        <f>N28</f>
        <v>581.41999999999996</v>
      </c>
      <c r="O66" s="52">
        <f t="shared" si="12"/>
        <v>494.20699999999994</v>
      </c>
    </row>
    <row r="67" spans="2:15" x14ac:dyDescent="0.3">
      <c r="B67" s="77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9"/>
        <v>607.50350000000003</v>
      </c>
      <c r="G67" s="42">
        <f>G31</f>
        <v>445.18940000000003</v>
      </c>
      <c r="H67" s="42">
        <f>H30</f>
        <v>739.25</v>
      </c>
      <c r="I67" s="52">
        <f t="shared" si="10"/>
        <v>628.36249999999995</v>
      </c>
      <c r="J67" s="42">
        <f>J31</f>
        <v>466.38940000000002</v>
      </c>
      <c r="K67" s="42">
        <f>K30</f>
        <v>777.07</v>
      </c>
      <c r="L67" s="52">
        <f t="shared" si="11"/>
        <v>660.5095</v>
      </c>
      <c r="M67" s="42">
        <f>M31</f>
        <v>445.18940000000003</v>
      </c>
      <c r="N67" s="42">
        <f>N30</f>
        <v>739.25</v>
      </c>
      <c r="O67" s="52">
        <f t="shared" si="12"/>
        <v>628.36249999999995</v>
      </c>
    </row>
    <row r="68" spans="2:15" x14ac:dyDescent="0.3">
      <c r="B68" s="77"/>
      <c r="C68" s="9" t="str">
        <f>C31</f>
        <v>FONTE 90 BOB</v>
      </c>
      <c r="D68" s="42">
        <f>D32</f>
        <v>493.94940000000003</v>
      </c>
      <c r="E68" s="42">
        <f>E31</f>
        <v>425.79108200000002</v>
      </c>
      <c r="F68" s="52">
        <f t="shared" si="9"/>
        <v>361.92241969999998</v>
      </c>
      <c r="G68" s="42">
        <f>G32</f>
        <v>525.74940000000004</v>
      </c>
      <c r="H68" s="42">
        <f>H31</f>
        <v>458.54508200000004</v>
      </c>
      <c r="I68" s="52">
        <f t="shared" si="10"/>
        <v>389.76331970000001</v>
      </c>
      <c r="J68" s="42">
        <f>J32</f>
        <v>568.14940000000001</v>
      </c>
      <c r="K68" s="42">
        <f>K31</f>
        <v>480.38108200000005</v>
      </c>
      <c r="L68" s="52">
        <f t="shared" si="11"/>
        <v>408.32391970000003</v>
      </c>
      <c r="M68" s="42">
        <f>M32</f>
        <v>525.74940000000004</v>
      </c>
      <c r="N68" s="42">
        <f>N31</f>
        <v>458.54508200000004</v>
      </c>
      <c r="O68" s="52">
        <f t="shared" si="12"/>
        <v>389.76331970000001</v>
      </c>
    </row>
  </sheetData>
  <mergeCells count="12">
    <mergeCell ref="B64:B68"/>
    <mergeCell ref="C19:O19"/>
    <mergeCell ref="F20:F21"/>
    <mergeCell ref="I20:I21"/>
    <mergeCell ref="L20:L21"/>
    <mergeCell ref="O20:O21"/>
    <mergeCell ref="C20:D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B4" sqref="B4:L4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51" x14ac:dyDescent="0.3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/>
      <c r="AR3" s="3"/>
      <c r="AS3" s="3"/>
      <c r="AT3" s="3"/>
      <c r="AU3" s="3"/>
    </row>
    <row r="4" spans="2:51" x14ac:dyDescent="0.3">
      <c r="B4" s="101" t="s">
        <v>67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 t="s">
        <v>2</v>
      </c>
      <c r="AS4" s="2" t="s">
        <v>3</v>
      </c>
      <c r="AT4" s="2" t="s">
        <v>3</v>
      </c>
      <c r="AU4" s="2" t="s">
        <v>1</v>
      </c>
    </row>
    <row r="5" spans="2:51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22" t="s">
        <v>46</v>
      </c>
      <c r="AN5" s="123"/>
      <c r="AO5" s="123"/>
      <c r="AP5" s="123"/>
      <c r="AQ5" s="123"/>
      <c r="AR5" s="124"/>
      <c r="AS5" s="1"/>
      <c r="AT5" s="1"/>
      <c r="AU5" s="1"/>
    </row>
    <row r="6" spans="2:51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2" t="s">
        <v>57</v>
      </c>
      <c r="Z6" s="123"/>
      <c r="AA6" s="123"/>
      <c r="AB6" s="123"/>
      <c r="AC6" s="123"/>
      <c r="AD6" s="12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15" t="s">
        <v>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97" t="s">
        <v>57</v>
      </c>
      <c r="Z7" s="98"/>
      <c r="AA7" s="98"/>
      <c r="AB7" s="98"/>
      <c r="AC7" s="98"/>
      <c r="AD7" s="9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14" t="s">
        <v>6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22" t="s">
        <v>57</v>
      </c>
      <c r="Z8" s="123"/>
      <c r="AA8" s="123"/>
      <c r="AB8" s="123"/>
      <c r="AC8" s="123"/>
      <c r="AD8" s="124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15" t="s">
        <v>60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97" t="s">
        <v>57</v>
      </c>
      <c r="Z9" s="98"/>
      <c r="AA9" s="98"/>
      <c r="AB9" s="98"/>
      <c r="AC9" s="98"/>
      <c r="AD9" s="99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22" t="s">
        <v>57</v>
      </c>
      <c r="AN10" s="123"/>
      <c r="AO10" s="123"/>
      <c r="AP10" s="123"/>
      <c r="AQ10" s="123"/>
      <c r="AR10" s="124"/>
      <c r="AS10" s="1"/>
      <c r="AT10" s="1"/>
      <c r="AU10" s="1"/>
    </row>
    <row r="11" spans="2:51" ht="15" customHeight="1" x14ac:dyDescent="0.3">
      <c r="B11" s="114" t="s">
        <v>8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22" t="s">
        <v>57</v>
      </c>
      <c r="AN11" s="123"/>
      <c r="AO11" s="123"/>
      <c r="AP11" s="123"/>
      <c r="AQ11" s="123"/>
      <c r="AR11" s="124"/>
      <c r="AS11" s="1"/>
      <c r="AT11" s="1"/>
      <c r="AU11" s="1"/>
      <c r="AY11" s="20"/>
    </row>
    <row r="12" spans="2:51" ht="15" customHeight="1" x14ac:dyDescent="0.3">
      <c r="B12" s="114" t="s">
        <v>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22" t="s">
        <v>57</v>
      </c>
      <c r="N12" s="123"/>
      <c r="O12" s="123"/>
      <c r="P12" s="123"/>
      <c r="Q12" s="123"/>
      <c r="R12" s="123"/>
      <c r="S12" s="123"/>
      <c r="T12" s="123"/>
      <c r="U12" s="123"/>
      <c r="V12" s="124"/>
      <c r="W12" s="1"/>
      <c r="X12" s="1"/>
      <c r="Y12" s="1"/>
      <c r="Z12" s="1"/>
      <c r="AA12" s="1"/>
      <c r="AB12" s="1"/>
      <c r="AC12" s="1"/>
      <c r="AD12" s="1"/>
      <c r="AE12" s="1"/>
      <c r="AF12" s="122" t="s">
        <v>57</v>
      </c>
      <c r="AG12" s="123"/>
      <c r="AH12" s="123"/>
      <c r="AI12" s="123"/>
      <c r="AJ12" s="123"/>
      <c r="AK12" s="124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15" t="s">
        <v>61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97" t="s">
        <v>57</v>
      </c>
      <c r="N13" s="98"/>
      <c r="O13" s="98"/>
      <c r="P13" s="98"/>
      <c r="Q13" s="98"/>
      <c r="R13" s="98"/>
      <c r="S13" s="98"/>
      <c r="T13" s="98"/>
      <c r="U13" s="98"/>
      <c r="V13" s="99"/>
      <c r="W13" s="1"/>
      <c r="X13" s="1"/>
      <c r="Y13" s="1"/>
      <c r="Z13" s="1"/>
      <c r="AA13" s="1"/>
      <c r="AB13" s="1"/>
      <c r="AC13" s="1"/>
      <c r="AD13" s="1"/>
      <c r="AE13" s="1"/>
      <c r="AF13" s="97" t="s">
        <v>57</v>
      </c>
      <c r="AG13" s="98"/>
      <c r="AH13" s="98"/>
      <c r="AI13" s="98"/>
      <c r="AJ13" s="98"/>
      <c r="AK13" s="99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14" t="s">
        <v>10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22" t="s">
        <v>46</v>
      </c>
      <c r="AN14" s="123"/>
      <c r="AO14" s="123"/>
      <c r="AP14" s="123"/>
      <c r="AQ14" s="123"/>
      <c r="AR14" s="124"/>
      <c r="AS14" s="1"/>
      <c r="AT14" s="1"/>
      <c r="AU14" s="1"/>
      <c r="AX14" s="19"/>
      <c r="AY14" s="20"/>
    </row>
    <row r="15" spans="2:51" ht="15" customHeight="1" x14ac:dyDescent="0.3">
      <c r="B15" s="114" t="s">
        <v>11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22" t="s">
        <v>57</v>
      </c>
      <c r="N15" s="123"/>
      <c r="O15" s="123"/>
      <c r="P15" s="12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22" t="s">
        <v>57</v>
      </c>
      <c r="AG15" s="123"/>
      <c r="AH15" s="123"/>
      <c r="AI15" s="123"/>
      <c r="AJ15" s="123"/>
      <c r="AK15" s="124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15" t="s">
        <v>62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97" t="s">
        <v>57</v>
      </c>
      <c r="AG16" s="98"/>
      <c r="AH16" s="98"/>
      <c r="AI16" s="98"/>
      <c r="AJ16" s="98"/>
      <c r="AK16" s="99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14" t="s">
        <v>12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22" t="s">
        <v>46</v>
      </c>
      <c r="N17" s="123"/>
      <c r="O17" s="123"/>
      <c r="P17" s="123"/>
      <c r="Q17" s="123"/>
      <c r="R17" s="123"/>
      <c r="S17" s="123"/>
      <c r="T17" s="123"/>
      <c r="U17" s="123"/>
      <c r="V17" s="12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14" t="s">
        <v>13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22" t="s">
        <v>57</v>
      </c>
      <c r="AN18" s="123"/>
      <c r="AO18" s="123"/>
      <c r="AP18" s="123"/>
      <c r="AQ18" s="123"/>
      <c r="AR18" s="124"/>
      <c r="AS18" s="1"/>
      <c r="AT18" s="1"/>
      <c r="AU18" s="1"/>
    </row>
    <row r="19" spans="2:47" ht="15" customHeight="1" x14ac:dyDescent="0.3">
      <c r="B19" s="114" t="s">
        <v>19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"/>
      <c r="N19" s="1"/>
      <c r="O19" s="1"/>
      <c r="P19" s="1"/>
      <c r="Q19" s="1"/>
      <c r="R19" s="122" t="s">
        <v>57</v>
      </c>
      <c r="S19" s="123"/>
      <c r="T19" s="123"/>
      <c r="U19" s="123"/>
      <c r="V19" s="123"/>
      <c r="W19" s="124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22" t="s">
        <v>57</v>
      </c>
      <c r="AN19" s="123"/>
      <c r="AO19" s="123"/>
      <c r="AP19" s="123"/>
      <c r="AQ19" s="123"/>
      <c r="AR19" s="124"/>
      <c r="AS19" s="1"/>
      <c r="AT19" s="1"/>
      <c r="AU19" s="1"/>
    </row>
    <row r="20" spans="2:47" ht="15" customHeight="1" x14ac:dyDescent="0.3">
      <c r="B20" s="114" t="s">
        <v>20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"/>
      <c r="N20" s="1"/>
      <c r="O20" s="1"/>
      <c r="P20" s="1"/>
      <c r="Q20" s="1"/>
      <c r="R20" s="122" t="s">
        <v>57</v>
      </c>
      <c r="S20" s="123"/>
      <c r="T20" s="123"/>
      <c r="U20" s="123"/>
      <c r="V20" s="123"/>
      <c r="W20" s="124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22" t="s">
        <v>57</v>
      </c>
      <c r="AN20" s="123"/>
      <c r="AO20" s="123"/>
      <c r="AP20" s="123"/>
      <c r="AQ20" s="123"/>
      <c r="AR20" s="124"/>
      <c r="AS20" s="1"/>
      <c r="AT20" s="1"/>
      <c r="AU20" s="1"/>
    </row>
    <row r="21" spans="2:47" ht="15" customHeight="1" x14ac:dyDescent="0.3">
      <c r="B21" s="114" t="s">
        <v>21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"/>
      <c r="N21" s="1"/>
      <c r="O21" s="1"/>
      <c r="P21" s="1"/>
      <c r="Q21" s="1"/>
      <c r="R21" s="122" t="s">
        <v>57</v>
      </c>
      <c r="S21" s="123"/>
      <c r="T21" s="123"/>
      <c r="U21" s="123"/>
      <c r="V21" s="123"/>
      <c r="W21" s="124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22" t="s">
        <v>57</v>
      </c>
      <c r="AN21" s="123"/>
      <c r="AO21" s="123"/>
      <c r="AP21" s="123"/>
      <c r="AQ21" s="123"/>
      <c r="AR21" s="124"/>
      <c r="AS21" s="1"/>
      <c r="AT21" s="1"/>
      <c r="AU21" s="1"/>
    </row>
    <row r="25" spans="2:47" x14ac:dyDescent="0.3">
      <c r="E25" s="16"/>
    </row>
  </sheetData>
  <mergeCells count="46">
    <mergeCell ref="Y8:AD8"/>
    <mergeCell ref="Y9:AD9"/>
    <mergeCell ref="AF15:AK15"/>
    <mergeCell ref="R20:W20"/>
    <mergeCell ref="R21:W21"/>
    <mergeCell ref="M17:V17"/>
    <mergeCell ref="M15:P15"/>
    <mergeCell ref="M12:V12"/>
    <mergeCell ref="M13:V13"/>
    <mergeCell ref="AM18:AR18"/>
    <mergeCell ref="AM19:AR19"/>
    <mergeCell ref="AM20:AR20"/>
    <mergeCell ref="AM21:AR21"/>
    <mergeCell ref="M2:S2"/>
    <mergeCell ref="T2:Z2"/>
    <mergeCell ref="AA2:AG2"/>
    <mergeCell ref="AH2:AN2"/>
    <mergeCell ref="AO2:AU2"/>
    <mergeCell ref="AM14:AR14"/>
    <mergeCell ref="R19:W19"/>
    <mergeCell ref="AF16:AK16"/>
    <mergeCell ref="AM10:AR10"/>
    <mergeCell ref="AM11:AR11"/>
    <mergeCell ref="AF12:AK12"/>
    <mergeCell ref="AF13:AK13"/>
    <mergeCell ref="B4:L4"/>
    <mergeCell ref="B5:L5"/>
    <mergeCell ref="B6:L6"/>
    <mergeCell ref="B7:L7"/>
    <mergeCell ref="AM5:AR5"/>
    <mergeCell ref="Y6:AD6"/>
    <mergeCell ref="Y7:AD7"/>
    <mergeCell ref="B8:L8"/>
    <mergeCell ref="B9:L9"/>
    <mergeCell ref="B10:L10"/>
    <mergeCell ref="B11:L11"/>
    <mergeCell ref="B21:L21"/>
    <mergeCell ref="B18:L18"/>
    <mergeCell ref="B19:L19"/>
    <mergeCell ref="B20:L20"/>
    <mergeCell ref="B14:L14"/>
    <mergeCell ref="B15:L15"/>
    <mergeCell ref="B16:L16"/>
    <mergeCell ref="B17:L17"/>
    <mergeCell ref="B12:L12"/>
    <mergeCell ref="B13:L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5"/>
  <sheetViews>
    <sheetView showGridLines="0" zoomScale="80" zoomScaleNormal="80" workbookViewId="0">
      <selection activeCell="S4" sqref="S4"/>
    </sheetView>
  </sheetViews>
  <sheetFormatPr defaultRowHeight="14.4" x14ac:dyDescent="0.3"/>
  <cols>
    <col min="1" max="1" width="1.6640625" customWidth="1"/>
    <col min="2" max="12" width="4.33203125" customWidth="1"/>
    <col min="13" max="54" width="4" customWidth="1"/>
  </cols>
  <sheetData>
    <row r="2" spans="2:54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  <c r="AV2" s="116" t="s">
        <v>52</v>
      </c>
      <c r="AW2" s="116"/>
      <c r="AX2" s="116"/>
      <c r="AY2" s="116"/>
      <c r="AZ2" s="116"/>
      <c r="BA2" s="116"/>
      <c r="BB2" s="116"/>
    </row>
    <row r="3" spans="2:54" x14ac:dyDescent="0.3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3">
      <c r="B4" s="101" t="s">
        <v>65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22" t="s">
        <v>46</v>
      </c>
      <c r="S5" s="123"/>
      <c r="T5" s="123"/>
      <c r="U5" s="12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2" t="s">
        <v>64</v>
      </c>
      <c r="Z6" s="123"/>
      <c r="AA6" s="123"/>
      <c r="AB6" s="124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3">
      <c r="B7" s="115" t="s">
        <v>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3">
      <c r="B8" s="114" t="s">
        <v>6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22" t="s">
        <v>64</v>
      </c>
      <c r="Z8" s="123"/>
      <c r="AA8" s="123"/>
      <c r="AB8" s="12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3">
      <c r="B9" s="115" t="s">
        <v>60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22" t="s">
        <v>64</v>
      </c>
      <c r="AN10" s="123"/>
      <c r="AO10" s="123"/>
      <c r="AP10" s="124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2:54" ht="15" customHeight="1" x14ac:dyDescent="0.3">
      <c r="B11" s="114" t="s">
        <v>8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22" t="s">
        <v>64</v>
      </c>
      <c r="AN11" s="123"/>
      <c r="AO11" s="123"/>
      <c r="AP11" s="124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3">
      <c r="B12" s="114" t="s">
        <v>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22" t="s">
        <v>64</v>
      </c>
      <c r="AG12" s="123"/>
      <c r="AH12" s="123"/>
      <c r="AI12" s="124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22" t="s">
        <v>64</v>
      </c>
      <c r="AU12" s="123"/>
      <c r="AV12" s="123"/>
      <c r="AW12" s="124"/>
      <c r="AX12" s="1"/>
      <c r="AY12" s="1"/>
      <c r="AZ12" s="1"/>
      <c r="BA12" s="1"/>
      <c r="BB12" s="1"/>
    </row>
    <row r="13" spans="2:54" ht="15" customHeight="1" x14ac:dyDescent="0.3">
      <c r="B13" s="115" t="s">
        <v>61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97" t="s">
        <v>64</v>
      </c>
      <c r="AG13" s="98"/>
      <c r="AH13" s="98"/>
      <c r="AI13" s="99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97" t="s">
        <v>64</v>
      </c>
      <c r="AU13" s="98"/>
      <c r="AV13" s="98"/>
      <c r="AW13" s="99"/>
      <c r="AX13" s="1"/>
      <c r="AY13" s="1"/>
      <c r="AZ13" s="1"/>
      <c r="BA13" s="1"/>
      <c r="BB13" s="1"/>
    </row>
    <row r="14" spans="2:54" ht="15" customHeight="1" x14ac:dyDescent="0.3">
      <c r="B14" s="114" t="s">
        <v>10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22" t="s">
        <v>46</v>
      </c>
      <c r="S14" s="123"/>
      <c r="T14" s="123"/>
      <c r="U14" s="124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3">
      <c r="B15" s="114" t="s">
        <v>11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22" t="s">
        <v>64</v>
      </c>
      <c r="AU15" s="123"/>
      <c r="AV15" s="123"/>
      <c r="AW15" s="124"/>
      <c r="AX15" s="1"/>
      <c r="AY15" s="1"/>
      <c r="AZ15" s="1"/>
      <c r="BA15" s="1"/>
      <c r="BB15" s="1"/>
    </row>
    <row r="16" spans="2:54" ht="15" customHeight="1" x14ac:dyDescent="0.3">
      <c r="B16" s="115" t="s">
        <v>62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3">
      <c r="B17" s="114" t="s">
        <v>12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22" t="s">
        <v>46</v>
      </c>
      <c r="AG17" s="123"/>
      <c r="AH17" s="123"/>
      <c r="AI17" s="124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ht="15" customHeight="1" x14ac:dyDescent="0.3">
      <c r="B18" s="114" t="s">
        <v>13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22" t="s">
        <v>64</v>
      </c>
      <c r="AN18" s="123"/>
      <c r="AO18" s="123"/>
      <c r="AP18" s="124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ht="15" customHeight="1" x14ac:dyDescent="0.3">
      <c r="B19" s="114" t="s">
        <v>19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"/>
      <c r="N19" s="1"/>
      <c r="O19" s="1"/>
      <c r="P19" s="1"/>
      <c r="Q19" s="1"/>
      <c r="R19" s="122" t="s">
        <v>64</v>
      </c>
      <c r="S19" s="123"/>
      <c r="T19" s="123"/>
      <c r="U19" s="124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22" t="s">
        <v>64</v>
      </c>
      <c r="AN19" s="123"/>
      <c r="AO19" s="123"/>
      <c r="AP19" s="124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ht="15" customHeight="1" x14ac:dyDescent="0.3">
      <c r="B20" s="114" t="s">
        <v>20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"/>
      <c r="N20" s="1"/>
      <c r="O20" s="1"/>
      <c r="P20" s="1"/>
      <c r="Q20" s="1"/>
      <c r="R20" s="122" t="s">
        <v>64</v>
      </c>
      <c r="S20" s="123"/>
      <c r="T20" s="123"/>
      <c r="U20" s="124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22" t="s">
        <v>64</v>
      </c>
      <c r="AN20" s="123"/>
      <c r="AO20" s="123"/>
      <c r="AP20" s="124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ht="15" customHeight="1" x14ac:dyDescent="0.3">
      <c r="B21" s="114" t="s">
        <v>21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"/>
      <c r="N21" s="1"/>
      <c r="O21" s="1"/>
      <c r="P21" s="1"/>
      <c r="Q21" s="1"/>
      <c r="R21" s="122" t="s">
        <v>64</v>
      </c>
      <c r="S21" s="123"/>
      <c r="T21" s="123"/>
      <c r="U21" s="124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22" t="s">
        <v>64</v>
      </c>
      <c r="AN21" s="123"/>
      <c r="AO21" s="123"/>
      <c r="AP21" s="124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5" spans="2:54" x14ac:dyDescent="0.3">
      <c r="E25" s="16"/>
    </row>
  </sheetData>
  <mergeCells count="43">
    <mergeCell ref="AO2:AU2"/>
    <mergeCell ref="AV2:BB2"/>
    <mergeCell ref="Y8:AB8"/>
    <mergeCell ref="M2:S2"/>
    <mergeCell ref="T2:Z2"/>
    <mergeCell ref="AA2:AG2"/>
    <mergeCell ref="AH2:AN2"/>
    <mergeCell ref="B4:L4"/>
    <mergeCell ref="B5:L5"/>
    <mergeCell ref="R5:U5"/>
    <mergeCell ref="B6:L6"/>
    <mergeCell ref="Y6:AB6"/>
    <mergeCell ref="AM10:AP10"/>
    <mergeCell ref="B11:L11"/>
    <mergeCell ref="AM11:AP11"/>
    <mergeCell ref="B12:L12"/>
    <mergeCell ref="AF12:AI12"/>
    <mergeCell ref="B7:L7"/>
    <mergeCell ref="B9:L9"/>
    <mergeCell ref="B13:L13"/>
    <mergeCell ref="B16:L16"/>
    <mergeCell ref="B18:L18"/>
    <mergeCell ref="B14:L14"/>
    <mergeCell ref="B15:L15"/>
    <mergeCell ref="B17:L17"/>
    <mergeCell ref="B10:L10"/>
    <mergeCell ref="B8:L8"/>
    <mergeCell ref="AT12:AW12"/>
    <mergeCell ref="AF13:AI13"/>
    <mergeCell ref="AT13:AW13"/>
    <mergeCell ref="B21:L21"/>
    <mergeCell ref="R21:U21"/>
    <mergeCell ref="AM21:AP21"/>
    <mergeCell ref="AM18:AP18"/>
    <mergeCell ref="B19:L19"/>
    <mergeCell ref="R19:U19"/>
    <mergeCell ref="AM19:AP19"/>
    <mergeCell ref="B20:L20"/>
    <mergeCell ref="R20:U20"/>
    <mergeCell ref="AM20:AP20"/>
    <mergeCell ref="R14:U14"/>
    <mergeCell ref="AT15:AW15"/>
    <mergeCell ref="AF17:AI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1"/>
  <sheetViews>
    <sheetView showGridLines="0" zoomScale="80" zoomScaleNormal="80" workbookViewId="0">
      <selection activeCell="B4" sqref="B4:L4"/>
    </sheetView>
  </sheetViews>
  <sheetFormatPr defaultRowHeight="14.4" x14ac:dyDescent="0.3"/>
  <cols>
    <col min="1" max="1" width="1.6640625" customWidth="1"/>
    <col min="2" max="11" width="4" customWidth="1"/>
    <col min="12" max="12" width="9.5546875" customWidth="1"/>
    <col min="13" max="54" width="4" customWidth="1"/>
  </cols>
  <sheetData>
    <row r="2" spans="2:54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  <c r="AV2" s="116" t="s">
        <v>52</v>
      </c>
      <c r="AW2" s="116"/>
      <c r="AX2" s="116"/>
      <c r="AY2" s="116"/>
      <c r="AZ2" s="116"/>
      <c r="BA2" s="116"/>
      <c r="BB2" s="116"/>
    </row>
    <row r="3" spans="2:54" x14ac:dyDescent="0.3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3">
      <c r="B4" s="101">
        <v>44986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22" t="s">
        <v>46</v>
      </c>
      <c r="S5" s="123"/>
      <c r="T5" s="123"/>
      <c r="U5" s="12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2" t="s">
        <v>64</v>
      </c>
      <c r="Z6" s="123"/>
      <c r="AA6" s="123"/>
      <c r="AB6" s="124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22" t="s">
        <v>64</v>
      </c>
      <c r="Z7" s="123"/>
      <c r="AA7" s="123"/>
      <c r="AB7" s="124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22" t="s">
        <v>64</v>
      </c>
      <c r="AN8" s="123"/>
      <c r="AO8" s="123"/>
      <c r="AP8" s="124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22" t="s">
        <v>64</v>
      </c>
      <c r="AN9" s="123"/>
      <c r="AO9" s="123"/>
      <c r="AP9" s="124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22" t="s">
        <v>64</v>
      </c>
      <c r="AG10" s="123"/>
      <c r="AH10" s="123"/>
      <c r="AI10" s="124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22" t="s">
        <v>64</v>
      </c>
      <c r="AU10" s="123"/>
      <c r="AV10" s="123"/>
      <c r="AW10" s="124"/>
      <c r="AX10" s="1"/>
      <c r="AY10" s="1"/>
      <c r="AZ10" s="1"/>
      <c r="BA10" s="1"/>
      <c r="BB10" s="1"/>
    </row>
    <row r="11" spans="2:54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22" t="s">
        <v>46</v>
      </c>
      <c r="S11" s="123"/>
      <c r="T11" s="123"/>
      <c r="U11" s="12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22" t="s">
        <v>64</v>
      </c>
      <c r="AU12" s="123"/>
      <c r="AV12" s="123"/>
      <c r="AW12" s="124"/>
      <c r="AX12" s="1"/>
      <c r="AY12" s="1"/>
      <c r="AZ12" s="1"/>
      <c r="BA12" s="1"/>
      <c r="BB12" s="1"/>
    </row>
    <row r="13" spans="2:54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22" t="s">
        <v>46</v>
      </c>
      <c r="AG13" s="123"/>
      <c r="AH13" s="123"/>
      <c r="AI13" s="124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2:54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22" t="s">
        <v>64</v>
      </c>
      <c r="AN14" s="123"/>
      <c r="AO14" s="123"/>
      <c r="AP14" s="124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22" t="s">
        <v>57</v>
      </c>
      <c r="S15" s="123"/>
      <c r="T15" s="123"/>
      <c r="U15" s="124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22" t="s">
        <v>64</v>
      </c>
      <c r="AN15" s="123"/>
      <c r="AO15" s="123"/>
      <c r="AP15" s="124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54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22" t="s">
        <v>57</v>
      </c>
      <c r="S16" s="123"/>
      <c r="T16" s="123"/>
      <c r="U16" s="124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22" t="s">
        <v>64</v>
      </c>
      <c r="AN16" s="123"/>
      <c r="AO16" s="123"/>
      <c r="AP16" s="124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22" t="s">
        <v>57</v>
      </c>
      <c r="S17" s="123"/>
      <c r="T17" s="123"/>
      <c r="U17" s="12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22" t="s">
        <v>64</v>
      </c>
      <c r="AN17" s="123"/>
      <c r="AO17" s="123"/>
      <c r="AP17" s="124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21" spans="2:54" x14ac:dyDescent="0.3">
      <c r="E21" s="16"/>
    </row>
  </sheetData>
  <mergeCells count="37">
    <mergeCell ref="AO2:AU2"/>
    <mergeCell ref="B10:L10"/>
    <mergeCell ref="B11:L11"/>
    <mergeCell ref="B12:L12"/>
    <mergeCell ref="AF10:AI10"/>
    <mergeCell ref="B5:L5"/>
    <mergeCell ref="B6:L6"/>
    <mergeCell ref="B7:L7"/>
    <mergeCell ref="B8:L8"/>
    <mergeCell ref="B4:L4"/>
    <mergeCell ref="M2:S2"/>
    <mergeCell ref="T2:Z2"/>
    <mergeCell ref="AA2:AG2"/>
    <mergeCell ref="AH2:AN2"/>
    <mergeCell ref="AV2:BB2"/>
    <mergeCell ref="AT12:AW12"/>
    <mergeCell ref="AT10:AW10"/>
    <mergeCell ref="B17:L17"/>
    <mergeCell ref="R5:U5"/>
    <mergeCell ref="R11:U11"/>
    <mergeCell ref="Y6:AB6"/>
    <mergeCell ref="Y7:AB7"/>
    <mergeCell ref="R16:U16"/>
    <mergeCell ref="R17:U17"/>
    <mergeCell ref="B13:L13"/>
    <mergeCell ref="B14:L14"/>
    <mergeCell ref="B15:L15"/>
    <mergeCell ref="B16:L16"/>
    <mergeCell ref="AF13:AI13"/>
    <mergeCell ref="B9:L9"/>
    <mergeCell ref="AM15:AP15"/>
    <mergeCell ref="AM16:AP16"/>
    <mergeCell ref="AM17:AP17"/>
    <mergeCell ref="R15:U15"/>
    <mergeCell ref="AM8:AP8"/>
    <mergeCell ref="AM9:AP9"/>
    <mergeCell ref="AM14:AP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B2" sqref="B2:AU17"/>
    </sheetView>
  </sheetViews>
  <sheetFormatPr defaultRowHeight="14.4" x14ac:dyDescent="0.3"/>
  <cols>
    <col min="1" max="1" width="1.6640625" customWidth="1"/>
    <col min="2" max="11" width="4" customWidth="1"/>
    <col min="12" max="12" width="9.5546875" customWidth="1"/>
    <col min="13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/>
      <c r="N3" s="3"/>
      <c r="O3" s="3"/>
      <c r="P3" s="3">
        <v>1</v>
      </c>
      <c r="Q3" s="3">
        <f>P3+1</f>
        <v>2</v>
      </c>
      <c r="R3" s="3">
        <f t="shared" ref="R3:AQ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/>
      <c r="AS3" s="3"/>
      <c r="AT3" s="3"/>
      <c r="AU3" s="3"/>
    </row>
    <row r="4" spans="2:47" x14ac:dyDescent="0.3">
      <c r="B4" s="101">
        <v>44958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22" t="s">
        <v>49</v>
      </c>
      <c r="W6" s="123"/>
      <c r="X6" s="123"/>
      <c r="Y6" s="123"/>
      <c r="Z6" s="123"/>
      <c r="AA6" s="124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22" t="s">
        <v>49</v>
      </c>
      <c r="W7" s="123"/>
      <c r="X7" s="123"/>
      <c r="Y7" s="123"/>
      <c r="Z7" s="123"/>
      <c r="AA7" s="1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22" t="s">
        <v>46</v>
      </c>
      <c r="AG10" s="123"/>
      <c r="AH10" s="123"/>
      <c r="AI10" s="123"/>
      <c r="AJ10" s="123"/>
      <c r="AK10" s="123"/>
      <c r="AL10" s="123"/>
      <c r="AM10" s="123"/>
      <c r="AN10" s="123"/>
      <c r="AO10" s="124"/>
      <c r="AP10" s="1"/>
      <c r="AQ10" s="1"/>
      <c r="AR10" s="1"/>
      <c r="AS10" s="1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22" t="s">
        <v>46</v>
      </c>
      <c r="AG11" s="123"/>
      <c r="AH11" s="123"/>
      <c r="AI11" s="123"/>
      <c r="AJ11" s="123"/>
      <c r="AK11" s="123"/>
      <c r="AL11" s="123"/>
      <c r="AM11" s="123"/>
      <c r="AN11" s="123"/>
      <c r="AO11" s="124"/>
      <c r="AP11" s="1"/>
      <c r="AQ11" s="1"/>
      <c r="AR11" s="1"/>
      <c r="AS11" s="1"/>
      <c r="AT11" s="1"/>
      <c r="AU11" s="1"/>
    </row>
    <row r="12" spans="2:47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22" t="s">
        <v>49</v>
      </c>
      <c r="W12" s="123"/>
      <c r="X12" s="123"/>
      <c r="Y12" s="123"/>
      <c r="Z12" s="123"/>
      <c r="AA12" s="124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22" t="s">
        <v>46</v>
      </c>
      <c r="AN12" s="123"/>
      <c r="AO12" s="124"/>
      <c r="AP12" s="1"/>
      <c r="AQ12" s="1"/>
      <c r="AR12" s="1"/>
      <c r="AS12" s="1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22" t="s">
        <v>46</v>
      </c>
      <c r="AG13" s="123"/>
      <c r="AH13" s="123"/>
      <c r="AI13" s="123"/>
      <c r="AJ13" s="123"/>
      <c r="AK13" s="123"/>
      <c r="AL13" s="123"/>
      <c r="AM13" s="123"/>
      <c r="AN13" s="123"/>
      <c r="AO13" s="124"/>
      <c r="AP13" s="1"/>
      <c r="AQ13" s="1"/>
      <c r="AR13" s="1"/>
      <c r="AS13" s="1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22" t="s">
        <v>49</v>
      </c>
      <c r="W15" s="123"/>
      <c r="X15" s="123"/>
      <c r="Y15" s="123"/>
      <c r="Z15" s="123"/>
      <c r="AA15" s="124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"/>
      <c r="T16" s="1"/>
      <c r="U16" s="1"/>
      <c r="V16" s="122" t="s">
        <v>49</v>
      </c>
      <c r="W16" s="123"/>
      <c r="X16" s="123"/>
      <c r="Y16" s="123"/>
      <c r="Z16" s="123"/>
      <c r="AA16" s="124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22" t="s">
        <v>49</v>
      </c>
      <c r="W17" s="123"/>
      <c r="X17" s="123"/>
      <c r="Y17" s="123"/>
      <c r="Z17" s="123"/>
      <c r="AA17" s="124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9">
    <mergeCell ref="V15:AA15"/>
    <mergeCell ref="V16:AA16"/>
    <mergeCell ref="V17:AA17"/>
    <mergeCell ref="B17:L17"/>
    <mergeCell ref="B9:L9"/>
    <mergeCell ref="B10:L10"/>
    <mergeCell ref="B11:L11"/>
    <mergeCell ref="B12:L12"/>
    <mergeCell ref="B13:L13"/>
    <mergeCell ref="B14:L14"/>
    <mergeCell ref="B15:L15"/>
    <mergeCell ref="B16:L16"/>
    <mergeCell ref="M2:S2"/>
    <mergeCell ref="T2:Z2"/>
    <mergeCell ref="AA2:AG2"/>
    <mergeCell ref="AH2:AN2"/>
    <mergeCell ref="AO2:AU2"/>
    <mergeCell ref="B4:L4"/>
    <mergeCell ref="AF13:AO13"/>
    <mergeCell ref="AF10:AO10"/>
    <mergeCell ref="AM12:AO12"/>
    <mergeCell ref="AF11:AO11"/>
    <mergeCell ref="B5:L5"/>
    <mergeCell ref="B6:L6"/>
    <mergeCell ref="B7:L7"/>
    <mergeCell ref="B8:L8"/>
    <mergeCell ref="V6:AA6"/>
    <mergeCell ref="V7:AA7"/>
    <mergeCell ref="V12:A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B5" sqref="B5:L5"/>
    </sheetView>
  </sheetViews>
  <sheetFormatPr defaultRowHeight="14.4" x14ac:dyDescent="0.3"/>
  <cols>
    <col min="1" max="1" width="1.6640625" customWidth="1"/>
    <col min="2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>
        <v>2</v>
      </c>
      <c r="N3" s="3">
        <f t="shared" ref="N3:R3" si="0">M3+1</f>
        <v>3</v>
      </c>
      <c r="O3" s="3">
        <f t="shared" si="0"/>
        <v>4</v>
      </c>
      <c r="P3" s="3">
        <f t="shared" si="0"/>
        <v>5</v>
      </c>
      <c r="Q3" s="3">
        <f t="shared" si="0"/>
        <v>6</v>
      </c>
      <c r="R3" s="3">
        <f t="shared" si="0"/>
        <v>7</v>
      </c>
      <c r="S3" s="3">
        <f t="shared" ref="S3:AP3" si="1">R3+1</f>
        <v>8</v>
      </c>
      <c r="T3" s="3">
        <f t="shared" si="1"/>
        <v>9</v>
      </c>
      <c r="U3" s="3">
        <f t="shared" si="1"/>
        <v>10</v>
      </c>
      <c r="V3" s="3">
        <f t="shared" si="1"/>
        <v>11</v>
      </c>
      <c r="W3" s="3">
        <f t="shared" si="1"/>
        <v>12</v>
      </c>
      <c r="X3" s="3">
        <f t="shared" si="1"/>
        <v>13</v>
      </c>
      <c r="Y3" s="3">
        <f t="shared" si="1"/>
        <v>14</v>
      </c>
      <c r="Z3" s="3">
        <f t="shared" si="1"/>
        <v>15</v>
      </c>
      <c r="AA3" s="3">
        <f t="shared" si="1"/>
        <v>16</v>
      </c>
      <c r="AB3" s="3">
        <f t="shared" si="1"/>
        <v>17</v>
      </c>
      <c r="AC3" s="3">
        <f t="shared" si="1"/>
        <v>18</v>
      </c>
      <c r="AD3" s="3">
        <f t="shared" si="1"/>
        <v>19</v>
      </c>
      <c r="AE3" s="3">
        <f t="shared" si="1"/>
        <v>20</v>
      </c>
      <c r="AF3" s="3">
        <f t="shared" si="1"/>
        <v>21</v>
      </c>
      <c r="AG3" s="3">
        <f t="shared" si="1"/>
        <v>22</v>
      </c>
      <c r="AH3" s="3">
        <f t="shared" si="1"/>
        <v>23</v>
      </c>
      <c r="AI3" s="3">
        <f t="shared" si="1"/>
        <v>24</v>
      </c>
      <c r="AJ3" s="3">
        <f t="shared" si="1"/>
        <v>25</v>
      </c>
      <c r="AK3" s="3">
        <f t="shared" si="1"/>
        <v>26</v>
      </c>
      <c r="AL3" s="3">
        <f t="shared" si="1"/>
        <v>27</v>
      </c>
      <c r="AM3" s="3">
        <f t="shared" si="1"/>
        <v>28</v>
      </c>
      <c r="AN3" s="3">
        <f t="shared" si="1"/>
        <v>29</v>
      </c>
      <c r="AO3" s="3">
        <f t="shared" si="1"/>
        <v>30</v>
      </c>
      <c r="AP3" s="3">
        <f t="shared" si="1"/>
        <v>31</v>
      </c>
      <c r="AQ3" s="3"/>
      <c r="AR3" s="3"/>
      <c r="AS3" s="3"/>
      <c r="AT3" s="3"/>
      <c r="AU3" s="3"/>
    </row>
    <row r="4" spans="2:47" x14ac:dyDescent="0.3">
      <c r="B4" s="101">
        <v>44835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25" t="s">
        <v>9</v>
      </c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26" t="s">
        <v>45</v>
      </c>
      <c r="AF10" s="127"/>
      <c r="AG10" s="127"/>
      <c r="AH10" s="127"/>
      <c r="AI10" s="128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3">
      <c r="B12" s="125" t="s">
        <v>11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26" t="s">
        <v>45</v>
      </c>
      <c r="AF12" s="127"/>
      <c r="AG12" s="127"/>
      <c r="AH12" s="127"/>
      <c r="AI12" s="128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1">
    <mergeCell ref="B17:L17"/>
    <mergeCell ref="AE10:AI10"/>
    <mergeCell ref="AE12:AI12"/>
    <mergeCell ref="T2:Z2"/>
    <mergeCell ref="AA2:AG2"/>
    <mergeCell ref="AH2:AN2"/>
    <mergeCell ref="AO2:AU2"/>
    <mergeCell ref="B15:L15"/>
    <mergeCell ref="B16:L16"/>
    <mergeCell ref="B11:L11"/>
    <mergeCell ref="B12:L12"/>
    <mergeCell ref="B13:L13"/>
    <mergeCell ref="B14:L14"/>
    <mergeCell ref="B4:L4"/>
    <mergeCell ref="M2:S2"/>
    <mergeCell ref="B5:L5"/>
    <mergeCell ref="B6:L6"/>
    <mergeCell ref="B7:L7"/>
    <mergeCell ref="B8:L8"/>
    <mergeCell ref="B9:L9"/>
    <mergeCell ref="B10:L10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AQ7" sqref="AQ7"/>
    </sheetView>
  </sheetViews>
  <sheetFormatPr defaultRowHeight="14.4" x14ac:dyDescent="0.3"/>
  <cols>
    <col min="1" max="1" width="1.6640625" customWidth="1"/>
    <col min="2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/>
      <c r="N3" s="3"/>
      <c r="O3" s="3">
        <v>1</v>
      </c>
      <c r="P3" s="3">
        <f>O3+1</f>
        <v>2</v>
      </c>
      <c r="Q3" s="3">
        <f t="shared" ref="Q3:AR3" si="0">P3+1</f>
        <v>3</v>
      </c>
      <c r="R3" s="3">
        <f t="shared" si="0"/>
        <v>4</v>
      </c>
      <c r="S3" s="3">
        <f t="shared" si="0"/>
        <v>5</v>
      </c>
      <c r="T3" s="3">
        <f t="shared" si="0"/>
        <v>6</v>
      </c>
      <c r="U3" s="3">
        <f t="shared" si="0"/>
        <v>7</v>
      </c>
      <c r="V3" s="3">
        <f t="shared" si="0"/>
        <v>8</v>
      </c>
      <c r="W3" s="3">
        <f t="shared" si="0"/>
        <v>9</v>
      </c>
      <c r="X3" s="3">
        <f t="shared" si="0"/>
        <v>10</v>
      </c>
      <c r="Y3" s="3">
        <f t="shared" si="0"/>
        <v>11</v>
      </c>
      <c r="Z3" s="3">
        <f t="shared" si="0"/>
        <v>12</v>
      </c>
      <c r="AA3" s="3">
        <f t="shared" si="0"/>
        <v>13</v>
      </c>
      <c r="AB3" s="3">
        <f t="shared" si="0"/>
        <v>14</v>
      </c>
      <c r="AC3" s="3">
        <f t="shared" si="0"/>
        <v>15</v>
      </c>
      <c r="AD3" s="3">
        <f t="shared" si="0"/>
        <v>16</v>
      </c>
      <c r="AE3" s="3">
        <f t="shared" si="0"/>
        <v>17</v>
      </c>
      <c r="AF3" s="3">
        <f t="shared" si="0"/>
        <v>18</v>
      </c>
      <c r="AG3" s="3">
        <f t="shared" si="0"/>
        <v>19</v>
      </c>
      <c r="AH3" s="3">
        <f t="shared" si="0"/>
        <v>20</v>
      </c>
      <c r="AI3" s="3">
        <f t="shared" si="0"/>
        <v>21</v>
      </c>
      <c r="AJ3" s="3">
        <f t="shared" si="0"/>
        <v>22</v>
      </c>
      <c r="AK3" s="3">
        <f t="shared" si="0"/>
        <v>23</v>
      </c>
      <c r="AL3" s="3">
        <f t="shared" si="0"/>
        <v>24</v>
      </c>
      <c r="AM3" s="4">
        <f t="shared" si="0"/>
        <v>25</v>
      </c>
      <c r="AN3" s="3">
        <f t="shared" si="0"/>
        <v>26</v>
      </c>
      <c r="AO3" s="3">
        <f t="shared" si="0"/>
        <v>27</v>
      </c>
      <c r="AP3" s="4">
        <f t="shared" si="0"/>
        <v>28</v>
      </c>
      <c r="AQ3" s="3">
        <f t="shared" si="0"/>
        <v>29</v>
      </c>
      <c r="AR3" s="3">
        <f t="shared" si="0"/>
        <v>30</v>
      </c>
      <c r="AS3" s="3"/>
      <c r="AT3" s="3"/>
      <c r="AU3" s="3"/>
    </row>
    <row r="4" spans="2:47" x14ac:dyDescent="0.3">
      <c r="B4" s="101">
        <v>44866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4" t="s">
        <v>1</v>
      </c>
      <c r="AN4" s="2" t="s">
        <v>1</v>
      </c>
      <c r="AO4" s="2" t="s">
        <v>0</v>
      </c>
      <c r="AP4" s="4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32" t="s">
        <v>47</v>
      </c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29" t="s">
        <v>22</v>
      </c>
      <c r="AJ5" s="129"/>
      <c r="AK5" s="129"/>
      <c r="AL5" s="129"/>
      <c r="AM5" s="129"/>
      <c r="AN5" s="129"/>
      <c r="AO5" s="129"/>
      <c r="AP5" s="129"/>
      <c r="AQ5" s="5"/>
      <c r="AR5" s="5"/>
      <c r="AS5" s="5"/>
      <c r="AT5" s="1"/>
      <c r="AU5" s="1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34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0"/>
      <c r="AJ6" s="130"/>
      <c r="AK6" s="130"/>
      <c r="AL6" s="130"/>
      <c r="AM6" s="130"/>
      <c r="AN6" s="130"/>
      <c r="AO6" s="130"/>
      <c r="AP6" s="130"/>
      <c r="AQ6" s="5"/>
      <c r="AR6" s="5"/>
      <c r="AS6" s="5"/>
      <c r="AT6" s="1"/>
      <c r="AU6" s="1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34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0"/>
      <c r="AJ7" s="130"/>
      <c r="AK7" s="130"/>
      <c r="AL7" s="130"/>
      <c r="AM7" s="130"/>
      <c r="AN7" s="130"/>
      <c r="AO7" s="130"/>
      <c r="AP7" s="130"/>
      <c r="AQ7" s="5"/>
      <c r="AR7" s="5"/>
      <c r="AS7" s="5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34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0"/>
      <c r="AJ8" s="130"/>
      <c r="AK8" s="130"/>
      <c r="AL8" s="130"/>
      <c r="AM8" s="130"/>
      <c r="AN8" s="130"/>
      <c r="AO8" s="130"/>
      <c r="AP8" s="130"/>
      <c r="AQ8" s="5"/>
      <c r="AR8" s="5"/>
      <c r="AS8" s="5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34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0"/>
      <c r="AJ9" s="130"/>
      <c r="AK9" s="130"/>
      <c r="AL9" s="130"/>
      <c r="AM9" s="130"/>
      <c r="AN9" s="130"/>
      <c r="AO9" s="130"/>
      <c r="AP9" s="130"/>
      <c r="AQ9" s="5"/>
      <c r="AR9" s="5"/>
      <c r="AS9" s="5"/>
      <c r="AT9" s="1"/>
      <c r="AU9" s="1"/>
    </row>
    <row r="10" spans="2:47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34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0"/>
      <c r="AJ10" s="130"/>
      <c r="AK10" s="130"/>
      <c r="AL10" s="130"/>
      <c r="AM10" s="130"/>
      <c r="AN10" s="130"/>
      <c r="AO10" s="130"/>
      <c r="AP10" s="130"/>
      <c r="AQ10" s="5"/>
      <c r="AR10" s="5"/>
      <c r="AS10" s="5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34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0"/>
      <c r="AJ11" s="130"/>
      <c r="AK11" s="130"/>
      <c r="AL11" s="130"/>
      <c r="AM11" s="130"/>
      <c r="AN11" s="130"/>
      <c r="AO11" s="130"/>
      <c r="AP11" s="130"/>
      <c r="AQ11" s="5"/>
      <c r="AR11" s="5"/>
      <c r="AS11" s="5"/>
      <c r="AT11" s="1"/>
      <c r="AU11" s="1"/>
    </row>
    <row r="12" spans="2:47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34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0"/>
      <c r="AJ12" s="130"/>
      <c r="AK12" s="130"/>
      <c r="AL12" s="130"/>
      <c r="AM12" s="130"/>
      <c r="AN12" s="130"/>
      <c r="AO12" s="130"/>
      <c r="AP12" s="130"/>
      <c r="AQ12" s="5"/>
      <c r="AR12" s="5"/>
      <c r="AS12" s="5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34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0"/>
      <c r="AJ13" s="130"/>
      <c r="AK13" s="130"/>
      <c r="AL13" s="130"/>
      <c r="AM13" s="130"/>
      <c r="AN13" s="130"/>
      <c r="AO13" s="130"/>
      <c r="AP13" s="130"/>
      <c r="AQ13" s="5"/>
      <c r="AR13" s="5"/>
      <c r="AS13" s="5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34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0"/>
      <c r="AJ14" s="130"/>
      <c r="AK14" s="130"/>
      <c r="AL14" s="130"/>
      <c r="AM14" s="130"/>
      <c r="AN14" s="130"/>
      <c r="AO14" s="130"/>
      <c r="AP14" s="130"/>
      <c r="AQ14" s="5"/>
      <c r="AR14" s="5"/>
      <c r="AS14" s="5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34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0"/>
      <c r="AJ15" s="130"/>
      <c r="AK15" s="130"/>
      <c r="AL15" s="130"/>
      <c r="AM15" s="130"/>
      <c r="AN15" s="130"/>
      <c r="AO15" s="130"/>
      <c r="AP15" s="130"/>
      <c r="AQ15" s="5"/>
      <c r="AR15" s="5"/>
      <c r="AS15" s="5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34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0"/>
      <c r="AJ16" s="130"/>
      <c r="AK16" s="130"/>
      <c r="AL16" s="130"/>
      <c r="AM16" s="130"/>
      <c r="AN16" s="130"/>
      <c r="AO16" s="130"/>
      <c r="AP16" s="130"/>
      <c r="AQ16" s="5"/>
      <c r="AR16" s="5"/>
      <c r="AS16" s="5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36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1"/>
      <c r="AJ17" s="131"/>
      <c r="AK17" s="131"/>
      <c r="AL17" s="131"/>
      <c r="AM17" s="131"/>
      <c r="AN17" s="131"/>
      <c r="AO17" s="131"/>
      <c r="AP17" s="131"/>
      <c r="AQ17" s="5"/>
      <c r="AR17" s="5"/>
      <c r="AS17" s="5"/>
      <c r="AT17" s="1"/>
      <c r="AU17" s="1"/>
    </row>
  </sheetData>
  <mergeCells count="21">
    <mergeCell ref="AO2:AU2"/>
    <mergeCell ref="AI5:AP17"/>
    <mergeCell ref="B6:L6"/>
    <mergeCell ref="B7:L7"/>
    <mergeCell ref="B8:L8"/>
    <mergeCell ref="B9:L9"/>
    <mergeCell ref="B10:L10"/>
    <mergeCell ref="B11:L11"/>
    <mergeCell ref="B12:L12"/>
    <mergeCell ref="S5:AH17"/>
    <mergeCell ref="B13:L13"/>
    <mergeCell ref="B14:L14"/>
    <mergeCell ref="B15:L15"/>
    <mergeCell ref="B16:L16"/>
    <mergeCell ref="B17:L17"/>
    <mergeCell ref="B5:L5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L21" sqref="L21"/>
    </sheetView>
  </sheetViews>
  <sheetFormatPr defaultRowHeight="14.4" x14ac:dyDescent="0.3"/>
  <cols>
    <col min="1" max="1" width="1.6640625" customWidth="1"/>
    <col min="2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/>
      <c r="N3" s="3"/>
      <c r="O3" s="3"/>
      <c r="P3" s="3"/>
      <c r="Q3" s="3">
        <f t="shared" ref="Q3:AU3" si="0">P3+1</f>
        <v>1</v>
      </c>
      <c r="R3" s="3">
        <f t="shared" si="0"/>
        <v>2</v>
      </c>
      <c r="S3" s="3">
        <f t="shared" si="0"/>
        <v>3</v>
      </c>
      <c r="T3" s="3">
        <f t="shared" si="0"/>
        <v>4</v>
      </c>
      <c r="U3" s="3">
        <f t="shared" si="0"/>
        <v>5</v>
      </c>
      <c r="V3" s="3">
        <f t="shared" si="0"/>
        <v>6</v>
      </c>
      <c r="W3" s="3">
        <f t="shared" si="0"/>
        <v>7</v>
      </c>
      <c r="X3" s="4">
        <f t="shared" si="0"/>
        <v>8</v>
      </c>
      <c r="Y3" s="3">
        <f t="shared" si="0"/>
        <v>9</v>
      </c>
      <c r="Z3" s="3">
        <f t="shared" si="0"/>
        <v>10</v>
      </c>
      <c r="AA3" s="3">
        <f t="shared" si="0"/>
        <v>11</v>
      </c>
      <c r="AB3" s="3">
        <f t="shared" si="0"/>
        <v>12</v>
      </c>
      <c r="AC3" s="3">
        <f t="shared" si="0"/>
        <v>13</v>
      </c>
      <c r="AD3" s="3">
        <f t="shared" si="0"/>
        <v>14</v>
      </c>
      <c r="AE3" s="3">
        <f t="shared" si="0"/>
        <v>15</v>
      </c>
      <c r="AF3" s="3">
        <f t="shared" si="0"/>
        <v>16</v>
      </c>
      <c r="AG3" s="3">
        <f t="shared" si="0"/>
        <v>17</v>
      </c>
      <c r="AH3" s="3">
        <f t="shared" si="0"/>
        <v>18</v>
      </c>
      <c r="AI3" s="3">
        <f t="shared" si="0"/>
        <v>19</v>
      </c>
      <c r="AJ3" s="3">
        <f t="shared" si="0"/>
        <v>20</v>
      </c>
      <c r="AK3" s="3">
        <f t="shared" si="0"/>
        <v>21</v>
      </c>
      <c r="AL3" s="3">
        <f t="shared" si="0"/>
        <v>22</v>
      </c>
      <c r="AM3" s="3">
        <f t="shared" si="0"/>
        <v>23</v>
      </c>
      <c r="AN3" s="4">
        <f t="shared" si="0"/>
        <v>24</v>
      </c>
      <c r="AO3" s="4">
        <f t="shared" si="0"/>
        <v>25</v>
      </c>
      <c r="AP3" s="3">
        <f t="shared" si="0"/>
        <v>26</v>
      </c>
      <c r="AQ3" s="3">
        <f t="shared" si="0"/>
        <v>27</v>
      </c>
      <c r="AR3" s="3">
        <f t="shared" si="0"/>
        <v>28</v>
      </c>
      <c r="AS3" s="3">
        <f t="shared" si="0"/>
        <v>29</v>
      </c>
      <c r="AT3" s="3">
        <f t="shared" si="0"/>
        <v>30</v>
      </c>
      <c r="AU3" s="4">
        <f t="shared" si="0"/>
        <v>31</v>
      </c>
    </row>
    <row r="4" spans="2:47" x14ac:dyDescent="0.3">
      <c r="B4" s="101">
        <v>44896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22" t="s">
        <v>46</v>
      </c>
      <c r="AN5" s="123"/>
      <c r="AO5" s="123"/>
      <c r="AP5" s="123"/>
      <c r="AQ5" s="123"/>
      <c r="AR5" s="123"/>
      <c r="AS5" s="123"/>
      <c r="AT5" s="123"/>
      <c r="AU5" s="124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22" t="s">
        <v>46</v>
      </c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4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22" t="s">
        <v>46</v>
      </c>
      <c r="AN11" s="123"/>
      <c r="AO11" s="123"/>
      <c r="AP11" s="123"/>
      <c r="AQ11" s="123"/>
      <c r="AR11" s="123"/>
      <c r="AS11" s="123"/>
      <c r="AT11" s="123"/>
      <c r="AU11" s="124"/>
    </row>
    <row r="12" spans="2:47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2">
    <mergeCell ref="AO2:AU2"/>
    <mergeCell ref="AM11:AU11"/>
    <mergeCell ref="B12:L12"/>
    <mergeCell ref="B13:L13"/>
    <mergeCell ref="B5:L5"/>
    <mergeCell ref="AM5:AU5"/>
    <mergeCell ref="B6:L6"/>
    <mergeCell ref="AF6:AU6"/>
    <mergeCell ref="B7:L7"/>
    <mergeCell ref="B8:L8"/>
    <mergeCell ref="B4:L4"/>
    <mergeCell ref="M2:S2"/>
    <mergeCell ref="T2:Z2"/>
    <mergeCell ref="AA2:AG2"/>
    <mergeCell ref="AH2:AN2"/>
    <mergeCell ref="B14:L14"/>
    <mergeCell ref="B15:L15"/>
    <mergeCell ref="B16:L16"/>
    <mergeCell ref="B17:L17"/>
    <mergeCell ref="B9:L9"/>
    <mergeCell ref="B10:L10"/>
    <mergeCell ref="B11:L11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AQ10" sqref="AQ10"/>
    </sheetView>
  </sheetViews>
  <sheetFormatPr defaultRowHeight="14.4" x14ac:dyDescent="0.3"/>
  <cols>
    <col min="1" max="1" width="1.6640625" customWidth="1"/>
    <col min="2" max="11" width="4" customWidth="1"/>
    <col min="12" max="12" width="9.5546875" customWidth="1"/>
    <col min="13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>
        <v>1</v>
      </c>
      <c r="N3" s="3">
        <f t="shared" ref="N3" si="0">M3+1</f>
        <v>2</v>
      </c>
      <c r="O3" s="3">
        <f t="shared" ref="O3" si="1">N3+1</f>
        <v>3</v>
      </c>
      <c r="P3" s="3">
        <f t="shared" ref="P3" si="2">O3+1</f>
        <v>4</v>
      </c>
      <c r="Q3" s="3">
        <f t="shared" ref="Q3:AQ3" si="3">P3+1</f>
        <v>5</v>
      </c>
      <c r="R3" s="3">
        <f t="shared" si="3"/>
        <v>6</v>
      </c>
      <c r="S3" s="3">
        <f t="shared" si="3"/>
        <v>7</v>
      </c>
      <c r="T3" s="3">
        <f t="shared" si="3"/>
        <v>8</v>
      </c>
      <c r="U3" s="3">
        <f t="shared" si="3"/>
        <v>9</v>
      </c>
      <c r="V3" s="3">
        <f t="shared" si="3"/>
        <v>10</v>
      </c>
      <c r="W3" s="3">
        <f t="shared" si="3"/>
        <v>11</v>
      </c>
      <c r="X3" s="3">
        <f t="shared" si="3"/>
        <v>12</v>
      </c>
      <c r="Y3" s="3">
        <f t="shared" si="3"/>
        <v>13</v>
      </c>
      <c r="Z3" s="3">
        <f t="shared" si="3"/>
        <v>14</v>
      </c>
      <c r="AA3" s="3">
        <f t="shared" si="3"/>
        <v>15</v>
      </c>
      <c r="AB3" s="3">
        <f t="shared" si="3"/>
        <v>16</v>
      </c>
      <c r="AC3" s="3">
        <f t="shared" si="3"/>
        <v>17</v>
      </c>
      <c r="AD3" s="3">
        <f t="shared" si="3"/>
        <v>18</v>
      </c>
      <c r="AE3" s="3">
        <f t="shared" si="3"/>
        <v>19</v>
      </c>
      <c r="AF3" s="3">
        <f t="shared" si="3"/>
        <v>20</v>
      </c>
      <c r="AG3" s="3">
        <f t="shared" si="3"/>
        <v>21</v>
      </c>
      <c r="AH3" s="3">
        <f t="shared" si="3"/>
        <v>22</v>
      </c>
      <c r="AI3" s="3">
        <f t="shared" si="3"/>
        <v>23</v>
      </c>
      <c r="AJ3" s="3">
        <f t="shared" si="3"/>
        <v>24</v>
      </c>
      <c r="AK3" s="3">
        <f t="shared" si="3"/>
        <v>25</v>
      </c>
      <c r="AL3" s="3">
        <f t="shared" si="3"/>
        <v>26</v>
      </c>
      <c r="AM3" s="3">
        <f t="shared" si="3"/>
        <v>27</v>
      </c>
      <c r="AN3" s="3">
        <f t="shared" ref="AN3" si="4">AM3+1</f>
        <v>28</v>
      </c>
      <c r="AO3" s="3">
        <f t="shared" ref="AO3" si="5">AN3+1</f>
        <v>29</v>
      </c>
      <c r="AP3" s="3">
        <f t="shared" si="3"/>
        <v>30</v>
      </c>
      <c r="AQ3" s="3">
        <f t="shared" si="3"/>
        <v>31</v>
      </c>
      <c r="AR3" s="3"/>
      <c r="AS3" s="3"/>
      <c r="AT3" s="3"/>
      <c r="AU3" s="3"/>
    </row>
    <row r="4" spans="2:47" x14ac:dyDescent="0.3">
      <c r="B4" s="101">
        <v>44927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22" t="s">
        <v>48</v>
      </c>
      <c r="AG6" s="123"/>
      <c r="AH6" s="123"/>
      <c r="AI6" s="123"/>
      <c r="AJ6" s="123"/>
      <c r="AK6" s="123"/>
      <c r="AL6" s="123"/>
      <c r="AM6" s="123"/>
      <c r="AN6" s="123"/>
      <c r="AO6" s="124"/>
      <c r="AP6" s="1"/>
      <c r="AQ6" s="1"/>
      <c r="AR6" s="1"/>
      <c r="AS6" s="1"/>
      <c r="AT6" s="1"/>
      <c r="AU6" s="1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22" t="s">
        <v>48</v>
      </c>
      <c r="AG7" s="123"/>
      <c r="AH7" s="123"/>
      <c r="AI7" s="123"/>
      <c r="AJ7" s="123"/>
      <c r="AK7" s="123"/>
      <c r="AL7" s="123"/>
      <c r="AM7" s="123"/>
      <c r="AN7" s="123"/>
      <c r="AO7" s="124"/>
      <c r="AP7" s="1"/>
      <c r="AQ7" s="1"/>
      <c r="AR7" s="1"/>
      <c r="AS7" s="1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22" t="s">
        <v>46</v>
      </c>
      <c r="AN10" s="123"/>
      <c r="AO10" s="124"/>
      <c r="AP10" s="1"/>
      <c r="AQ10" s="1"/>
      <c r="AR10" s="1"/>
      <c r="AS10" s="1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22" t="s">
        <v>48</v>
      </c>
      <c r="AM13" s="123"/>
      <c r="AN13" s="123"/>
      <c r="AO13" s="123"/>
      <c r="AP13" s="124"/>
      <c r="AQ13" s="1"/>
      <c r="AR13" s="1"/>
      <c r="AS13" s="1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22" t="s">
        <v>46</v>
      </c>
      <c r="AM15" s="123"/>
      <c r="AN15" s="123"/>
      <c r="AO15" s="123"/>
      <c r="AP15" s="124"/>
      <c r="AQ15" s="1"/>
      <c r="AR15" s="1"/>
      <c r="AS15" s="1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22" t="s">
        <v>46</v>
      </c>
      <c r="AM16" s="123"/>
      <c r="AN16" s="123"/>
      <c r="AO16" s="123"/>
      <c r="AP16" s="124"/>
      <c r="AQ16" s="1"/>
      <c r="AR16" s="1"/>
      <c r="AS16" s="1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22" t="s">
        <v>46</v>
      </c>
      <c r="AM17" s="123"/>
      <c r="AN17" s="123"/>
      <c r="AO17" s="123"/>
      <c r="AP17" s="124"/>
      <c r="AQ17" s="1"/>
      <c r="AR17" s="1"/>
      <c r="AS17" s="1"/>
      <c r="AT17" s="1"/>
      <c r="AU17" s="1"/>
    </row>
  </sheetData>
  <mergeCells count="26">
    <mergeCell ref="AL13:AP13"/>
    <mergeCell ref="AL15:AP15"/>
    <mergeCell ref="AL16:AP16"/>
    <mergeCell ref="AL17:AP17"/>
    <mergeCell ref="B17:L17"/>
    <mergeCell ref="B16:L16"/>
    <mergeCell ref="B11:L11"/>
    <mergeCell ref="B12:L12"/>
    <mergeCell ref="B13:L13"/>
    <mergeCell ref="B14:L14"/>
    <mergeCell ref="B15:L15"/>
    <mergeCell ref="AO2:AU2"/>
    <mergeCell ref="B4:L4"/>
    <mergeCell ref="B10:L10"/>
    <mergeCell ref="M2:S2"/>
    <mergeCell ref="T2:Z2"/>
    <mergeCell ref="AA2:AG2"/>
    <mergeCell ref="AH2:AN2"/>
    <mergeCell ref="B5:L5"/>
    <mergeCell ref="B6:L6"/>
    <mergeCell ref="B7:L7"/>
    <mergeCell ref="B8:L8"/>
    <mergeCell ref="B9:L9"/>
    <mergeCell ref="AF6:AO6"/>
    <mergeCell ref="AF7:AO7"/>
    <mergeCell ref="AM10:AO10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I20" sqref="I20:I21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78" t="s">
        <v>175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3">
      <c r="C20" s="67" t="s">
        <v>162</v>
      </c>
      <c r="D20" s="68"/>
      <c r="E20" s="61"/>
      <c r="F20" s="80">
        <v>0.1</v>
      </c>
      <c r="G20" s="45" t="s">
        <v>144</v>
      </c>
      <c r="H20" s="61"/>
      <c r="I20" s="80">
        <v>0.05</v>
      </c>
      <c r="J20" s="45" t="s">
        <v>144</v>
      </c>
      <c r="K20" s="61"/>
      <c r="L20" s="80">
        <v>0.05</v>
      </c>
      <c r="M20" s="45" t="s">
        <v>144</v>
      </c>
      <c r="N20" s="61"/>
      <c r="O20" s="80">
        <v>0.05</v>
      </c>
    </row>
    <row r="21" spans="2:19" x14ac:dyDescent="0.3">
      <c r="B21" s="28" t="s">
        <v>147</v>
      </c>
      <c r="C21" s="28" t="s">
        <v>23</v>
      </c>
      <c r="D21" s="28" t="s">
        <v>154</v>
      </c>
      <c r="E21" s="60" t="str">
        <f>D21</f>
        <v xml:space="preserve">SITE 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3">
      <c r="B22" s="55">
        <v>794</v>
      </c>
      <c r="C22" s="9" t="s">
        <v>28</v>
      </c>
      <c r="D22" s="42">
        <f>'POLÍTICA COMERCIAL Jan24'!C22*(1+'POLÍTICA COMERCIAL Set24'!S$19)</f>
        <v>392.18940000000003</v>
      </c>
      <c r="E22" s="42">
        <f>D22*(1+Q$19)</f>
        <v>403.95508200000006</v>
      </c>
      <c r="F22" s="52">
        <f>E22*(1-F$20)</f>
        <v>363.55957380000007</v>
      </c>
      <c r="G22" s="42">
        <f>'POLÍTICA COMERCIAL Jan24'!G22*(1+'POLÍTICA COMERCIAL Set24'!S$19)</f>
        <v>423.98940000000005</v>
      </c>
      <c r="H22" s="42">
        <f>G22*(1+Q$19)</f>
        <v>436.70908200000008</v>
      </c>
      <c r="I22" s="52">
        <f>H22*(1-I$20)</f>
        <v>414.87362790000003</v>
      </c>
      <c r="J22" s="42">
        <f>'POLÍTICA COMERCIAL Jan24'!I22*(1+'POLÍTICA COMERCIAL Set24'!S$19)</f>
        <v>455.78940000000006</v>
      </c>
      <c r="K22" s="42">
        <f>J22*(1+Q$19)</f>
        <v>469.4630820000001</v>
      </c>
      <c r="L22" s="52">
        <f>K22*(1-L$20)</f>
        <v>445.98992790000005</v>
      </c>
      <c r="M22" s="42">
        <f>'POLÍTICA COMERCIAL Jan24'!K22*(1+'POLÍTICA COMERCIAL Set24'!S$19)</f>
        <v>423.98940000000005</v>
      </c>
      <c r="N22" s="42">
        <f>M22*(1+Q$19)</f>
        <v>436.70908200000008</v>
      </c>
      <c r="O22" s="52">
        <f>N22*(1-O$20)</f>
        <v>414.87362790000003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Set24'!S$19)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402.86437380000001</v>
      </c>
      <c r="G23" s="42">
        <f>'POLÍTICA COMERCIAL Jan24'!G24*(1+'POLÍTICA COMERCIAL Set24'!S$19)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456.36202790000004</v>
      </c>
      <c r="J23" s="42">
        <f>'POLÍTICA COMERCIAL Jan24'!I24*(1+'POLÍTICA COMERCIAL Set24'!S$19)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487.47832790000001</v>
      </c>
      <c r="M23" s="42">
        <f>'POLÍTICA COMERCIAL Jan24'!K24*(1+'POLÍTICA COMERCIAL Set24'!S$19)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456.36202790000004</v>
      </c>
      <c r="P23">
        <v>285</v>
      </c>
      <c r="Q23" s="63">
        <f>I23/P23</f>
        <v>1.6012702733333335</v>
      </c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330.72300000000001</v>
      </c>
      <c r="G24" s="42">
        <f>413.07133004*0.93</f>
        <v>384.15633693720002</v>
      </c>
      <c r="H24" s="42">
        <v>395.68</v>
      </c>
      <c r="I24" s="52">
        <f t="shared" si="4"/>
        <v>375.89600000000002</v>
      </c>
      <c r="J24" s="42">
        <f>441.90761032*0.93</f>
        <v>410.9740775976</v>
      </c>
      <c r="K24" s="42">
        <v>423.3</v>
      </c>
      <c r="L24" s="52">
        <f t="shared" si="6"/>
        <v>402.13499999999999</v>
      </c>
      <c r="M24" s="42">
        <f>413.07133004*0.93</f>
        <v>384.15633693720002</v>
      </c>
      <c r="N24" s="42">
        <f>H24</f>
        <v>395.68</v>
      </c>
      <c r="O24" s="52">
        <f t="shared" si="8"/>
        <v>375.89600000000002</v>
      </c>
      <c r="Q24" s="64"/>
    </row>
    <row r="25" spans="2:19" x14ac:dyDescent="0.3">
      <c r="B25" s="55">
        <v>796</v>
      </c>
      <c r="C25" s="9" t="s">
        <v>30</v>
      </c>
      <c r="D25" s="42">
        <f>'POLÍTICA COMERCIAL Jan24'!C26*(1+'POLÍTICA COMERCIAL Set24'!S$19)</f>
        <v>487.58940000000001</v>
      </c>
      <c r="E25" s="42">
        <f t="shared" si="1"/>
        <v>502.217082</v>
      </c>
      <c r="F25" s="52">
        <f t="shared" si="2"/>
        <v>451.99537380000004</v>
      </c>
      <c r="G25" s="42">
        <f>'POLÍTICA COMERCIAL Jan24'!G26*(1+'POLÍTICA COMERCIAL Set24'!S$19)</f>
        <v>519.38940000000002</v>
      </c>
      <c r="H25" s="42">
        <f t="shared" si="3"/>
        <v>534.97108200000002</v>
      </c>
      <c r="I25" s="52">
        <f t="shared" si="4"/>
        <v>508.22252789999999</v>
      </c>
      <c r="J25" s="42">
        <f>'POLÍTICA COMERCIAL Jan24'!I26*(1+'POLÍTICA COMERCIAL Set24'!S$19)</f>
        <v>551.18940000000009</v>
      </c>
      <c r="K25" s="42">
        <f t="shared" si="5"/>
        <v>567.72508200000016</v>
      </c>
      <c r="L25" s="52">
        <f t="shared" si="6"/>
        <v>539.33882790000007</v>
      </c>
      <c r="M25" s="42">
        <f>'POLÍTICA COMERCIAL Jan24'!K26*(1+'POLÍTICA COMERCIAL Set24'!S$19)</f>
        <v>519.38940000000002</v>
      </c>
      <c r="N25" s="42">
        <f t="shared" si="7"/>
        <v>534.97108200000002</v>
      </c>
      <c r="O25" s="52">
        <f t="shared" si="8"/>
        <v>508.22252789999999</v>
      </c>
      <c r="P25">
        <v>315</v>
      </c>
      <c r="Q25" s="63">
        <f>I25/P25</f>
        <v>1.6134048504761904</v>
      </c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373.23</v>
      </c>
      <c r="G26" s="42">
        <f>0.94*457.70775408</f>
        <v>430.24528883519997</v>
      </c>
      <c r="H26" s="42">
        <v>443.15</v>
      </c>
      <c r="I26" s="52">
        <f t="shared" si="4"/>
        <v>420.99249999999995</v>
      </c>
      <c r="J26" s="42">
        <f>0.94*486.47493932</f>
        <v>457.28644296079995</v>
      </c>
      <c r="K26" s="42">
        <v>471.01</v>
      </c>
      <c r="L26" s="52">
        <f t="shared" si="6"/>
        <v>447.45949999999999</v>
      </c>
      <c r="M26" s="42">
        <f>0.94*457.70775408</f>
        <v>430.24528883519997</v>
      </c>
      <c r="N26" s="42">
        <f>H26</f>
        <v>443.15</v>
      </c>
      <c r="O26" s="52">
        <f t="shared" si="8"/>
        <v>420.99249999999995</v>
      </c>
    </row>
    <row r="27" spans="2:19" x14ac:dyDescent="0.3">
      <c r="B27" s="55">
        <v>797</v>
      </c>
      <c r="C27" s="9" t="s">
        <v>31</v>
      </c>
      <c r="D27" s="42">
        <f>'POLÍTICA COMERCIAL Jan24'!C28*(1+'POLÍTICA COMERCIAL Set24'!S$19)</f>
        <v>635.98940000000005</v>
      </c>
      <c r="E27" s="42">
        <f t="shared" si="1"/>
        <v>655.06908200000009</v>
      </c>
      <c r="F27" s="52">
        <f t="shared" si="2"/>
        <v>589.5621738000001</v>
      </c>
      <c r="G27" s="42">
        <f>'POLÍTICA COMERCIAL Jan24'!G28*(1+'POLÍTICA COMERCIAL Set24'!S$19)</f>
        <v>667.7894</v>
      </c>
      <c r="H27" s="42">
        <f t="shared" si="3"/>
        <v>687.823082</v>
      </c>
      <c r="I27" s="52">
        <f t="shared" si="4"/>
        <v>653.43192790000001</v>
      </c>
      <c r="J27" s="42">
        <f>'POLÍTICA COMERCIAL Jan24'!I28*(1+'POLÍTICA COMERCIAL Set24'!S$19)</f>
        <v>710.18940000000009</v>
      </c>
      <c r="K27" s="42">
        <f t="shared" si="5"/>
        <v>731.49508200000014</v>
      </c>
      <c r="L27" s="52">
        <f t="shared" si="6"/>
        <v>694.92032790000007</v>
      </c>
      <c r="M27" s="42">
        <f>'POLÍTICA COMERCIAL Jan24'!K28*(1+'POLÍTICA COMERCIAL Set24'!S$19)</f>
        <v>667.7894</v>
      </c>
      <c r="N27" s="42">
        <f t="shared" si="7"/>
        <v>687.823082</v>
      </c>
      <c r="O27" s="52">
        <f t="shared" si="8"/>
        <v>653.43192790000001</v>
      </c>
      <c r="P27" s="15"/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499.48200000000003</v>
      </c>
      <c r="G28" s="42">
        <f>0.96*588.00208064</f>
        <v>564.48199741439998</v>
      </c>
      <c r="H28" s="42">
        <v>581.41999999999996</v>
      </c>
      <c r="I28" s="52">
        <f t="shared" si="4"/>
        <v>552.34899999999993</v>
      </c>
      <c r="J28" s="42">
        <f>0.95*635.30051448</f>
        <v>603.53548875599995</v>
      </c>
      <c r="K28" s="42">
        <v>621.64</v>
      </c>
      <c r="L28" s="52">
        <f t="shared" si="6"/>
        <v>590.55799999999999</v>
      </c>
      <c r="M28" s="42">
        <f>0.96*588.00208064</f>
        <v>564.48199741439998</v>
      </c>
      <c r="N28" s="42">
        <f>H28</f>
        <v>581.41999999999996</v>
      </c>
      <c r="O28" s="52">
        <f t="shared" si="8"/>
        <v>552.34899999999993</v>
      </c>
      <c r="P28" s="15">
        <v>986</v>
      </c>
      <c r="Q28" s="64">
        <f>Q25*Q29</f>
        <v>987.40376849142854</v>
      </c>
    </row>
    <row r="29" spans="2:19" x14ac:dyDescent="0.3">
      <c r="B29" s="55">
        <v>799</v>
      </c>
      <c r="C29" s="9" t="s">
        <v>33</v>
      </c>
      <c r="D29" s="42">
        <f>'POLÍTICA COMERCIAL Jan24'!C31*(1+'POLÍTICA COMERCIAL Set24'!S$19)</f>
        <v>816.18940000000009</v>
      </c>
      <c r="E29" s="42">
        <f t="shared" si="1"/>
        <v>840.67508200000009</v>
      </c>
      <c r="F29" s="52">
        <f t="shared" si="2"/>
        <v>756.60757380000007</v>
      </c>
      <c r="G29" s="42">
        <f>'POLÍTICA COMERCIAL Jan24'!G31*(1+'POLÍTICA COMERCIAL Set24'!S$19)</f>
        <v>847.98940000000005</v>
      </c>
      <c r="H29" s="42">
        <f t="shared" si="3"/>
        <v>873.42908200000011</v>
      </c>
      <c r="I29" s="52">
        <f t="shared" si="4"/>
        <v>829.7576279000001</v>
      </c>
      <c r="J29" s="42">
        <f>'POLÍTICA COMERCIAL Jan24'!I31*(1+'POLÍTICA COMERCIAL Set24'!S$19)</f>
        <v>890.38940000000002</v>
      </c>
      <c r="K29" s="42">
        <f t="shared" si="5"/>
        <v>917.10108200000002</v>
      </c>
      <c r="L29" s="52">
        <f t="shared" si="6"/>
        <v>871.24602789999994</v>
      </c>
      <c r="M29" s="42">
        <f>'POLÍTICA COMERCIAL Jan24'!K31*(1+'POLÍTICA COMERCIAL Set24'!S$19)</f>
        <v>847.98940000000005</v>
      </c>
      <c r="N29" s="42">
        <f t="shared" si="7"/>
        <v>873.42908200000011</v>
      </c>
      <c r="O29" s="52">
        <f t="shared" si="8"/>
        <v>829.7576279000001</v>
      </c>
      <c r="Q29">
        <v>612</v>
      </c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643.23900000000003</v>
      </c>
      <c r="G30" s="42">
        <f>0.96*747.62293324</f>
        <v>717.71801591039991</v>
      </c>
      <c r="H30" s="42">
        <v>739.25</v>
      </c>
      <c r="I30" s="52">
        <f t="shared" si="4"/>
        <v>702.28750000000002</v>
      </c>
      <c r="J30" s="42">
        <f>0.955*789.98477324</f>
        <v>754.43545844419998</v>
      </c>
      <c r="K30" s="42">
        <v>777.07</v>
      </c>
      <c r="L30" s="52">
        <f t="shared" si="6"/>
        <v>738.2165</v>
      </c>
      <c r="M30" s="42">
        <f>0.96*747.62293324</f>
        <v>717.71801591039991</v>
      </c>
      <c r="N30" s="42">
        <f>H30</f>
        <v>739.25</v>
      </c>
      <c r="O30" s="52">
        <f t="shared" si="8"/>
        <v>702.28750000000002</v>
      </c>
      <c r="Q30" t="s">
        <v>177</v>
      </c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Set24'!S$19)</f>
        <v>413.38940000000002</v>
      </c>
      <c r="E31" s="42">
        <f t="shared" si="1"/>
        <v>425.79108200000002</v>
      </c>
      <c r="F31" s="52">
        <f t="shared" si="2"/>
        <v>383.21197380000001</v>
      </c>
      <c r="G31" s="42">
        <f>'POLÍTICA COMERCIAL Jan24'!G33*(1+'POLÍTICA COMERCIAL Set24'!S$19)</f>
        <v>445.18940000000003</v>
      </c>
      <c r="H31" s="42">
        <f t="shared" si="3"/>
        <v>458.54508200000004</v>
      </c>
      <c r="I31" s="52">
        <f t="shared" si="4"/>
        <v>435.61782790000001</v>
      </c>
      <c r="J31" s="42">
        <f>'POLÍTICA COMERCIAL Jan24'!I33*(1+'POLÍTICA COMERCIAL Set24'!S$19)</f>
        <v>466.38940000000002</v>
      </c>
      <c r="K31" s="42">
        <f t="shared" si="5"/>
        <v>480.38108200000005</v>
      </c>
      <c r="L31" s="52">
        <f t="shared" si="6"/>
        <v>456.36202790000004</v>
      </c>
      <c r="M31" s="42">
        <f>'POLÍTICA COMERCIAL Jan24'!K33*(1+'POLÍTICA COMERCIAL Set24'!S$19)</f>
        <v>445.18940000000003</v>
      </c>
      <c r="N31" s="42">
        <f t="shared" si="7"/>
        <v>458.54508200000004</v>
      </c>
      <c r="O31" s="52">
        <f t="shared" si="8"/>
        <v>435.61782790000001</v>
      </c>
    </row>
    <row r="32" spans="2:19" x14ac:dyDescent="0.3">
      <c r="B32" s="55">
        <v>801</v>
      </c>
      <c r="C32" s="9" t="s">
        <v>35</v>
      </c>
      <c r="D32" s="42">
        <f>'POLÍTICA COMERCIAL Jan24'!C34*(1+'POLÍTICA COMERCIAL Set24'!S$19)</f>
        <v>493.94940000000003</v>
      </c>
      <c r="E32" s="42">
        <f t="shared" si="1"/>
        <v>508.76788200000004</v>
      </c>
      <c r="F32" s="52">
        <f t="shared" si="2"/>
        <v>457.89109380000002</v>
      </c>
      <c r="G32" s="42">
        <f>'POLÍTICA COMERCIAL Jan24'!G34*(1+'POLÍTICA COMERCIAL Set24'!S$19)</f>
        <v>525.74940000000004</v>
      </c>
      <c r="H32" s="42">
        <f t="shared" si="3"/>
        <v>541.52188200000001</v>
      </c>
      <c r="I32" s="52">
        <f t="shared" si="4"/>
        <v>514.44578790000003</v>
      </c>
      <c r="J32" s="42">
        <f>'POLÍTICA COMERCIAL Jan24'!I34*(1+'POLÍTICA COMERCIAL Set24'!S$19)</f>
        <v>568.14940000000001</v>
      </c>
      <c r="K32" s="42">
        <f t="shared" si="5"/>
        <v>585.19388200000003</v>
      </c>
      <c r="L32" s="52">
        <f t="shared" si="6"/>
        <v>555.93418789999998</v>
      </c>
      <c r="M32" s="42">
        <f>'POLÍTICA COMERCIAL Jan24'!K34*(1+'POLÍTICA COMERCIAL Set24'!S$19)</f>
        <v>525.74940000000004</v>
      </c>
      <c r="N32" s="42">
        <f t="shared" si="7"/>
        <v>541.52188200000001</v>
      </c>
      <c r="O32" s="52">
        <f t="shared" si="8"/>
        <v>514.44578790000003</v>
      </c>
    </row>
    <row r="33" spans="2:17" x14ac:dyDescent="0.3">
      <c r="B33" s="55">
        <v>802</v>
      </c>
      <c r="C33" s="9" t="s">
        <v>34</v>
      </c>
      <c r="D33" s="42">
        <f>'POLÍTICA COMERCIAL Jan24'!C35*(1+'POLÍTICA COMERCIAL Set24'!S$19)</f>
        <v>625.38940000000002</v>
      </c>
      <c r="E33" s="42">
        <f t="shared" si="1"/>
        <v>644.15108200000009</v>
      </c>
      <c r="F33" s="52">
        <f t="shared" si="2"/>
        <v>579.73597380000012</v>
      </c>
      <c r="G33" s="42">
        <f>'POLÍTICA COMERCIAL Jan24'!G35*(1+'POLÍTICA COMERCIAL Set24'!S$19)</f>
        <v>657.18940000000009</v>
      </c>
      <c r="H33" s="42">
        <f t="shared" si="3"/>
        <v>676.90508200000011</v>
      </c>
      <c r="I33" s="52">
        <f t="shared" si="4"/>
        <v>643.05982790000007</v>
      </c>
      <c r="J33" s="42">
        <f>'POLÍTICA COMERCIAL Jan24'!I35*(1+'POLÍTICA COMERCIAL Set24'!S$19)</f>
        <v>731.38940000000002</v>
      </c>
      <c r="K33" s="42">
        <f t="shared" si="5"/>
        <v>753.33108200000004</v>
      </c>
      <c r="L33" s="52">
        <f t="shared" si="6"/>
        <v>715.66452790000005</v>
      </c>
      <c r="M33" s="42">
        <f>'POLÍTICA COMERCIAL Jan24'!K35*(1+'POLÍTICA COMERCIAL Set24'!S$19)</f>
        <v>657.18940000000009</v>
      </c>
      <c r="N33" s="42">
        <f t="shared" si="7"/>
        <v>676.90508200000011</v>
      </c>
      <c r="O33" s="52">
        <f t="shared" si="8"/>
        <v>643.05982790000007</v>
      </c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Set24'!S$19)</f>
        <v>669.57038682500001</v>
      </c>
      <c r="E34" s="42">
        <f t="shared" si="1"/>
        <v>689.65749842975004</v>
      </c>
      <c r="F34" s="52">
        <f t="shared" si="2"/>
        <v>620.69174858677502</v>
      </c>
      <c r="G34" s="42">
        <f>'POLÍTICA COMERCIAL Jan24'!G36*(1+'POLÍTICA COMERCIAL Set24'!S$19)</f>
        <v>775.37993000000006</v>
      </c>
      <c r="H34" s="42">
        <f t="shared" si="3"/>
        <v>798.64132790000008</v>
      </c>
      <c r="I34" s="52">
        <f t="shared" si="4"/>
        <v>758.70926150500009</v>
      </c>
      <c r="J34" s="42">
        <f>'POLÍTICA COMERCIAL Jan24'!I36*(1+'POLÍTICA COMERCIAL Set24'!S$19)</f>
        <v>815.65993000000003</v>
      </c>
      <c r="K34" s="42">
        <f t="shared" si="5"/>
        <v>840.12972790000003</v>
      </c>
      <c r="L34" s="52">
        <f t="shared" si="6"/>
        <v>798.12324150500001</v>
      </c>
      <c r="M34" s="42">
        <f>'POLÍTICA COMERCIAL Jan24'!K36*(1+'POLÍTICA COMERCIAL Set24'!S$19)</f>
        <v>775.37993000000006</v>
      </c>
      <c r="N34" s="42">
        <f t="shared" si="7"/>
        <v>798.64132790000008</v>
      </c>
      <c r="O34" s="52">
        <f t="shared" si="8"/>
        <v>758.70926150500009</v>
      </c>
    </row>
    <row r="35" spans="2:17" x14ac:dyDescent="0.3">
      <c r="B35" s="55" t="s">
        <v>151</v>
      </c>
      <c r="C35" s="9" t="s">
        <v>37</v>
      </c>
      <c r="D35" s="42">
        <f>'POLÍTICA COMERCIAL Jan24'!C38*(1+'POLÍTICA COMERCIAL Set24'!S$19)</f>
        <v>58.194000000000003</v>
      </c>
      <c r="E35" s="42">
        <f t="shared" si="1"/>
        <v>59.939820000000005</v>
      </c>
      <c r="F35" s="52">
        <f t="shared" si="2"/>
        <v>53.945838000000002</v>
      </c>
      <c r="G35" s="42">
        <f>'POLÍTICA COMERCIAL Jan24'!G38*(1+'POLÍTICA COMERCIAL Set24'!S$19)</f>
        <v>64.861188000000013</v>
      </c>
      <c r="H35" s="42">
        <f t="shared" si="3"/>
        <v>66.807023640000011</v>
      </c>
      <c r="I35" s="52">
        <f t="shared" si="4"/>
        <v>63.466672458000005</v>
      </c>
      <c r="J35" s="42">
        <f>'POLÍTICA COMERCIAL Jan24'!I38*(1+'POLÍTICA COMERCIAL Set24'!S$19)</f>
        <v>70.169880000000006</v>
      </c>
      <c r="K35" s="42">
        <f t="shared" si="5"/>
        <v>72.274976400000014</v>
      </c>
      <c r="L35" s="52">
        <f t="shared" si="6"/>
        <v>68.661227580000016</v>
      </c>
      <c r="M35" s="42">
        <f>'POLÍTICA COMERCIAL Jan24'!K38*(1+'POLÍTICA COMERCIAL Set24'!S$19)</f>
        <v>64.861188000000013</v>
      </c>
      <c r="N35" s="42">
        <f t="shared" si="7"/>
        <v>66.807023640000011</v>
      </c>
      <c r="O35" s="52">
        <f t="shared" si="8"/>
        <v>63.466672458000005</v>
      </c>
    </row>
    <row r="36" spans="2:17" x14ac:dyDescent="0.3">
      <c r="B36" s="55" t="s">
        <v>150</v>
      </c>
      <c r="C36" s="9" t="s">
        <v>36</v>
      </c>
      <c r="D36" s="42">
        <f>'POLÍTICA COMERCIAL Jan24'!C39*(1+'POLÍTICA COMERCIAL Set24'!S$19)</f>
        <v>55.284299999999995</v>
      </c>
      <c r="E36" s="42">
        <f t="shared" si="1"/>
        <v>56.942828999999996</v>
      </c>
      <c r="F36" s="52">
        <f t="shared" si="2"/>
        <v>51.248546099999999</v>
      </c>
      <c r="G36" s="42">
        <f>'POLÍTICA COMERCIAL Jan24'!G39*(1+'POLÍTICA COMERCIAL Set24'!S$19)</f>
        <v>61.618128600000006</v>
      </c>
      <c r="H36" s="42">
        <f t="shared" si="3"/>
        <v>63.466672458000005</v>
      </c>
      <c r="I36" s="52">
        <f t="shared" si="4"/>
        <v>60.293338835100002</v>
      </c>
      <c r="J36" s="42">
        <f>'POLÍTICA COMERCIAL Jan24'!I39*(1+'POLÍTICA COMERCIAL Set24'!S$19)</f>
        <v>66.661386000000007</v>
      </c>
      <c r="K36" s="42">
        <f t="shared" si="5"/>
        <v>68.661227580000016</v>
      </c>
      <c r="L36" s="52">
        <f t="shared" si="6"/>
        <v>65.228166201000008</v>
      </c>
      <c r="M36" s="42">
        <f>'POLÍTICA COMERCIAL Jan24'!K39*(1+'POLÍTICA COMERCIAL Set24'!S$19)</f>
        <v>61.618128600000006</v>
      </c>
      <c r="N36" s="42">
        <f t="shared" si="7"/>
        <v>63.466672458000005</v>
      </c>
      <c r="O36" s="52">
        <f t="shared" si="8"/>
        <v>60.293338835100002</v>
      </c>
    </row>
    <row r="37" spans="2:17" x14ac:dyDescent="0.3">
      <c r="B37" s="55">
        <v>681</v>
      </c>
      <c r="C37" s="9" t="s">
        <v>38</v>
      </c>
      <c r="D37" s="42">
        <f>'POLÍTICA COMERCIAL Jan24'!C40*(1+'POLÍTICA COMERCIAL Set24'!S$19)</f>
        <v>83.740000000000009</v>
      </c>
      <c r="E37" s="42">
        <f t="shared" si="1"/>
        <v>86.252200000000016</v>
      </c>
      <c r="F37" s="52">
        <f t="shared" si="2"/>
        <v>77.626980000000017</v>
      </c>
      <c r="G37" s="42">
        <f>'POLÍTICA COMERCIAL Jan24'!G40*(1+'POLÍTICA COMERCIAL Set24'!S$19)</f>
        <v>96.226800000000011</v>
      </c>
      <c r="H37" s="42">
        <f t="shared" si="3"/>
        <v>99.113604000000009</v>
      </c>
      <c r="I37" s="52">
        <f t="shared" si="4"/>
        <v>94.157923800000006</v>
      </c>
      <c r="J37" s="42">
        <f>'POLÍTICA COMERCIAL Jan24'!I40*(1+'POLÍTICA COMERCIAL Set24'!S$19)</f>
        <v>107.03880000000001</v>
      </c>
      <c r="K37" s="42">
        <f t="shared" si="5"/>
        <v>110.24996400000001</v>
      </c>
      <c r="L37" s="52">
        <f t="shared" si="6"/>
        <v>104.7374658</v>
      </c>
      <c r="M37" s="42">
        <f>'POLÍTICA COMERCIAL Jan24'!K40*(1+'POLÍTICA COMERCIAL Set24'!S$19)</f>
        <v>96.226800000000011</v>
      </c>
      <c r="N37" s="42">
        <f t="shared" si="7"/>
        <v>99.113604000000009</v>
      </c>
      <c r="O37" s="52">
        <f t="shared" si="8"/>
        <v>94.157923800000006</v>
      </c>
    </row>
    <row r="38" spans="2:17" x14ac:dyDescent="0.3">
      <c r="B38" s="55" t="s">
        <v>149</v>
      </c>
      <c r="C38" s="9" t="s">
        <v>39</v>
      </c>
      <c r="D38" s="42">
        <f>'POLÍTICA COMERCIAL Jan24'!C41*(1+'POLÍTICA COMERCIAL Set24'!S$19)</f>
        <v>73.14</v>
      </c>
      <c r="E38" s="42">
        <f t="shared" si="1"/>
        <v>75.334199999999996</v>
      </c>
      <c r="F38" s="52">
        <f t="shared" si="2"/>
        <v>67.800780000000003</v>
      </c>
      <c r="G38" s="42">
        <f>'POLÍTICA COMERCIAL Jan24'!G41*(1+'POLÍTICA COMERCIAL Set24'!S$19)</f>
        <v>83.634000000000015</v>
      </c>
      <c r="H38" s="42">
        <f t="shared" si="3"/>
        <v>86.143020000000021</v>
      </c>
      <c r="I38" s="52">
        <f t="shared" si="4"/>
        <v>81.835869000000017</v>
      </c>
      <c r="J38" s="42">
        <f>'POLÍTICA COMERCIAL Jan24'!I41*(1+'POLÍTICA COMERCIAL Set24'!S$19)</f>
        <v>93.174000000000007</v>
      </c>
      <c r="K38" s="42">
        <f t="shared" si="5"/>
        <v>95.969220000000007</v>
      </c>
      <c r="L38" s="52">
        <f t="shared" si="6"/>
        <v>91.170759000000004</v>
      </c>
      <c r="M38" s="42">
        <f>'POLÍTICA COMERCIAL Jan24'!K41*(1+'POLÍTICA COMERCIAL Set24'!S$19)</f>
        <v>83.634000000000015</v>
      </c>
      <c r="N38" s="42">
        <f t="shared" si="7"/>
        <v>86.143020000000021</v>
      </c>
      <c r="O38" s="52">
        <f t="shared" si="8"/>
        <v>81.835869000000017</v>
      </c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 xml:space="preserve">SITE 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3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3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76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3">
      <c r="B65" s="77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9">E65*(1-F$42)</f>
        <v>352.495</v>
      </c>
      <c r="G65" s="42">
        <f>G27</f>
        <v>667.7894</v>
      </c>
      <c r="H65" s="42">
        <f>H26</f>
        <v>443.15</v>
      </c>
      <c r="I65" s="52">
        <f t="shared" ref="I65:I68" si="10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1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2">N65*(1-O$42)</f>
        <v>376.67749999999995</v>
      </c>
    </row>
    <row r="66" spans="2:15" x14ac:dyDescent="0.3">
      <c r="B66" s="77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9"/>
        <v>471.733</v>
      </c>
      <c r="G66" s="42">
        <f>G29</f>
        <v>847.98940000000005</v>
      </c>
      <c r="H66" s="42">
        <f>H28</f>
        <v>581.41999999999996</v>
      </c>
      <c r="I66" s="52">
        <f t="shared" si="10"/>
        <v>494.20699999999994</v>
      </c>
      <c r="J66" s="42">
        <f>J29</f>
        <v>890.38940000000002</v>
      </c>
      <c r="K66" s="42">
        <f>K28</f>
        <v>621.64</v>
      </c>
      <c r="L66" s="52">
        <f t="shared" si="11"/>
        <v>528.39400000000001</v>
      </c>
      <c r="M66" s="42">
        <f>M29</f>
        <v>847.98940000000005</v>
      </c>
      <c r="N66" s="42">
        <f>N28</f>
        <v>581.41999999999996</v>
      </c>
      <c r="O66" s="52">
        <f t="shared" si="12"/>
        <v>494.20699999999994</v>
      </c>
    </row>
    <row r="67" spans="2:15" x14ac:dyDescent="0.3">
      <c r="B67" s="77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9"/>
        <v>607.50350000000003</v>
      </c>
      <c r="G67" s="42">
        <f>G31</f>
        <v>445.18940000000003</v>
      </c>
      <c r="H67" s="42">
        <f>H30</f>
        <v>739.25</v>
      </c>
      <c r="I67" s="52">
        <f t="shared" si="10"/>
        <v>628.36249999999995</v>
      </c>
      <c r="J67" s="42">
        <f>J31</f>
        <v>466.38940000000002</v>
      </c>
      <c r="K67" s="42">
        <f>K30</f>
        <v>777.07</v>
      </c>
      <c r="L67" s="52">
        <f t="shared" si="11"/>
        <v>660.5095</v>
      </c>
      <c r="M67" s="42">
        <f>M31</f>
        <v>445.18940000000003</v>
      </c>
      <c r="N67" s="42">
        <f>N30</f>
        <v>739.25</v>
      </c>
      <c r="O67" s="52">
        <f t="shared" si="12"/>
        <v>628.36249999999995</v>
      </c>
    </row>
    <row r="68" spans="2:15" x14ac:dyDescent="0.3">
      <c r="B68" s="77"/>
      <c r="C68" s="9" t="str">
        <f>C31</f>
        <v>FONTE 90 BOB</v>
      </c>
      <c r="D68" s="42">
        <f>D32</f>
        <v>493.94940000000003</v>
      </c>
      <c r="E68" s="42">
        <f>E31</f>
        <v>425.79108200000002</v>
      </c>
      <c r="F68" s="52">
        <f t="shared" si="9"/>
        <v>361.92241969999998</v>
      </c>
      <c r="G68" s="42">
        <f>G32</f>
        <v>525.74940000000004</v>
      </c>
      <c r="H68" s="42">
        <f>H31</f>
        <v>458.54508200000004</v>
      </c>
      <c r="I68" s="52">
        <f t="shared" si="10"/>
        <v>389.76331970000001</v>
      </c>
      <c r="J68" s="42">
        <f>J32</f>
        <v>568.14940000000001</v>
      </c>
      <c r="K68" s="42">
        <f>K31</f>
        <v>480.38108200000005</v>
      </c>
      <c r="L68" s="52">
        <f t="shared" si="11"/>
        <v>408.32391970000003</v>
      </c>
      <c r="M68" s="42">
        <f>M32</f>
        <v>525.74940000000004</v>
      </c>
      <c r="N68" s="42">
        <f>N31</f>
        <v>458.54508200000004</v>
      </c>
      <c r="O68" s="52">
        <f t="shared" si="12"/>
        <v>389.76331970000001</v>
      </c>
    </row>
  </sheetData>
  <mergeCells count="12">
    <mergeCell ref="B64:B68"/>
    <mergeCell ref="C19:O19"/>
    <mergeCell ref="C20:D20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showGridLines="0" topLeftCell="A18" zoomScale="80" zoomScaleNormal="80" workbookViewId="0">
      <pane xSplit="2" ySplit="4" topLeftCell="C30" activePane="bottomRight" state="frozen"/>
      <selection activeCell="A18" sqref="A18"/>
      <selection pane="topRight" activeCell="C18" sqref="C18"/>
      <selection pane="bottomLeft" activeCell="A22" sqref="A22"/>
      <selection pane="bottomRight" activeCell="G67" sqref="G67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168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3">
      <c r="C20" s="67" t="s">
        <v>162</v>
      </c>
      <c r="D20" s="68"/>
      <c r="E20" s="80">
        <v>0.1</v>
      </c>
      <c r="F20" s="45" t="s">
        <v>144</v>
      </c>
      <c r="G20" s="80">
        <v>0.05</v>
      </c>
      <c r="H20" s="45" t="s">
        <v>144</v>
      </c>
      <c r="I20" s="80">
        <v>0.05</v>
      </c>
      <c r="J20" s="45" t="s">
        <v>144</v>
      </c>
      <c r="K20" s="80">
        <v>0.05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81"/>
      <c r="F21" s="28" t="s">
        <v>26</v>
      </c>
      <c r="G21" s="81"/>
      <c r="H21" s="28" t="s">
        <v>27</v>
      </c>
      <c r="I21" s="81"/>
      <c r="J21" s="28" t="str">
        <f>L2</f>
        <v xml:space="preserve"> MARKETPLACES</v>
      </c>
      <c r="K21" s="81"/>
    </row>
    <row r="22" spans="2:15" x14ac:dyDescent="0.3">
      <c r="B22" s="55">
        <v>794</v>
      </c>
      <c r="C22" s="9" t="s">
        <v>28</v>
      </c>
      <c r="D22" s="42">
        <f>'POLÍTICA COMERCIAL Jan24'!C22*(1+'POLÍTICA COMERCIAL Agosto24'!O$19)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Agosto24'!O$19)</f>
        <v>423.98940000000005</v>
      </c>
      <c r="G22" s="52">
        <f>F22*(1-G$20)</f>
        <v>402.78993000000003</v>
      </c>
      <c r="H22" s="42">
        <f>'POLÍTICA COMERCIAL Jan24'!I22*(1+'POLÍTICA COMERCIAL Agosto24'!O$19)</f>
        <v>455.78940000000006</v>
      </c>
      <c r="I22" s="52">
        <f>H22*(1-I$20)</f>
        <v>432.99993000000001</v>
      </c>
      <c r="J22" s="42">
        <f>'POLÍTICA COMERCIAL Jan24'!K22*(1+'POLÍTICA COMERCIAL Agosto24'!O$19)</f>
        <v>423.98940000000005</v>
      </c>
      <c r="K22" s="52">
        <f>J22*(1-K$20)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Agosto24'!O$19)</f>
        <v>434.58940000000001</v>
      </c>
      <c r="E23" s="52">
        <f t="shared" si="1"/>
        <v>391.13046000000003</v>
      </c>
      <c r="F23" s="42">
        <f>'POLÍTICA COMERCIAL Jan24'!G24*(1+'POLÍTICA COMERCIAL Agosto24'!O$19)</f>
        <v>466.38940000000002</v>
      </c>
      <c r="G23" s="52">
        <f t="shared" ref="G23:G38" si="2">F23*(1-G$20)</f>
        <v>443.06993</v>
      </c>
      <c r="H23" s="42">
        <f>'POLÍTICA COMERCIAL Jan24'!I24*(1+'POLÍTICA COMERCIAL Agosto24'!O$19)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Agosto24'!O$19)</f>
        <v>466.38940000000002</v>
      </c>
      <c r="K23" s="52">
        <f t="shared" ref="K23:K38" si="4">J23*(1-K$20)</f>
        <v>443.06993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Agosto24'!O$19)</f>
        <v>487.58940000000001</v>
      </c>
      <c r="E25" s="52">
        <f t="shared" si="1"/>
        <v>438.83046000000002</v>
      </c>
      <c r="F25" s="42">
        <f>'POLÍTICA COMERCIAL Jan24'!G26*(1+'POLÍTICA COMERCIAL Agosto24'!O$19)</f>
        <v>519.38940000000002</v>
      </c>
      <c r="G25" s="52">
        <f t="shared" si="2"/>
        <v>493.41993000000002</v>
      </c>
      <c r="H25" s="42">
        <f>'POLÍTICA COMERCIAL Jan24'!I26*(1+'POLÍTICA COMERCIAL Agosto24'!O$19)</f>
        <v>551.18940000000009</v>
      </c>
      <c r="I25" s="52">
        <f t="shared" si="3"/>
        <v>523.62993000000006</v>
      </c>
      <c r="J25" s="42">
        <f>'POLÍTICA COMERCIAL Jan24'!K26*(1+'POLÍTICA COMERCIAL Agosto24'!O$19)</f>
        <v>519.38940000000002</v>
      </c>
      <c r="K25" s="52">
        <f t="shared" si="4"/>
        <v>493.41993000000002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Agosto24'!O$19)</f>
        <v>635.98940000000005</v>
      </c>
      <c r="E27" s="52">
        <f t="shared" si="1"/>
        <v>572.39046000000008</v>
      </c>
      <c r="F27" s="42">
        <f>'POLÍTICA COMERCIAL Jan24'!G28*(1+'POLÍTICA COMERCIAL Agosto24'!O$19)</f>
        <v>667.7894</v>
      </c>
      <c r="G27" s="52">
        <f t="shared" si="2"/>
        <v>634.39992999999993</v>
      </c>
      <c r="H27" s="42">
        <f>'POLÍTICA COMERCIAL Jan24'!I28*(1+'POLÍTICA COMERCIAL Agosto24'!O$19)</f>
        <v>710.18940000000009</v>
      </c>
      <c r="I27" s="52">
        <f t="shared" si="3"/>
        <v>674.67993000000001</v>
      </c>
      <c r="J27" s="42">
        <f>'POLÍTICA COMERCIAL Jan24'!K28*(1+'POLÍTICA COMERCIAL Agosto24'!O$19)</f>
        <v>667.7894</v>
      </c>
      <c r="K27" s="52">
        <f t="shared" si="4"/>
        <v>634.39992999999993</v>
      </c>
      <c r="L27" s="15"/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  <c r="L28" s="15"/>
    </row>
    <row r="29" spans="2:15" x14ac:dyDescent="0.3">
      <c r="B29" s="55">
        <v>799</v>
      </c>
      <c r="C29" s="9" t="s">
        <v>33</v>
      </c>
      <c r="D29" s="42">
        <f>'POLÍTICA COMERCIAL Jan24'!C31*(1+'POLÍTICA COMERCIAL Agosto24'!O$19)</f>
        <v>816.18940000000009</v>
      </c>
      <c r="E29" s="52">
        <f t="shared" si="1"/>
        <v>734.57046000000014</v>
      </c>
      <c r="F29" s="42">
        <f>'POLÍTICA COMERCIAL Jan24'!G31*(1+'POLÍTICA COMERCIAL Agosto24'!O$19)</f>
        <v>847.98940000000005</v>
      </c>
      <c r="G29" s="52">
        <f t="shared" si="2"/>
        <v>805.58992999999998</v>
      </c>
      <c r="H29" s="42">
        <f>'POLÍTICA COMERCIAL Jan24'!I31*(1+'POLÍTICA COMERCIAL Agosto24'!O$19)</f>
        <v>890.38940000000002</v>
      </c>
      <c r="I29" s="52">
        <f t="shared" si="3"/>
        <v>845.86992999999995</v>
      </c>
      <c r="J29" s="42">
        <f>'POLÍTICA COMERCIAL Jan24'!K31*(1+'POLÍTICA COMERCIAL Agosto24'!O$19)</f>
        <v>847.98940000000005</v>
      </c>
      <c r="K29" s="52">
        <f t="shared" si="4"/>
        <v>805.58992999999998</v>
      </c>
    </row>
    <row r="30" spans="2:15" x14ac:dyDescent="0.3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624.50055502847999</v>
      </c>
      <c r="F30" s="42">
        <f>0.96*747.62293324</f>
        <v>717.71801591039991</v>
      </c>
      <c r="G30" s="52">
        <f t="shared" si="2"/>
        <v>681.83211511487991</v>
      </c>
      <c r="H30" s="42">
        <f>0.955*789.98477324</f>
        <v>754.43545844419998</v>
      </c>
      <c r="I30" s="52">
        <f t="shared" si="3"/>
        <v>716.71368552198999</v>
      </c>
      <c r="J30" s="42">
        <f>0.96*747.62293324</f>
        <v>717.71801591039991</v>
      </c>
      <c r="K30" s="52">
        <f t="shared" si="4"/>
        <v>681.83211511487991</v>
      </c>
    </row>
    <row r="31" spans="2:15" x14ac:dyDescent="0.3">
      <c r="B31" s="55">
        <v>854</v>
      </c>
      <c r="C31" s="9" t="str">
        <f>C9</f>
        <v>FONTE 90 BOB</v>
      </c>
      <c r="D31" s="42">
        <f>'POLÍTICA COMERCIAL Jan24'!C33*(1+'POLÍTICA COMERCIAL Agosto24'!O$19)</f>
        <v>413.38940000000002</v>
      </c>
      <c r="E31" s="52">
        <f t="shared" si="1"/>
        <v>372.05046000000004</v>
      </c>
      <c r="F31" s="42">
        <f>'POLÍTICA COMERCIAL Jan24'!G33*(1+'POLÍTICA COMERCIAL Agosto24'!O$19)</f>
        <v>445.18940000000003</v>
      </c>
      <c r="G31" s="52">
        <f t="shared" si="2"/>
        <v>422.92993000000001</v>
      </c>
      <c r="H31" s="42">
        <f>'POLÍTICA COMERCIAL Jan24'!I33*(1+'POLÍTICA COMERCIAL Agosto24'!O$19)</f>
        <v>466.38940000000002</v>
      </c>
      <c r="I31" s="52">
        <f t="shared" si="3"/>
        <v>443.06993</v>
      </c>
      <c r="J31" s="42">
        <f>'POLÍTICA COMERCIAL Jan24'!K33*(1+'POLÍTICA COMERCIAL Agosto24'!O$19)</f>
        <v>445.18940000000003</v>
      </c>
      <c r="K31" s="52">
        <f t="shared" si="4"/>
        <v>422.92993000000001</v>
      </c>
    </row>
    <row r="32" spans="2:15" x14ac:dyDescent="0.3">
      <c r="B32" s="55">
        <v>801</v>
      </c>
      <c r="C32" s="9" t="s">
        <v>35</v>
      </c>
      <c r="D32" s="42">
        <f>'POLÍTICA COMERCIAL Jan24'!C34*(1+'POLÍTICA COMERCIAL Agosto24'!O$19)</f>
        <v>493.94940000000003</v>
      </c>
      <c r="E32" s="52">
        <f t="shared" si="1"/>
        <v>444.55446000000001</v>
      </c>
      <c r="F32" s="42">
        <f>'POLÍTICA COMERCIAL Jan24'!G34*(1+'POLÍTICA COMERCIAL Agosto24'!O$19)</f>
        <v>525.74940000000004</v>
      </c>
      <c r="G32" s="52">
        <f t="shared" si="2"/>
        <v>499.46193</v>
      </c>
      <c r="H32" s="42">
        <f>'POLÍTICA COMERCIAL Jan24'!I34*(1+'POLÍTICA COMERCIAL Agosto24'!O$19)</f>
        <v>568.14940000000001</v>
      </c>
      <c r="I32" s="52">
        <f t="shared" si="3"/>
        <v>539.74193000000002</v>
      </c>
      <c r="J32" s="42">
        <f>'POLÍTICA COMERCIAL Jan24'!K34*(1+'POLÍTICA COMERCIAL Agosto24'!O$19)</f>
        <v>525.74940000000004</v>
      </c>
      <c r="K32" s="52">
        <f t="shared" si="4"/>
        <v>499.46193</v>
      </c>
    </row>
    <row r="33" spans="2:13" x14ac:dyDescent="0.3">
      <c r="B33" s="55">
        <v>802</v>
      </c>
      <c r="C33" s="9" t="s">
        <v>34</v>
      </c>
      <c r="D33" s="42">
        <f>'POLÍTICA COMERCIAL Jan24'!C35*(1+'POLÍTICA COMERCIAL Agosto24'!O$19)</f>
        <v>625.38940000000002</v>
      </c>
      <c r="E33" s="52">
        <f t="shared" si="1"/>
        <v>562.85046</v>
      </c>
      <c r="F33" s="42">
        <f>'POLÍTICA COMERCIAL Jan24'!G35*(1+'POLÍTICA COMERCIAL Agosto24'!O$19)</f>
        <v>657.18940000000009</v>
      </c>
      <c r="G33" s="52">
        <f t="shared" si="2"/>
        <v>624.3299300000001</v>
      </c>
      <c r="H33" s="42">
        <f>'POLÍTICA COMERCIAL Jan24'!I35*(1+'POLÍTICA COMERCIAL Agosto24'!O$19)</f>
        <v>731.38940000000002</v>
      </c>
      <c r="I33" s="52">
        <f t="shared" si="3"/>
        <v>694.81993</v>
      </c>
      <c r="J33" s="42">
        <f>'POLÍTICA COMERCIAL Jan24'!K35*(1+'POLÍTICA COMERCIAL Agosto24'!O$19)</f>
        <v>657.18940000000009</v>
      </c>
      <c r="K33" s="52">
        <f t="shared" si="4"/>
        <v>624.3299300000001</v>
      </c>
    </row>
    <row r="34" spans="2:13" x14ac:dyDescent="0.3">
      <c r="B34" s="55">
        <v>800</v>
      </c>
      <c r="C34" s="9" t="str">
        <f>C12</f>
        <v>FONTE 200 MONO</v>
      </c>
      <c r="D34" s="42">
        <f>'POLÍTICA COMERCIAL Jan24'!C36*(1+'POLÍTICA COMERCIAL Agosto24'!O$19)</f>
        <v>669.57038682500001</v>
      </c>
      <c r="E34" s="52">
        <f t="shared" si="1"/>
        <v>602.61334814250006</v>
      </c>
      <c r="F34" s="42">
        <f>'POLÍTICA COMERCIAL Jan24'!G36*(1+'POLÍTICA COMERCIAL Agosto24'!O$19)</f>
        <v>775.37993000000006</v>
      </c>
      <c r="G34" s="52">
        <f t="shared" si="2"/>
        <v>736.61093349999999</v>
      </c>
      <c r="H34" s="42">
        <f>'POLÍTICA COMERCIAL Jan24'!I36*(1+'POLÍTICA COMERCIAL Agosto24'!O$19)</f>
        <v>815.65993000000003</v>
      </c>
      <c r="I34" s="52">
        <f t="shared" si="3"/>
        <v>774.87693349999995</v>
      </c>
      <c r="J34" s="42">
        <f>'POLÍTICA COMERCIAL Jan24'!K36*(1+'POLÍTICA COMERCIAL Agosto24'!O$19)</f>
        <v>775.37993000000006</v>
      </c>
      <c r="K34" s="52">
        <f t="shared" si="4"/>
        <v>736.61093349999999</v>
      </c>
    </row>
    <row r="35" spans="2:13" x14ac:dyDescent="0.3">
      <c r="B35" s="55" t="s">
        <v>151</v>
      </c>
      <c r="C35" s="9" t="s">
        <v>37</v>
      </c>
      <c r="D35" s="42">
        <f>'POLÍTICA COMERCIAL Jan24'!C38*(1+'POLÍTICA COMERCIAL Agosto24'!O$19)</f>
        <v>58.194000000000003</v>
      </c>
      <c r="E35" s="52">
        <f t="shared" si="1"/>
        <v>52.374600000000001</v>
      </c>
      <c r="F35" s="42">
        <f>'POLÍTICA COMERCIAL Jan24'!G38*(1+'POLÍTICA COMERCIAL Agosto24'!O$19)</f>
        <v>64.861188000000013</v>
      </c>
      <c r="G35" s="52">
        <f t="shared" si="2"/>
        <v>61.618128600000006</v>
      </c>
      <c r="H35" s="42">
        <f>'POLÍTICA COMERCIAL Jan24'!I38*(1+'POLÍTICA COMERCIAL Agosto24'!O$19)</f>
        <v>70.169880000000006</v>
      </c>
      <c r="I35" s="52">
        <f t="shared" si="3"/>
        <v>66.661386000000007</v>
      </c>
      <c r="J35" s="42">
        <f>'POLÍTICA COMERCIAL Jan24'!K38*(1+'POLÍTICA COMERCIAL Agosto24'!O$19)</f>
        <v>64.861188000000013</v>
      </c>
      <c r="K35" s="52">
        <f t="shared" si="4"/>
        <v>61.618128600000006</v>
      </c>
    </row>
    <row r="36" spans="2:13" x14ac:dyDescent="0.3">
      <c r="B36" s="55" t="s">
        <v>150</v>
      </c>
      <c r="C36" s="9" t="s">
        <v>36</v>
      </c>
      <c r="D36" s="42">
        <f>'POLÍTICA COMERCIAL Jan24'!C39*(1+'POLÍTICA COMERCIAL Agosto24'!O$19)</f>
        <v>55.284299999999995</v>
      </c>
      <c r="E36" s="52">
        <f t="shared" si="1"/>
        <v>49.755869999999994</v>
      </c>
      <c r="F36" s="42">
        <f>'POLÍTICA COMERCIAL Jan24'!G39*(1+'POLÍTICA COMERCIAL Agosto24'!O$19)</f>
        <v>61.618128600000006</v>
      </c>
      <c r="G36" s="52">
        <f t="shared" si="2"/>
        <v>58.53722217</v>
      </c>
      <c r="H36" s="42">
        <f>'POLÍTICA COMERCIAL Jan24'!I39*(1+'POLÍTICA COMERCIAL Agosto24'!O$19)</f>
        <v>66.661386000000007</v>
      </c>
      <c r="I36" s="52">
        <f t="shared" si="3"/>
        <v>63.328316700000002</v>
      </c>
      <c r="J36" s="42">
        <f>'POLÍTICA COMERCIAL Jan24'!K39*(1+'POLÍTICA COMERCIAL Agosto24'!O$19)</f>
        <v>61.618128600000006</v>
      </c>
      <c r="K36" s="52">
        <f t="shared" si="4"/>
        <v>58.53722217</v>
      </c>
    </row>
    <row r="37" spans="2:13" x14ac:dyDescent="0.3">
      <c r="B37" s="55">
        <v>681</v>
      </c>
      <c r="C37" s="9" t="s">
        <v>38</v>
      </c>
      <c r="D37" s="42">
        <f>'POLÍTICA COMERCIAL Jan24'!C40*(1+'POLÍTICA COMERCIAL Agosto24'!O$19)</f>
        <v>83.740000000000009</v>
      </c>
      <c r="E37" s="52">
        <f t="shared" si="1"/>
        <v>75.366000000000014</v>
      </c>
      <c r="F37" s="42">
        <f>'POLÍTICA COMERCIAL Jan24'!G40*(1+'POLÍTICA COMERCIAL Agosto24'!O$19)</f>
        <v>96.226800000000011</v>
      </c>
      <c r="G37" s="52">
        <f t="shared" si="2"/>
        <v>91.41546000000001</v>
      </c>
      <c r="H37" s="42">
        <f>'POLÍTICA COMERCIAL Jan24'!I40*(1+'POLÍTICA COMERCIAL Agosto24'!O$19)</f>
        <v>107.03880000000001</v>
      </c>
      <c r="I37" s="52">
        <f t="shared" si="3"/>
        <v>101.68686000000001</v>
      </c>
      <c r="J37" s="42">
        <f>'POLÍTICA COMERCIAL Jan24'!K40*(1+'POLÍTICA COMERCIAL Agosto24'!O$19)</f>
        <v>96.226800000000011</v>
      </c>
      <c r="K37" s="52">
        <f t="shared" si="4"/>
        <v>91.41546000000001</v>
      </c>
    </row>
    <row r="38" spans="2:13" x14ac:dyDescent="0.3">
      <c r="B38" s="55" t="s">
        <v>149</v>
      </c>
      <c r="C38" s="9" t="s">
        <v>39</v>
      </c>
      <c r="D38" s="42">
        <f>'POLÍTICA COMERCIAL Jan24'!C41*(1+'POLÍTICA COMERCIAL Agosto24'!O$19)</f>
        <v>73.14</v>
      </c>
      <c r="E38" s="52">
        <f t="shared" si="1"/>
        <v>65.826000000000008</v>
      </c>
      <c r="F38" s="42">
        <f>'POLÍTICA COMERCIAL Jan24'!G41*(1+'POLÍTICA COMERCIAL Agosto24'!O$19)</f>
        <v>83.634000000000015</v>
      </c>
      <c r="G38" s="52">
        <f t="shared" si="2"/>
        <v>79.452300000000008</v>
      </c>
      <c r="H38" s="42">
        <f>'POLÍTICA COMERCIAL Jan24'!I41*(1+'POLÍTICA COMERCIAL Agosto24'!O$19)</f>
        <v>93.174000000000007</v>
      </c>
      <c r="I38" s="52">
        <f t="shared" si="3"/>
        <v>88.515299999999996</v>
      </c>
      <c r="J38" s="42">
        <f>'POLÍTICA COMERCIAL Jan24'!K41*(1+'POLÍTICA COMERCIAL Agosto24'!O$19)</f>
        <v>83.634000000000015</v>
      </c>
      <c r="K38" s="52">
        <f t="shared" si="4"/>
        <v>79.452300000000008</v>
      </c>
    </row>
    <row r="39" spans="2:13" hidden="1" x14ac:dyDescent="0.3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3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3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3">
      <c r="B42" s="28" t="s">
        <v>161</v>
      </c>
      <c r="C42" s="28" t="s">
        <v>23</v>
      </c>
      <c r="D42" s="28" t="s">
        <v>154</v>
      </c>
      <c r="E42" s="51">
        <v>0.14000000000000001</v>
      </c>
      <c r="F42" s="28" t="s">
        <v>26</v>
      </c>
      <c r="G42" s="51">
        <v>0.14000000000000001</v>
      </c>
      <c r="H42" s="28" t="s">
        <v>27</v>
      </c>
      <c r="I42" s="51">
        <v>0.14000000000000001</v>
      </c>
      <c r="J42" s="28" t="str">
        <f>J21</f>
        <v xml:space="preserve"> MARKETPLACES</v>
      </c>
      <c r="K42" s="51">
        <v>0.14000000000000001</v>
      </c>
      <c r="L42" s="59"/>
      <c r="M42" s="59"/>
    </row>
    <row r="43" spans="2:13" hidden="1" x14ac:dyDescent="0.3">
      <c r="B43" s="69" t="s">
        <v>169</v>
      </c>
      <c r="C43" s="9" t="s">
        <v>53</v>
      </c>
      <c r="D43" s="42">
        <f>383.61812976*0.93</f>
        <v>356.76486067680003</v>
      </c>
      <c r="E43" s="52">
        <f>D43*(1-E$42)</f>
        <v>306.81778018204801</v>
      </c>
      <c r="F43" s="42">
        <f>413.07133004*0.93</f>
        <v>384.15633693720002</v>
      </c>
      <c r="G43" s="52">
        <f>F43*(1-G$42)</f>
        <v>330.37444976599204</v>
      </c>
      <c r="H43" s="42">
        <f>441.90761032*0.93</f>
        <v>410.9740775976</v>
      </c>
      <c r="I43" s="52">
        <f>H43*(1-I$42)</f>
        <v>353.43770673393601</v>
      </c>
      <c r="J43" s="42">
        <f>413.07133004*0.93</f>
        <v>384.15633693720002</v>
      </c>
      <c r="K43" s="52">
        <f>J43*(1-K$42)</f>
        <v>330.37444976599204</v>
      </c>
    </row>
    <row r="44" spans="2:13" hidden="1" x14ac:dyDescent="0.3">
      <c r="B44" s="70"/>
      <c r="C44" s="9" t="s">
        <v>54</v>
      </c>
      <c r="D44" s="42">
        <f>0.94*428.32364884</f>
        <v>402.62422990959993</v>
      </c>
      <c r="E44" s="52">
        <f t="shared" ref="E44:E46" si="8">D44*(1-E$42)</f>
        <v>346.25683772225591</v>
      </c>
      <c r="F44" s="42">
        <f>0.94*457.70775408</f>
        <v>430.24528883519997</v>
      </c>
      <c r="G44" s="52">
        <f t="shared" ref="G44:G62" si="9">F44*(1-G$42)</f>
        <v>370.01094839827198</v>
      </c>
      <c r="H44" s="42">
        <f>0.94*486.47493932</f>
        <v>457.28644296079995</v>
      </c>
      <c r="I44" s="52">
        <f t="shared" ref="I44:I46" si="10">H44*(1-I$42)</f>
        <v>393.26634094628793</v>
      </c>
      <c r="J44" s="42">
        <f>0.94*457.70775408</f>
        <v>430.24528883519997</v>
      </c>
      <c r="K44" s="52">
        <f t="shared" ref="K44:K46" si="11">J44*(1-K$42)</f>
        <v>370.01094839827198</v>
      </c>
    </row>
    <row r="45" spans="2:13" hidden="1" x14ac:dyDescent="0.3">
      <c r="B45" s="70"/>
      <c r="C45" s="9" t="s">
        <v>55</v>
      </c>
      <c r="D45" s="42">
        <f>561.2676468*0.96</f>
        <v>538.81694092799989</v>
      </c>
      <c r="E45" s="52">
        <f t="shared" si="8"/>
        <v>463.38256919807992</v>
      </c>
      <c r="F45" s="42">
        <f>0.96*588.00208064</f>
        <v>564.48199741439998</v>
      </c>
      <c r="G45" s="52">
        <f t="shared" si="9"/>
        <v>485.45451777638397</v>
      </c>
      <c r="H45" s="42">
        <f>0.95*635.30051448</f>
        <v>603.53548875599995</v>
      </c>
      <c r="I45" s="52">
        <f t="shared" si="10"/>
        <v>519.04052033015989</v>
      </c>
      <c r="J45" s="42">
        <f>0.96*588.00208064</f>
        <v>564.48199741439998</v>
      </c>
      <c r="K45" s="52">
        <f t="shared" si="11"/>
        <v>485.45451777638397</v>
      </c>
    </row>
    <row r="46" spans="2:13" hidden="1" x14ac:dyDescent="0.3">
      <c r="B46" s="71"/>
      <c r="C46" s="9" t="s">
        <v>56</v>
      </c>
      <c r="D46" s="42">
        <f>0.96*722.80156832</f>
        <v>693.88950558720001</v>
      </c>
      <c r="E46" s="52">
        <f t="shared" si="8"/>
        <v>596.74497480499201</v>
      </c>
      <c r="F46" s="42">
        <f>0.96*747.62293324</f>
        <v>717.71801591039991</v>
      </c>
      <c r="G46" s="52">
        <f t="shared" si="9"/>
        <v>617.23749368294386</v>
      </c>
      <c r="H46" s="42">
        <f>0.955*789.98477324</f>
        <v>754.43545844419998</v>
      </c>
      <c r="I46" s="52">
        <f t="shared" si="10"/>
        <v>648.81449426201198</v>
      </c>
      <c r="J46" s="42">
        <f>0.96*747.62293324</f>
        <v>717.71801591039991</v>
      </c>
      <c r="K46" s="52">
        <f t="shared" si="11"/>
        <v>617.23749368294386</v>
      </c>
    </row>
    <row r="47" spans="2:13" hidden="1" x14ac:dyDescent="0.3"/>
    <row r="48" spans="2:13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52">
        <f>D48*(1-E$42)</f>
        <v>355.514884</v>
      </c>
      <c r="F48" s="42">
        <f>F31</f>
        <v>445.18940000000003</v>
      </c>
      <c r="G48" s="52">
        <f t="shared" si="9"/>
        <v>382.86288400000001</v>
      </c>
      <c r="H48" s="42">
        <f>H31</f>
        <v>466.38940000000002</v>
      </c>
      <c r="I48" s="52">
        <f t="shared" ref="I48:I49" si="12">H48*(1-I$42)</f>
        <v>401.09488400000004</v>
      </c>
      <c r="J48" s="42">
        <f>J31</f>
        <v>445.18940000000003</v>
      </c>
      <c r="K48" s="52">
        <f>J48*(1-K$42)</f>
        <v>382.86288400000001</v>
      </c>
    </row>
    <row r="49" spans="2:11" hidden="1" x14ac:dyDescent="0.3">
      <c r="B49" s="73"/>
      <c r="C49" s="9" t="s">
        <v>35</v>
      </c>
      <c r="D49" s="42">
        <f>D32</f>
        <v>493.94940000000003</v>
      </c>
      <c r="E49" s="52">
        <f t="shared" ref="E49" si="13">D49*(1-E$42)</f>
        <v>424.79648400000002</v>
      </c>
      <c r="F49" s="42">
        <f>F32</f>
        <v>525.74940000000004</v>
      </c>
      <c r="G49" s="52">
        <f t="shared" si="9"/>
        <v>452.14448400000003</v>
      </c>
      <c r="H49" s="42">
        <f>H32</f>
        <v>568.14940000000001</v>
      </c>
      <c r="I49" s="52">
        <f t="shared" si="12"/>
        <v>488.60848400000003</v>
      </c>
      <c r="J49" s="42">
        <f>J32</f>
        <v>525.74940000000004</v>
      </c>
      <c r="K49" s="52">
        <f t="shared" ref="K49:K62" si="14">J49*(1-K$42)</f>
        <v>452.14448400000003</v>
      </c>
    </row>
    <row r="50" spans="2:11" hidden="1" x14ac:dyDescent="0.3">
      <c r="B50" s="73"/>
      <c r="C50" s="9" t="s">
        <v>34</v>
      </c>
      <c r="D50" s="42">
        <f>D33</f>
        <v>625.38940000000002</v>
      </c>
      <c r="E50" s="52">
        <f>D50*(1-E$42)</f>
        <v>537.83488399999999</v>
      </c>
      <c r="F50" s="42">
        <f>F33</f>
        <v>657.18940000000009</v>
      </c>
      <c r="G50" s="52">
        <f>F50*(1-G$42)</f>
        <v>565.18288400000006</v>
      </c>
      <c r="H50" s="42">
        <f>H33</f>
        <v>731.38940000000002</v>
      </c>
      <c r="I50" s="52">
        <f>H50*(1-I$42)</f>
        <v>628.99488399999996</v>
      </c>
      <c r="J50" s="42">
        <f>J33</f>
        <v>657.18940000000009</v>
      </c>
      <c r="K50" s="52">
        <f>J50*(1-K$42)</f>
        <v>565.18288400000006</v>
      </c>
    </row>
    <row r="51" spans="2:11" hidden="1" x14ac:dyDescent="0.3">
      <c r="B51" s="74"/>
      <c r="C51" s="9" t="s">
        <v>173</v>
      </c>
      <c r="D51" s="42">
        <f>D27</f>
        <v>635.98940000000005</v>
      </c>
      <c r="E51" s="52">
        <f>D51*(1-E$42)</f>
        <v>546.95088400000009</v>
      </c>
      <c r="F51" s="42">
        <f>F27</f>
        <v>667.7894</v>
      </c>
      <c r="G51" s="52">
        <f>F51*(1-G$42)</f>
        <v>574.29888400000004</v>
      </c>
      <c r="H51" s="42">
        <f>H27</f>
        <v>710.18940000000009</v>
      </c>
      <c r="I51" s="52">
        <f>H51*(1-I$42)</f>
        <v>610.7628840000001</v>
      </c>
      <c r="J51" s="42">
        <f>J27</f>
        <v>667.7894</v>
      </c>
      <c r="K51" s="52">
        <f>J51*(1-K$42)</f>
        <v>574.29888400000004</v>
      </c>
    </row>
    <row r="52" spans="2:11" hidden="1" x14ac:dyDescent="0.3">
      <c r="B52" s="32"/>
      <c r="C52" s="32"/>
      <c r="D52" s="11"/>
      <c r="E52" s="32"/>
      <c r="F52" s="32"/>
      <c r="G52" s="32"/>
      <c r="H52" s="32"/>
      <c r="I52" s="32"/>
      <c r="J52" s="32"/>
      <c r="K52" s="32"/>
    </row>
    <row r="53" spans="2:11" hidden="1" x14ac:dyDescent="0.3">
      <c r="B53" s="75" t="s">
        <v>171</v>
      </c>
      <c r="C53" s="9" t="s">
        <v>28</v>
      </c>
      <c r="D53" s="42">
        <f>D22</f>
        <v>392.18940000000003</v>
      </c>
      <c r="E53" s="52">
        <f>D53*(1-E$42)</f>
        <v>337.28288400000002</v>
      </c>
      <c r="F53" s="42">
        <f>F22</f>
        <v>423.98940000000005</v>
      </c>
      <c r="G53" s="52">
        <f t="shared" si="9"/>
        <v>364.63088400000004</v>
      </c>
      <c r="H53" s="42">
        <f>H22</f>
        <v>455.78940000000006</v>
      </c>
      <c r="I53" s="52">
        <f t="shared" ref="I53:I57" si="15">H53*(1-I$42)</f>
        <v>391.97888400000005</v>
      </c>
      <c r="J53" s="42">
        <f>J22</f>
        <v>423.98940000000005</v>
      </c>
      <c r="K53" s="52">
        <f t="shared" si="14"/>
        <v>364.63088400000004</v>
      </c>
    </row>
    <row r="54" spans="2:11" hidden="1" x14ac:dyDescent="0.3">
      <c r="B54" s="73"/>
      <c r="C54" s="9" t="s">
        <v>29</v>
      </c>
      <c r="D54" s="42">
        <f>D23</f>
        <v>434.58940000000001</v>
      </c>
      <c r="E54" s="52">
        <f t="shared" ref="E54:E62" si="16">D54*(1-E$42)</f>
        <v>373.74688400000002</v>
      </c>
      <c r="F54" s="42">
        <f>F23</f>
        <v>466.38940000000002</v>
      </c>
      <c r="G54" s="52">
        <f t="shared" si="9"/>
        <v>401.09488400000004</v>
      </c>
      <c r="H54" s="42">
        <f>H23</f>
        <v>498.18940000000003</v>
      </c>
      <c r="I54" s="52">
        <f t="shared" si="15"/>
        <v>428.44288400000005</v>
      </c>
      <c r="J54" s="42">
        <f>J23</f>
        <v>466.38940000000002</v>
      </c>
      <c r="K54" s="52">
        <f t="shared" si="14"/>
        <v>401.09488400000004</v>
      </c>
    </row>
    <row r="55" spans="2:11" hidden="1" x14ac:dyDescent="0.3">
      <c r="B55" s="73"/>
      <c r="C55" s="9" t="s">
        <v>30</v>
      </c>
      <c r="D55" s="42">
        <f>D25</f>
        <v>487.58940000000001</v>
      </c>
      <c r="E55" s="52">
        <f t="shared" si="16"/>
        <v>419.32688400000001</v>
      </c>
      <c r="F55" s="42">
        <f>F25</f>
        <v>519.38940000000002</v>
      </c>
      <c r="G55" s="52">
        <f t="shared" si="9"/>
        <v>446.67488400000002</v>
      </c>
      <c r="H55" s="42">
        <f>H25</f>
        <v>551.18940000000009</v>
      </c>
      <c r="I55" s="52">
        <f t="shared" si="15"/>
        <v>474.02288400000009</v>
      </c>
      <c r="J55" s="42">
        <f>J25</f>
        <v>519.38940000000002</v>
      </c>
      <c r="K55" s="52">
        <f t="shared" si="14"/>
        <v>446.67488400000002</v>
      </c>
    </row>
    <row r="56" spans="2:11" hidden="1" x14ac:dyDescent="0.3">
      <c r="B56" s="73"/>
      <c r="C56" s="9" t="s">
        <v>31</v>
      </c>
      <c r="D56" s="42">
        <f>D27</f>
        <v>635.98940000000005</v>
      </c>
      <c r="E56" s="52">
        <f t="shared" si="16"/>
        <v>546.95088400000009</v>
      </c>
      <c r="F56" s="42">
        <f>F27</f>
        <v>667.7894</v>
      </c>
      <c r="G56" s="52">
        <f t="shared" si="9"/>
        <v>574.29888400000004</v>
      </c>
      <c r="H56" s="42">
        <f>H27</f>
        <v>710.18940000000009</v>
      </c>
      <c r="I56" s="52">
        <f t="shared" si="15"/>
        <v>610.7628840000001</v>
      </c>
      <c r="J56" s="42">
        <f>J27</f>
        <v>667.7894</v>
      </c>
      <c r="K56" s="52">
        <f t="shared" si="14"/>
        <v>574.29888400000004</v>
      </c>
    </row>
    <row r="57" spans="2:11" hidden="1" x14ac:dyDescent="0.3">
      <c r="B57" s="74"/>
      <c r="C57" s="9" t="s">
        <v>33</v>
      </c>
      <c r="D57" s="42">
        <f>D29</f>
        <v>816.18940000000009</v>
      </c>
      <c r="E57" s="52">
        <f t="shared" si="16"/>
        <v>701.92288400000007</v>
      </c>
      <c r="F57" s="42">
        <f>F29</f>
        <v>847.98940000000005</v>
      </c>
      <c r="G57" s="52">
        <f t="shared" si="9"/>
        <v>729.27088400000002</v>
      </c>
      <c r="H57" s="42">
        <f>H29</f>
        <v>890.38940000000002</v>
      </c>
      <c r="I57" s="52">
        <f t="shared" si="15"/>
        <v>765.73488399999997</v>
      </c>
      <c r="J57" s="42">
        <f>J29</f>
        <v>847.98940000000005</v>
      </c>
      <c r="K57" s="52">
        <f t="shared" si="14"/>
        <v>729.27088400000002</v>
      </c>
    </row>
    <row r="58" spans="2:11" hidden="1" x14ac:dyDescent="0.3"/>
    <row r="59" spans="2:11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52">
        <f t="shared" si="16"/>
        <v>306.81778018204801</v>
      </c>
      <c r="F59" s="42">
        <f>F43</f>
        <v>384.15633693720002</v>
      </c>
      <c r="G59" s="52">
        <f t="shared" si="9"/>
        <v>330.37444976599204</v>
      </c>
      <c r="H59" s="42">
        <f>H43</f>
        <v>410.9740775976</v>
      </c>
      <c r="I59" s="52">
        <f t="shared" ref="I59:I62" si="17">H59*(1-I$42)</f>
        <v>353.43770673393601</v>
      </c>
      <c r="J59" s="42">
        <f>J43</f>
        <v>384.15633693720002</v>
      </c>
      <c r="K59" s="52">
        <f t="shared" si="14"/>
        <v>330.37444976599204</v>
      </c>
    </row>
    <row r="60" spans="2:11" hidden="1" x14ac:dyDescent="0.3">
      <c r="B60" s="77"/>
      <c r="C60" s="9" t="str">
        <f>C48</f>
        <v>FONTE 90 BOB</v>
      </c>
      <c r="D60" s="42">
        <f>D48</f>
        <v>413.38940000000002</v>
      </c>
      <c r="E60" s="52">
        <f t="shared" si="16"/>
        <v>355.514884</v>
      </c>
      <c r="F60" s="42">
        <f>F48</f>
        <v>445.18940000000003</v>
      </c>
      <c r="G60" s="52">
        <f t="shared" si="9"/>
        <v>382.86288400000001</v>
      </c>
      <c r="H60" s="42">
        <f>H48</f>
        <v>466.38940000000002</v>
      </c>
      <c r="I60" s="52">
        <f t="shared" si="17"/>
        <v>401.09488400000004</v>
      </c>
      <c r="J60" s="42">
        <f>J48</f>
        <v>445.18940000000003</v>
      </c>
      <c r="K60" s="52">
        <f t="shared" si="14"/>
        <v>382.86288400000001</v>
      </c>
    </row>
    <row r="61" spans="2:11" hidden="1" x14ac:dyDescent="0.3">
      <c r="B61" s="77"/>
      <c r="C61" s="9" t="s">
        <v>31</v>
      </c>
      <c r="D61" s="42">
        <f>D56</f>
        <v>635.98940000000005</v>
      </c>
      <c r="E61" s="52">
        <f t="shared" si="16"/>
        <v>546.95088400000009</v>
      </c>
      <c r="F61" s="42">
        <f>F56</f>
        <v>667.7894</v>
      </c>
      <c r="G61" s="52">
        <f t="shared" si="9"/>
        <v>574.29888400000004</v>
      </c>
      <c r="H61" s="42">
        <f>H56</f>
        <v>710.18940000000009</v>
      </c>
      <c r="I61" s="52">
        <f t="shared" si="17"/>
        <v>610.7628840000001</v>
      </c>
      <c r="J61" s="42">
        <f>J56</f>
        <v>667.7894</v>
      </c>
      <c r="K61" s="52">
        <f t="shared" si="14"/>
        <v>574.29888400000004</v>
      </c>
    </row>
    <row r="62" spans="2:11" hidden="1" x14ac:dyDescent="0.3">
      <c r="B62" s="77"/>
      <c r="C62" s="9" t="str">
        <f>C49</f>
        <v>FONTE 120 BOB</v>
      </c>
      <c r="D62" s="42">
        <f>D49</f>
        <v>493.94940000000003</v>
      </c>
      <c r="E62" s="52">
        <f t="shared" si="16"/>
        <v>424.79648400000002</v>
      </c>
      <c r="F62" s="42">
        <f>F49</f>
        <v>525.74940000000004</v>
      </c>
      <c r="G62" s="52">
        <f t="shared" si="9"/>
        <v>452.14448400000003</v>
      </c>
      <c r="H62" s="42">
        <f>H49</f>
        <v>568.14940000000001</v>
      </c>
      <c r="I62" s="52">
        <f t="shared" si="17"/>
        <v>488.60848400000003</v>
      </c>
      <c r="J62" s="42">
        <f>J49</f>
        <v>525.74940000000004</v>
      </c>
      <c r="K62" s="52">
        <f t="shared" si="14"/>
        <v>452.14448400000003</v>
      </c>
    </row>
    <row r="64" spans="2:11" x14ac:dyDescent="0.3">
      <c r="B64" s="76" t="s">
        <v>174</v>
      </c>
      <c r="C64" s="9" t="str">
        <f>C23</f>
        <v>FONTE 60A</v>
      </c>
      <c r="D64" s="42">
        <f>D23</f>
        <v>434.58940000000001</v>
      </c>
      <c r="E64" s="52">
        <f t="shared" ref="E64:E69" si="18">D64*(1-E$42)</f>
        <v>373.74688400000002</v>
      </c>
      <c r="F64" s="42">
        <f>F23</f>
        <v>466.38940000000002</v>
      </c>
      <c r="G64" s="52">
        <f t="shared" ref="G64:G69" si="19">F64*(1-G$42)</f>
        <v>401.09488400000004</v>
      </c>
      <c r="H64" s="42">
        <f>H23</f>
        <v>498.18940000000003</v>
      </c>
      <c r="I64" s="52">
        <f t="shared" ref="I64:I69" si="20">H64*(1-I$42)</f>
        <v>428.44288400000005</v>
      </c>
      <c r="J64" s="42">
        <f>J23</f>
        <v>466.38940000000002</v>
      </c>
      <c r="K64" s="52">
        <f t="shared" ref="K64:K69" si="21">J64*(1-K$42)</f>
        <v>401.09488400000004</v>
      </c>
    </row>
    <row r="65" spans="2:11" x14ac:dyDescent="0.3">
      <c r="B65" s="77"/>
      <c r="C65" s="9" t="str">
        <f>C27</f>
        <v>FONTE 120A</v>
      </c>
      <c r="D65" s="42">
        <f>D27</f>
        <v>635.98940000000005</v>
      </c>
      <c r="E65" s="52">
        <f t="shared" si="18"/>
        <v>546.95088400000009</v>
      </c>
      <c r="F65" s="42">
        <f>F27</f>
        <v>667.7894</v>
      </c>
      <c r="G65" s="52">
        <f t="shared" si="19"/>
        <v>574.29888400000004</v>
      </c>
      <c r="H65" s="42">
        <f>H27</f>
        <v>710.18940000000009</v>
      </c>
      <c r="I65" s="52">
        <f t="shared" si="20"/>
        <v>610.7628840000001</v>
      </c>
      <c r="J65" s="42">
        <f>J27</f>
        <v>667.7894</v>
      </c>
      <c r="K65" s="52">
        <f t="shared" si="21"/>
        <v>574.29888400000004</v>
      </c>
    </row>
    <row r="66" spans="2:11" x14ac:dyDescent="0.3">
      <c r="B66" s="77"/>
      <c r="C66" s="9" t="str">
        <f>C29</f>
        <v>FONTE 200A</v>
      </c>
      <c r="D66" s="42">
        <f>D29</f>
        <v>816.18940000000009</v>
      </c>
      <c r="E66" s="52">
        <f t="shared" si="18"/>
        <v>701.92288400000007</v>
      </c>
      <c r="F66" s="42">
        <f>F29</f>
        <v>847.98940000000005</v>
      </c>
      <c r="G66" s="52">
        <f t="shared" si="19"/>
        <v>729.27088400000002</v>
      </c>
      <c r="H66" s="42">
        <f>H29</f>
        <v>890.38940000000002</v>
      </c>
      <c r="I66" s="52">
        <f t="shared" si="20"/>
        <v>765.73488399999997</v>
      </c>
      <c r="J66" s="42">
        <f>J29</f>
        <v>847.98940000000005</v>
      </c>
      <c r="K66" s="52">
        <f t="shared" si="21"/>
        <v>729.27088400000002</v>
      </c>
    </row>
    <row r="67" spans="2:11" x14ac:dyDescent="0.3">
      <c r="B67" s="77"/>
      <c r="C67" s="9" t="str">
        <f t="shared" ref="C67:D69" si="22">C31</f>
        <v>FONTE 90 BOB</v>
      </c>
      <c r="D67" s="42">
        <f t="shared" si="22"/>
        <v>413.38940000000002</v>
      </c>
      <c r="E67" s="52">
        <f t="shared" si="18"/>
        <v>355.514884</v>
      </c>
      <c r="F67" s="42">
        <f>F31</f>
        <v>445.18940000000003</v>
      </c>
      <c r="G67" s="52">
        <f t="shared" si="19"/>
        <v>382.86288400000001</v>
      </c>
      <c r="H67" s="42">
        <f>H31</f>
        <v>466.38940000000002</v>
      </c>
      <c r="I67" s="52">
        <f t="shared" si="20"/>
        <v>401.09488400000004</v>
      </c>
      <c r="J67" s="42">
        <f>J31</f>
        <v>445.18940000000003</v>
      </c>
      <c r="K67" s="52">
        <f t="shared" si="21"/>
        <v>382.86288400000001</v>
      </c>
    </row>
    <row r="68" spans="2:11" x14ac:dyDescent="0.3">
      <c r="B68" s="77"/>
      <c r="C68" s="9" t="str">
        <f t="shared" si="22"/>
        <v>FONTE 120 BOB</v>
      </c>
      <c r="D68" s="42">
        <f t="shared" si="22"/>
        <v>493.94940000000003</v>
      </c>
      <c r="E68" s="52">
        <f t="shared" si="18"/>
        <v>424.79648400000002</v>
      </c>
      <c r="F68" s="42">
        <f>F32</f>
        <v>525.74940000000004</v>
      </c>
      <c r="G68" s="52">
        <f t="shared" si="19"/>
        <v>452.14448400000003</v>
      </c>
      <c r="H68" s="42">
        <f>H32</f>
        <v>568.14940000000001</v>
      </c>
      <c r="I68" s="52">
        <f t="shared" si="20"/>
        <v>488.60848400000003</v>
      </c>
      <c r="J68" s="42">
        <f>J32</f>
        <v>525.74940000000004</v>
      </c>
      <c r="K68" s="52">
        <f t="shared" si="21"/>
        <v>452.14448400000003</v>
      </c>
    </row>
    <row r="69" spans="2:11" x14ac:dyDescent="0.3">
      <c r="B69" s="77"/>
      <c r="C69" s="9" t="str">
        <f t="shared" si="22"/>
        <v>FONTE 200 BOB</v>
      </c>
      <c r="D69" s="42">
        <f t="shared" si="22"/>
        <v>625.38940000000002</v>
      </c>
      <c r="E69" s="52">
        <f t="shared" si="18"/>
        <v>537.83488399999999</v>
      </c>
      <c r="F69" s="42">
        <f>F33</f>
        <v>657.18940000000009</v>
      </c>
      <c r="G69" s="52">
        <f t="shared" si="19"/>
        <v>565.18288400000006</v>
      </c>
      <c r="H69" s="42">
        <f>H33</f>
        <v>731.38940000000002</v>
      </c>
      <c r="I69" s="52">
        <f t="shared" si="20"/>
        <v>628.99488399999996</v>
      </c>
      <c r="J69" s="42">
        <f>J33</f>
        <v>657.18940000000009</v>
      </c>
      <c r="K69" s="52">
        <f t="shared" si="21"/>
        <v>565.18288400000006</v>
      </c>
    </row>
  </sheetData>
  <mergeCells count="12">
    <mergeCell ref="B64:B69"/>
    <mergeCell ref="C19:K19"/>
    <mergeCell ref="C20:D20"/>
    <mergeCell ref="E20:E21"/>
    <mergeCell ref="G20:G21"/>
    <mergeCell ref="I20:I21"/>
    <mergeCell ref="K20:K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52:I63 E48:I49 F22:J38 E64:E65 E66 I66 G66 I64:I65 G64:G65 E67:K67 F64:F65 H64:H65 J64:K65 F66 H66 J66:K66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"/>
  <sheetViews>
    <sheetView showGridLines="0" topLeftCell="A18" zoomScale="80" zoomScaleNormal="80" workbookViewId="0">
      <pane xSplit="2" ySplit="4" topLeftCell="C27" activePane="bottomRight" state="frozen"/>
      <selection activeCell="A18" sqref="A18"/>
      <selection pane="topRight" activeCell="C18" sqref="C18"/>
      <selection pane="bottomLeft" activeCell="A22" sqref="A22"/>
      <selection pane="bottomRight" activeCell="G48" sqref="G48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163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3">
      <c r="C20" s="67" t="s">
        <v>162</v>
      </c>
      <c r="D20" s="68"/>
      <c r="E20" s="80">
        <v>0.15</v>
      </c>
      <c r="F20" s="45" t="s">
        <v>144</v>
      </c>
      <c r="G20" s="80">
        <v>0.15</v>
      </c>
      <c r="H20" s="45" t="s">
        <v>144</v>
      </c>
      <c r="I20" s="80">
        <v>0.15</v>
      </c>
      <c r="J20" s="45" t="s">
        <v>144</v>
      </c>
      <c r="K20" s="80">
        <v>0.15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81"/>
      <c r="F21" s="28" t="s">
        <v>26</v>
      </c>
      <c r="G21" s="81"/>
      <c r="H21" s="28" t="s">
        <v>27</v>
      </c>
      <c r="I21" s="81"/>
      <c r="J21" s="28" t="str">
        <f>L2</f>
        <v xml:space="preserve"> MARKETPLACES</v>
      </c>
      <c r="K21" s="81"/>
    </row>
    <row r="22" spans="2:15" x14ac:dyDescent="0.3">
      <c r="B22" s="55">
        <v>794</v>
      </c>
      <c r="C22" s="9" t="s">
        <v>28</v>
      </c>
      <c r="D22" s="42">
        <f>'POLÍTICA COMERCIAL Jan24'!C22*(1+'POLÍTICA COMERCIAL Julho_24 '!O$19)</f>
        <v>392.18940000000003</v>
      </c>
      <c r="E22" s="52">
        <f t="shared" ref="E22:E38" si="1">D22*(1-E$20)</f>
        <v>333.36099000000002</v>
      </c>
      <c r="F22" s="42">
        <f>'POLÍTICA COMERCIAL Jan24'!G22*(1+'POLÍTICA COMERCIAL Julho_24 '!O$19)</f>
        <v>423.98940000000005</v>
      </c>
      <c r="G22" s="52">
        <f>F22*(1-G$20)</f>
        <v>360.39099000000004</v>
      </c>
      <c r="H22" s="42">
        <f>'POLÍTICA COMERCIAL Jan24'!I22*(1+'POLÍTICA COMERCIAL Julho_24 '!O$19)</f>
        <v>455.78940000000006</v>
      </c>
      <c r="I22" s="52">
        <f>H22*(1-I$20)</f>
        <v>387.42099000000002</v>
      </c>
      <c r="J22" s="42">
        <f>'POLÍTICA COMERCIAL Jan24'!K22*(1+'POLÍTICA COMERCIAL Julho_24 '!O$19)</f>
        <v>423.98940000000005</v>
      </c>
      <c r="K22" s="52">
        <f>J22*(1-K$20)</f>
        <v>360.39099000000004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Julho_24 '!O$19)</f>
        <v>434.58940000000001</v>
      </c>
      <c r="E23" s="52">
        <f t="shared" si="1"/>
        <v>369.40098999999998</v>
      </c>
      <c r="F23" s="42">
        <f>'POLÍTICA COMERCIAL Jan24'!G24*(1+'POLÍTICA COMERCIAL Julho_24 '!O$19)</f>
        <v>466.38940000000002</v>
      </c>
      <c r="G23" s="52">
        <f t="shared" ref="G23:G38" si="2">F23*(1-G$20)</f>
        <v>396.43099000000001</v>
      </c>
      <c r="H23" s="42">
        <f>'POLÍTICA COMERCIAL Jan24'!I24*(1+'POLÍTICA COMERCIAL Julho_24 '!O$19)</f>
        <v>498.18940000000003</v>
      </c>
      <c r="I23" s="52">
        <f t="shared" ref="I23:I38" si="3">H23*(1-I$20)</f>
        <v>423.46099000000004</v>
      </c>
      <c r="J23" s="42">
        <f>'POLÍTICA COMERCIAL Jan24'!K24*(1+'POLÍTICA COMERCIAL Julho_24 '!O$19)</f>
        <v>466.38940000000002</v>
      </c>
      <c r="K23" s="52">
        <f t="shared" ref="K23:K38" si="4">J23*(1-K$20)</f>
        <v>396.43099000000001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303.25013157528002</v>
      </c>
      <c r="F24" s="42">
        <f>413.07133004*0.93</f>
        <v>384.15633693720002</v>
      </c>
      <c r="G24" s="52">
        <f t="shared" si="2"/>
        <v>326.53288639662003</v>
      </c>
      <c r="H24" s="42">
        <f>441.90761032*0.93</f>
        <v>410.9740775976</v>
      </c>
      <c r="I24" s="52">
        <f t="shared" si="3"/>
        <v>349.32796595795998</v>
      </c>
      <c r="J24" s="42">
        <f>413.07133004*0.93</f>
        <v>384.15633693720002</v>
      </c>
      <c r="K24" s="52">
        <f t="shared" si="4"/>
        <v>326.53288639662003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Julho_24 '!O$19)</f>
        <v>487.58940000000001</v>
      </c>
      <c r="E25" s="52">
        <f t="shared" si="1"/>
        <v>414.45098999999999</v>
      </c>
      <c r="F25" s="42">
        <f>'POLÍTICA COMERCIAL Jan24'!G26*(1+'POLÍTICA COMERCIAL Julho_24 '!O$19)</f>
        <v>519.38940000000002</v>
      </c>
      <c r="G25" s="52">
        <f t="shared" si="2"/>
        <v>441.48099000000002</v>
      </c>
      <c r="H25" s="42">
        <f>'POLÍTICA COMERCIAL Jan24'!I26*(1+'POLÍTICA COMERCIAL Julho_24 '!O$19)</f>
        <v>551.18940000000009</v>
      </c>
      <c r="I25" s="52">
        <f t="shared" si="3"/>
        <v>468.51099000000005</v>
      </c>
      <c r="J25" s="42">
        <f>'POLÍTICA COMERCIAL Jan24'!K26*(1+'POLÍTICA COMERCIAL Julho_24 '!O$19)</f>
        <v>519.38940000000002</v>
      </c>
      <c r="K25" s="52">
        <f t="shared" si="4"/>
        <v>441.48099000000002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342.23059542315991</v>
      </c>
      <c r="F26" s="42">
        <f>0.94*457.70775408</f>
        <v>430.24528883519997</v>
      </c>
      <c r="G26" s="52">
        <f t="shared" si="2"/>
        <v>365.70849550991994</v>
      </c>
      <c r="H26" s="42">
        <f>0.94*486.47493932</f>
        <v>457.28644296079995</v>
      </c>
      <c r="I26" s="52">
        <f t="shared" si="3"/>
        <v>388.69347651667994</v>
      </c>
      <c r="J26" s="42">
        <f>0.94*457.70775408</f>
        <v>430.24528883519997</v>
      </c>
      <c r="K26" s="52">
        <f t="shared" si="4"/>
        <v>365.70849550991994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Julho_24 '!O$19)</f>
        <v>635.98940000000005</v>
      </c>
      <c r="E27" s="52">
        <f t="shared" si="1"/>
        <v>540.59099000000003</v>
      </c>
      <c r="F27" s="42">
        <f>'POLÍTICA COMERCIAL Jan24'!G28*(1+'POLÍTICA COMERCIAL Julho_24 '!O$19)</f>
        <v>667.7894</v>
      </c>
      <c r="G27" s="52">
        <f t="shared" si="2"/>
        <v>567.62099000000001</v>
      </c>
      <c r="H27" s="42">
        <f>'POLÍTICA COMERCIAL Jan24'!I28*(1+'POLÍTICA COMERCIAL Julho_24 '!O$19)</f>
        <v>710.18940000000009</v>
      </c>
      <c r="I27" s="52">
        <f t="shared" si="3"/>
        <v>603.66099000000008</v>
      </c>
      <c r="J27" s="42">
        <f>'POLÍTICA COMERCIAL Jan24'!K28*(1+'POLÍTICA COMERCIAL Julho_24 '!O$19)</f>
        <v>667.7894</v>
      </c>
      <c r="K27" s="52">
        <f t="shared" si="4"/>
        <v>567.62099000000001</v>
      </c>
      <c r="L27" s="15"/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457.99439978879991</v>
      </c>
      <c r="F28" s="42">
        <f>0.96*588.00208064</f>
        <v>564.48199741439998</v>
      </c>
      <c r="G28" s="52">
        <f t="shared" si="2"/>
        <v>479.80969780223995</v>
      </c>
      <c r="H28" s="42">
        <f>0.95*635.30051448</f>
        <v>603.53548875599995</v>
      </c>
      <c r="I28" s="52">
        <f t="shared" si="3"/>
        <v>513.00516544259995</v>
      </c>
      <c r="J28" s="42">
        <f>0.96*588.00208064</f>
        <v>564.48199741439998</v>
      </c>
      <c r="K28" s="52">
        <f t="shared" si="4"/>
        <v>479.80969780223995</v>
      </c>
      <c r="L28" s="15"/>
    </row>
    <row r="29" spans="2:15" x14ac:dyDescent="0.3">
      <c r="B29" s="55">
        <v>799</v>
      </c>
      <c r="C29" s="9" t="s">
        <v>33</v>
      </c>
      <c r="D29" s="42">
        <f>'POLÍTICA COMERCIAL Jan24'!C31*(1+'POLÍTICA COMERCIAL Julho_24 '!O$19)</f>
        <v>816.18940000000009</v>
      </c>
      <c r="E29" s="52">
        <f t="shared" si="1"/>
        <v>693.76099000000011</v>
      </c>
      <c r="F29" s="42">
        <f>'POLÍTICA COMERCIAL Jan24'!G31*(1+'POLÍTICA COMERCIAL Julho_24 '!O$19)</f>
        <v>847.98940000000005</v>
      </c>
      <c r="G29" s="52">
        <f t="shared" si="2"/>
        <v>720.79098999999997</v>
      </c>
      <c r="H29" s="42">
        <f>'POLÍTICA COMERCIAL Jan24'!I31*(1+'POLÍTICA COMERCIAL Julho_24 '!O$19)</f>
        <v>890.38940000000002</v>
      </c>
      <c r="I29" s="52">
        <f t="shared" si="3"/>
        <v>756.83099000000004</v>
      </c>
      <c r="J29" s="42">
        <f>'POLÍTICA COMERCIAL Jan24'!K31*(1+'POLÍTICA COMERCIAL Julho_24 '!O$19)</f>
        <v>847.98940000000005</v>
      </c>
      <c r="K29" s="52">
        <f t="shared" si="4"/>
        <v>720.79098999999997</v>
      </c>
    </row>
    <row r="30" spans="2:15" x14ac:dyDescent="0.3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589.80607974912004</v>
      </c>
      <c r="F30" s="42">
        <f>0.96*747.62293324</f>
        <v>717.71801591039991</v>
      </c>
      <c r="G30" s="52">
        <f t="shared" si="2"/>
        <v>610.06031352383991</v>
      </c>
      <c r="H30" s="42">
        <f>0.955*789.98477324</f>
        <v>754.43545844419998</v>
      </c>
      <c r="I30" s="52">
        <f t="shared" si="3"/>
        <v>641.27013967757</v>
      </c>
      <c r="J30" s="42">
        <f>0.96*747.62293324</f>
        <v>717.71801591039991</v>
      </c>
      <c r="K30" s="52">
        <f t="shared" si="4"/>
        <v>610.06031352383991</v>
      </c>
    </row>
    <row r="31" spans="2:15" x14ac:dyDescent="0.3">
      <c r="B31" s="55">
        <v>854</v>
      </c>
      <c r="C31" s="9" t="str">
        <f>C9</f>
        <v>FONTE 90 BOB</v>
      </c>
      <c r="D31" s="42">
        <f>'POLÍTICA COMERCIAL Jan24'!C33*(1+'POLÍTICA COMERCIAL Julho_24 '!O$19)</f>
        <v>413.38940000000002</v>
      </c>
      <c r="E31" s="52">
        <f t="shared" si="1"/>
        <v>351.38099</v>
      </c>
      <c r="F31" s="42">
        <f>'POLÍTICA COMERCIAL Jan24'!G33*(1+'POLÍTICA COMERCIAL Julho_24 '!O$19)</f>
        <v>445.18940000000003</v>
      </c>
      <c r="G31" s="52">
        <f t="shared" si="2"/>
        <v>378.41099000000003</v>
      </c>
      <c r="H31" s="42">
        <f>'POLÍTICA COMERCIAL Jan24'!I33*(1+'POLÍTICA COMERCIAL Julho_24 '!O$19)</f>
        <v>466.38940000000002</v>
      </c>
      <c r="I31" s="52">
        <f t="shared" si="3"/>
        <v>396.43099000000001</v>
      </c>
      <c r="J31" s="42">
        <f>'POLÍTICA COMERCIAL Jan24'!K33*(1+'POLÍTICA COMERCIAL Julho_24 '!O$19)</f>
        <v>445.18940000000003</v>
      </c>
      <c r="K31" s="52">
        <f t="shared" si="4"/>
        <v>378.41099000000003</v>
      </c>
    </row>
    <row r="32" spans="2:15" x14ac:dyDescent="0.3">
      <c r="B32" s="55">
        <v>801</v>
      </c>
      <c r="C32" s="9" t="s">
        <v>35</v>
      </c>
      <c r="D32" s="42">
        <f>'POLÍTICA COMERCIAL Jan24'!C34*(1+'POLÍTICA COMERCIAL Julho_24 '!O$19)</f>
        <v>493.94940000000003</v>
      </c>
      <c r="E32" s="52">
        <f t="shared" si="1"/>
        <v>419.85699</v>
      </c>
      <c r="F32" s="42">
        <f>'POLÍTICA COMERCIAL Jan24'!G34*(1+'POLÍTICA COMERCIAL Julho_24 '!O$19)</f>
        <v>525.74940000000004</v>
      </c>
      <c r="G32" s="52">
        <f t="shared" si="2"/>
        <v>446.88699000000003</v>
      </c>
      <c r="H32" s="42">
        <f>'POLÍTICA COMERCIAL Jan24'!I34*(1+'POLÍTICA COMERCIAL Julho_24 '!O$19)</f>
        <v>568.14940000000001</v>
      </c>
      <c r="I32" s="52">
        <f t="shared" si="3"/>
        <v>482.92698999999999</v>
      </c>
      <c r="J32" s="42">
        <f>'POLÍTICA COMERCIAL Jan24'!K34*(1+'POLÍTICA COMERCIAL Julho_24 '!O$19)</f>
        <v>525.74940000000004</v>
      </c>
      <c r="K32" s="52">
        <f t="shared" si="4"/>
        <v>446.88699000000003</v>
      </c>
    </row>
    <row r="33" spans="2:13" x14ac:dyDescent="0.3">
      <c r="B33" s="55">
        <v>802</v>
      </c>
      <c r="C33" s="9" t="s">
        <v>34</v>
      </c>
      <c r="D33" s="42">
        <f>'POLÍTICA COMERCIAL Jan24'!C35*(1+'POLÍTICA COMERCIAL Julho_24 '!O$19)</f>
        <v>625.38940000000002</v>
      </c>
      <c r="E33" s="52">
        <f t="shared" si="1"/>
        <v>531.58099000000004</v>
      </c>
      <c r="F33" s="42">
        <f>'POLÍTICA COMERCIAL Jan24'!G35*(1+'POLÍTICA COMERCIAL Julho_24 '!O$19)</f>
        <v>657.18940000000009</v>
      </c>
      <c r="G33" s="52">
        <f t="shared" si="2"/>
        <v>558.61099000000002</v>
      </c>
      <c r="H33" s="42">
        <f>'POLÍTICA COMERCIAL Jan24'!I35*(1+'POLÍTICA COMERCIAL Julho_24 '!O$19)</f>
        <v>731.38940000000002</v>
      </c>
      <c r="I33" s="52">
        <f t="shared" si="3"/>
        <v>621.68098999999995</v>
      </c>
      <c r="J33" s="42">
        <f>'POLÍTICA COMERCIAL Jan24'!K35*(1+'POLÍTICA COMERCIAL Julho_24 '!O$19)</f>
        <v>657.18940000000009</v>
      </c>
      <c r="K33" s="52">
        <f t="shared" si="4"/>
        <v>558.61099000000002</v>
      </c>
    </row>
    <row r="34" spans="2:13" x14ac:dyDescent="0.3">
      <c r="B34" s="55">
        <v>800</v>
      </c>
      <c r="C34" s="9" t="str">
        <f>C12</f>
        <v>FONTE 200 MONO</v>
      </c>
      <c r="D34" s="42">
        <f>'POLÍTICA COMERCIAL Jan24'!C36*(1+'POLÍTICA COMERCIAL Julho_24 '!O$19)</f>
        <v>669.57038682500001</v>
      </c>
      <c r="E34" s="52">
        <f t="shared" si="1"/>
        <v>569.13482880125002</v>
      </c>
      <c r="F34" s="42">
        <f>'POLÍTICA COMERCIAL Jan24'!G36*(1+'POLÍTICA COMERCIAL Julho_24 '!O$19)</f>
        <v>775.37993000000006</v>
      </c>
      <c r="G34" s="52">
        <f t="shared" si="2"/>
        <v>659.07294050000007</v>
      </c>
      <c r="H34" s="42">
        <f>'POLÍTICA COMERCIAL Jan24'!I36*(1+'POLÍTICA COMERCIAL Julho_24 '!O$19)</f>
        <v>815.65993000000003</v>
      </c>
      <c r="I34" s="52">
        <f t="shared" si="3"/>
        <v>693.31094050000002</v>
      </c>
      <c r="J34" s="42">
        <f>'POLÍTICA COMERCIAL Jan24'!K36*(1+'POLÍTICA COMERCIAL Julho_24 '!O$19)</f>
        <v>775.37993000000006</v>
      </c>
      <c r="K34" s="52">
        <f t="shared" si="4"/>
        <v>659.07294050000007</v>
      </c>
    </row>
    <row r="35" spans="2:13" x14ac:dyDescent="0.3">
      <c r="B35" s="55" t="s">
        <v>151</v>
      </c>
      <c r="C35" s="9" t="s">
        <v>37</v>
      </c>
      <c r="D35" s="42">
        <f>'POLÍTICA COMERCIAL Jan24'!C38*(1+'POLÍTICA COMERCIAL Julho_24 '!O$19)</f>
        <v>58.194000000000003</v>
      </c>
      <c r="E35" s="52">
        <f t="shared" si="1"/>
        <v>49.4649</v>
      </c>
      <c r="F35" s="42">
        <f>'POLÍTICA COMERCIAL Jan24'!G38*(1+'POLÍTICA COMERCIAL Julho_24 '!O$19)</f>
        <v>64.861188000000013</v>
      </c>
      <c r="G35" s="52">
        <f t="shared" si="2"/>
        <v>55.132009800000006</v>
      </c>
      <c r="H35" s="42">
        <f>'POLÍTICA COMERCIAL Jan24'!I38*(1+'POLÍTICA COMERCIAL Julho_24 '!O$19)</f>
        <v>70.169880000000006</v>
      </c>
      <c r="I35" s="52">
        <f t="shared" si="3"/>
        <v>59.644398000000002</v>
      </c>
      <c r="J35" s="42">
        <f>'POLÍTICA COMERCIAL Jan24'!K38*(1+'POLÍTICA COMERCIAL Julho_24 '!O$19)</f>
        <v>64.861188000000013</v>
      </c>
      <c r="K35" s="52">
        <f t="shared" si="4"/>
        <v>55.132009800000006</v>
      </c>
    </row>
    <row r="36" spans="2:13" x14ac:dyDescent="0.3">
      <c r="B36" s="55" t="s">
        <v>150</v>
      </c>
      <c r="C36" s="9" t="s">
        <v>36</v>
      </c>
      <c r="D36" s="42">
        <f>'POLÍTICA COMERCIAL Jan24'!C39*(1+'POLÍTICA COMERCIAL Julho_24 '!O$19)</f>
        <v>55.284299999999995</v>
      </c>
      <c r="E36" s="52">
        <f t="shared" si="1"/>
        <v>46.991654999999994</v>
      </c>
      <c r="F36" s="42">
        <f>'POLÍTICA COMERCIAL Jan24'!G39*(1+'POLÍTICA COMERCIAL Julho_24 '!O$19)</f>
        <v>61.618128600000006</v>
      </c>
      <c r="G36" s="52">
        <f t="shared" si="2"/>
        <v>52.375409310000002</v>
      </c>
      <c r="H36" s="42">
        <f>'POLÍTICA COMERCIAL Jan24'!I39*(1+'POLÍTICA COMERCIAL Julho_24 '!O$19)</f>
        <v>66.661386000000007</v>
      </c>
      <c r="I36" s="52">
        <f t="shared" si="3"/>
        <v>56.662178100000006</v>
      </c>
      <c r="J36" s="42">
        <f>'POLÍTICA COMERCIAL Jan24'!K39*(1+'POLÍTICA COMERCIAL Julho_24 '!O$19)</f>
        <v>61.618128600000006</v>
      </c>
      <c r="K36" s="52">
        <f t="shared" si="4"/>
        <v>52.375409310000002</v>
      </c>
    </row>
    <row r="37" spans="2:13" x14ac:dyDescent="0.3">
      <c r="B37" s="55">
        <v>681</v>
      </c>
      <c r="C37" s="9" t="s">
        <v>38</v>
      </c>
      <c r="D37" s="42">
        <f>'POLÍTICA COMERCIAL Jan24'!C40*(1+'POLÍTICA COMERCIAL Julho_24 '!O$19)</f>
        <v>83.740000000000009</v>
      </c>
      <c r="E37" s="52">
        <f t="shared" si="1"/>
        <v>71.179000000000002</v>
      </c>
      <c r="F37" s="42">
        <f>'POLÍTICA COMERCIAL Jan24'!G40*(1+'POLÍTICA COMERCIAL Julho_24 '!O$19)</f>
        <v>96.226800000000011</v>
      </c>
      <c r="G37" s="52">
        <f t="shared" si="2"/>
        <v>81.792780000000008</v>
      </c>
      <c r="H37" s="42">
        <f>'POLÍTICA COMERCIAL Jan24'!I40*(1+'POLÍTICA COMERCIAL Julho_24 '!O$19)</f>
        <v>107.03880000000001</v>
      </c>
      <c r="I37" s="52">
        <f t="shared" si="3"/>
        <v>90.982980000000012</v>
      </c>
      <c r="J37" s="42">
        <f>'POLÍTICA COMERCIAL Jan24'!K40*(1+'POLÍTICA COMERCIAL Julho_24 '!O$19)</f>
        <v>96.226800000000011</v>
      </c>
      <c r="K37" s="52">
        <f t="shared" si="4"/>
        <v>81.792780000000008</v>
      </c>
    </row>
    <row r="38" spans="2:13" x14ac:dyDescent="0.3">
      <c r="B38" s="55" t="s">
        <v>149</v>
      </c>
      <c r="C38" s="9" t="s">
        <v>39</v>
      </c>
      <c r="D38" s="42">
        <f>'POLÍTICA COMERCIAL Jan24'!C41*(1+'POLÍTICA COMERCIAL Julho_24 '!O$19)</f>
        <v>73.14</v>
      </c>
      <c r="E38" s="52">
        <f t="shared" si="1"/>
        <v>62.168999999999997</v>
      </c>
      <c r="F38" s="42">
        <f>'POLÍTICA COMERCIAL Jan24'!G41*(1+'POLÍTICA COMERCIAL Julho_24 '!O$19)</f>
        <v>83.634000000000015</v>
      </c>
      <c r="G38" s="52">
        <f t="shared" si="2"/>
        <v>71.08890000000001</v>
      </c>
      <c r="H38" s="42">
        <f>'POLÍTICA COMERCIAL Jan24'!I41*(1+'POLÍTICA COMERCIAL Julho_24 '!O$19)</f>
        <v>93.174000000000007</v>
      </c>
      <c r="I38" s="52">
        <f t="shared" si="3"/>
        <v>79.197900000000004</v>
      </c>
      <c r="J38" s="42">
        <f>'POLÍTICA COMERCIAL Jan24'!K41*(1+'POLÍTICA COMERCIAL Julho_24 '!O$19)</f>
        <v>83.634000000000015</v>
      </c>
      <c r="K38" s="52">
        <f t="shared" si="4"/>
        <v>71.08890000000001</v>
      </c>
    </row>
    <row r="39" spans="2:13" hidden="1" x14ac:dyDescent="0.3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3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3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3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0.15</v>
      </c>
      <c r="H42" s="28" t="s">
        <v>27</v>
      </c>
      <c r="I42" s="51">
        <v>0.15</v>
      </c>
      <c r="J42" s="28" t="str">
        <f>J21</f>
        <v xml:space="preserve"> MARKETPLACES</v>
      </c>
      <c r="K42" s="51">
        <v>0.15</v>
      </c>
      <c r="L42" s="59"/>
      <c r="M42" s="59"/>
    </row>
    <row r="43" spans="2:13" x14ac:dyDescent="0.3">
      <c r="B43" s="69" t="s">
        <v>164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326.53288639662003</v>
      </c>
      <c r="H43" s="42">
        <f>441.90761032*0.93</f>
        <v>410.9740775976</v>
      </c>
      <c r="I43" s="52">
        <f>H43*(1-I$42)</f>
        <v>349.32796595795998</v>
      </c>
      <c r="J43" s="42">
        <f>413.07133004*0.93</f>
        <v>384.15633693720002</v>
      </c>
      <c r="K43" s="52">
        <f>J43*(1-K$42)</f>
        <v>326.53288639662003</v>
      </c>
    </row>
    <row r="44" spans="2:13" x14ac:dyDescent="0.3">
      <c r="B44" s="70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365.70849550991994</v>
      </c>
      <c r="H44" s="42">
        <f>0.94*486.47493932</f>
        <v>457.28644296079995</v>
      </c>
      <c r="I44" s="52">
        <f t="shared" ref="I44:I46" si="10">H44*(1-I$42)</f>
        <v>388.69347651667994</v>
      </c>
      <c r="J44" s="42">
        <f>0.94*457.70775408</f>
        <v>430.24528883519997</v>
      </c>
      <c r="K44" s="52">
        <f t="shared" ref="K44:K46" si="11">J44*(1-K$42)</f>
        <v>365.70849550991994</v>
      </c>
    </row>
    <row r="45" spans="2:13" x14ac:dyDescent="0.3">
      <c r="B45" s="70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479.80969780223995</v>
      </c>
      <c r="H45" s="42">
        <f>0.95*635.30051448</f>
        <v>603.53548875599995</v>
      </c>
      <c r="I45" s="52">
        <f t="shared" si="10"/>
        <v>513.00516544259995</v>
      </c>
      <c r="J45" s="42">
        <f>0.96*588.00208064</f>
        <v>564.48199741439998</v>
      </c>
      <c r="K45" s="52">
        <f t="shared" si="11"/>
        <v>479.80969780223995</v>
      </c>
    </row>
    <row r="46" spans="2:13" x14ac:dyDescent="0.3">
      <c r="B46" s="71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610.06031352383991</v>
      </c>
      <c r="H46" s="42">
        <f>0.955*789.98477324</f>
        <v>754.43545844419998</v>
      </c>
      <c r="I46" s="52">
        <f t="shared" si="10"/>
        <v>641.27013967757</v>
      </c>
      <c r="J46" s="42">
        <f>0.96*747.62293324</f>
        <v>717.71801591039991</v>
      </c>
      <c r="K46" s="52">
        <f t="shared" si="11"/>
        <v>610.06031352383991</v>
      </c>
    </row>
    <row r="48" spans="2:13" x14ac:dyDescent="0.3">
      <c r="B48" s="72" t="s">
        <v>165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378.41099000000003</v>
      </c>
      <c r="H48" s="42">
        <f>H31</f>
        <v>466.38940000000002</v>
      </c>
      <c r="I48" s="52">
        <f t="shared" ref="I48:I50" si="12">H48*(1-I$42)</f>
        <v>396.43099000000001</v>
      </c>
      <c r="J48" s="42">
        <f>J31</f>
        <v>445.18940000000003</v>
      </c>
      <c r="K48" s="52">
        <f>J48*(1-K$42)</f>
        <v>378.41099000000003</v>
      </c>
    </row>
    <row r="49" spans="2:11" x14ac:dyDescent="0.3">
      <c r="B49" s="73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446.88699000000003</v>
      </c>
      <c r="H49" s="42">
        <f>H32</f>
        <v>568.14940000000001</v>
      </c>
      <c r="I49" s="52">
        <f t="shared" si="12"/>
        <v>482.92698999999999</v>
      </c>
      <c r="J49" s="42">
        <f>J32</f>
        <v>525.74940000000004</v>
      </c>
      <c r="K49" s="52">
        <f t="shared" ref="K49:K60" si="14">J49*(1-K$42)</f>
        <v>446.88699000000003</v>
      </c>
    </row>
    <row r="50" spans="2:11" x14ac:dyDescent="0.3">
      <c r="B50" s="74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558.61099000000002</v>
      </c>
      <c r="H50" s="42">
        <f>H33</f>
        <v>731.38940000000002</v>
      </c>
      <c r="I50" s="52">
        <f t="shared" si="12"/>
        <v>621.68098999999995</v>
      </c>
      <c r="J50" s="42">
        <f>J33</f>
        <v>657.18940000000009</v>
      </c>
      <c r="K50" s="52">
        <f t="shared" si="14"/>
        <v>558.61099000000002</v>
      </c>
    </row>
    <row r="51" spans="2:11" x14ac:dyDescent="0.3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3">
      <c r="B52" s="75" t="s">
        <v>166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360.39099000000004</v>
      </c>
      <c r="H52" s="42">
        <f>H22</f>
        <v>455.78940000000006</v>
      </c>
      <c r="I52" s="52">
        <f t="shared" ref="I52:I56" si="15">H52*(1-I$42)</f>
        <v>387.42099000000002</v>
      </c>
      <c r="J52" s="42">
        <f>J22</f>
        <v>423.98940000000005</v>
      </c>
      <c r="K52" s="52">
        <f t="shared" si="14"/>
        <v>360.39099000000004</v>
      </c>
    </row>
    <row r="53" spans="2:11" x14ac:dyDescent="0.3">
      <c r="B53" s="73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396.43099000000001</v>
      </c>
      <c r="H53" s="42">
        <f>H23</f>
        <v>498.18940000000003</v>
      </c>
      <c r="I53" s="52">
        <f t="shared" si="15"/>
        <v>423.46099000000004</v>
      </c>
      <c r="J53" s="42">
        <f>J23</f>
        <v>466.38940000000002</v>
      </c>
      <c r="K53" s="52">
        <f t="shared" si="14"/>
        <v>396.43099000000001</v>
      </c>
    </row>
    <row r="54" spans="2:11" x14ac:dyDescent="0.3">
      <c r="B54" s="73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441.48099000000002</v>
      </c>
      <c r="H54" s="42">
        <f>H25</f>
        <v>551.18940000000009</v>
      </c>
      <c r="I54" s="52">
        <f t="shared" si="15"/>
        <v>468.51099000000005</v>
      </c>
      <c r="J54" s="42">
        <f>J25</f>
        <v>519.38940000000002</v>
      </c>
      <c r="K54" s="52">
        <f t="shared" si="14"/>
        <v>441.48099000000002</v>
      </c>
    </row>
    <row r="55" spans="2:11" x14ac:dyDescent="0.3">
      <c r="B55" s="73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567.62099000000001</v>
      </c>
      <c r="H55" s="42">
        <f>H27</f>
        <v>710.18940000000009</v>
      </c>
      <c r="I55" s="52">
        <f t="shared" si="15"/>
        <v>603.66099000000008</v>
      </c>
      <c r="J55" s="42">
        <f>J27</f>
        <v>667.7894</v>
      </c>
      <c r="K55" s="52">
        <f t="shared" si="14"/>
        <v>567.62099000000001</v>
      </c>
    </row>
    <row r="56" spans="2:11" x14ac:dyDescent="0.3">
      <c r="B56" s="74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720.79098999999997</v>
      </c>
      <c r="H56" s="42">
        <f>H29</f>
        <v>890.38940000000002</v>
      </c>
      <c r="I56" s="52">
        <f t="shared" si="15"/>
        <v>756.83099000000004</v>
      </c>
      <c r="J56" s="42">
        <f>J29</f>
        <v>847.98940000000005</v>
      </c>
      <c r="K56" s="52">
        <f t="shared" si="14"/>
        <v>720.79098999999997</v>
      </c>
    </row>
    <row r="58" spans="2:11" x14ac:dyDescent="0.3">
      <c r="B58" s="76" t="s">
        <v>167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326.53288639662003</v>
      </c>
      <c r="H58" s="42">
        <f>H43</f>
        <v>410.9740775976</v>
      </c>
      <c r="I58" s="52">
        <f t="shared" ref="I58:I60" si="17">H58*(1-I$42)</f>
        <v>349.32796595795998</v>
      </c>
      <c r="J58" s="42">
        <f>J43</f>
        <v>384.15633693720002</v>
      </c>
      <c r="K58" s="52">
        <f t="shared" si="14"/>
        <v>326.53288639662003</v>
      </c>
    </row>
    <row r="59" spans="2:11" x14ac:dyDescent="0.3">
      <c r="B59" s="77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378.41099000000003</v>
      </c>
      <c r="H59" s="42">
        <f>H48</f>
        <v>466.38940000000002</v>
      </c>
      <c r="I59" s="52">
        <f t="shared" si="17"/>
        <v>396.43099000000001</v>
      </c>
      <c r="J59" s="42">
        <f>J48</f>
        <v>445.18940000000003</v>
      </c>
      <c r="K59" s="52">
        <f t="shared" si="14"/>
        <v>378.41099000000003</v>
      </c>
    </row>
    <row r="60" spans="2:11" x14ac:dyDescent="0.3">
      <c r="B60" s="77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567.62099000000001</v>
      </c>
      <c r="H60" s="42">
        <f>H55</f>
        <v>710.18940000000009</v>
      </c>
      <c r="I60" s="52">
        <f t="shared" si="17"/>
        <v>603.66099000000008</v>
      </c>
      <c r="J60" s="42">
        <f>J55</f>
        <v>667.7894</v>
      </c>
      <c r="K60" s="52">
        <f t="shared" si="14"/>
        <v>567.62099000000001</v>
      </c>
    </row>
    <row r="61" spans="2:11" x14ac:dyDescent="0.3">
      <c r="B61" s="77"/>
      <c r="C61" s="9" t="str">
        <f>C49</f>
        <v>FONTE 120 BOB</v>
      </c>
      <c r="D61" s="42">
        <f>D49</f>
        <v>493.94940000000003</v>
      </c>
      <c r="E61" s="52">
        <f t="shared" ref="E61" si="18">D61*(1-E$42)</f>
        <v>419.85699</v>
      </c>
      <c r="F61" s="42">
        <f>F49</f>
        <v>525.74940000000004</v>
      </c>
      <c r="G61" s="52">
        <f t="shared" ref="G61" si="19">F61*(1-G$42)</f>
        <v>446.88699000000003</v>
      </c>
      <c r="H61" s="42">
        <f>H49</f>
        <v>568.14940000000001</v>
      </c>
      <c r="I61" s="52">
        <f t="shared" ref="I61" si="20">H61*(1-I$42)</f>
        <v>482.92698999999999</v>
      </c>
      <c r="J61" s="42">
        <f>J49</f>
        <v>525.74940000000004</v>
      </c>
      <c r="K61" s="52">
        <f t="shared" ref="K61" si="21">J61*(1-K$42)</f>
        <v>446.88699000000003</v>
      </c>
    </row>
  </sheetData>
  <mergeCells count="11">
    <mergeCell ref="C19:K19"/>
    <mergeCell ref="C20:D20"/>
    <mergeCell ref="E20:E21"/>
    <mergeCell ref="G20:G21"/>
    <mergeCell ref="I20:I21"/>
    <mergeCell ref="K20:K21"/>
    <mergeCell ref="C41:D41"/>
    <mergeCell ref="B43:B46"/>
    <mergeCell ref="B48:B50"/>
    <mergeCell ref="B52:B56"/>
    <mergeCell ref="B58:B6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J38 E48:E60 F43:F46 G48:G60 H43:H46 I48:I60 J43:J46 F48:F61 H48:H61 J48:J61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showGridLines="0" topLeftCell="A18" zoomScale="80" zoomScaleNormal="80" workbookViewId="0">
      <pane xSplit="2" ySplit="4" topLeftCell="C28" activePane="bottomRight" state="frozen"/>
      <selection activeCell="A18" sqref="A18"/>
      <selection pane="topRight" activeCell="C18" sqref="C18"/>
      <selection pane="bottomLeft" activeCell="A22" sqref="A22"/>
      <selection pane="bottomRight" activeCell="G48" sqref="G48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156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3">
      <c r="C20" s="67" t="s">
        <v>162</v>
      </c>
      <c r="D20" s="68"/>
      <c r="E20" s="80">
        <v>0.1</v>
      </c>
      <c r="F20" s="45" t="s">
        <v>144</v>
      </c>
      <c r="G20" s="80">
        <v>0.05</v>
      </c>
      <c r="H20" s="45" t="s">
        <v>144</v>
      </c>
      <c r="I20" s="80">
        <v>0.05</v>
      </c>
      <c r="J20" s="45" t="s">
        <v>144</v>
      </c>
      <c r="K20" s="80">
        <v>0.05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81"/>
      <c r="F21" s="28" t="s">
        <v>26</v>
      </c>
      <c r="G21" s="81"/>
      <c r="H21" s="28" t="s">
        <v>27</v>
      </c>
      <c r="I21" s="81"/>
      <c r="J21" s="28" t="str">
        <f>L2</f>
        <v xml:space="preserve"> MARKETPLACES</v>
      </c>
      <c r="K21" s="81"/>
    </row>
    <row r="22" spans="2:15" x14ac:dyDescent="0.3">
      <c r="B22" s="55">
        <v>794</v>
      </c>
      <c r="C22" s="9" t="s">
        <v>28</v>
      </c>
      <c r="D22" s="42">
        <f>'POLÍTICA COMERCIAL Jan24'!C22*(1+'POLÍTICA COMERCIAL Junho_24'!O$19)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Junho_24'!O$19)</f>
        <v>423.98940000000005</v>
      </c>
      <c r="G22" s="52">
        <f>F22*(1-G$20)</f>
        <v>402.78993000000003</v>
      </c>
      <c r="H22" s="42">
        <f>'POLÍTICA COMERCIAL Jan24'!I22*(1+'POLÍTICA COMERCIAL Junho_24'!O$19)</f>
        <v>455.78940000000006</v>
      </c>
      <c r="I22" s="52">
        <f>H22*(1-I$20)</f>
        <v>432.99993000000001</v>
      </c>
      <c r="J22" s="42">
        <f>'POLÍTICA COMERCIAL Jan24'!K22*(1+'POLÍTICA COMERCIAL Junho_24'!O$19)</f>
        <v>423.98940000000005</v>
      </c>
      <c r="K22" s="52">
        <f>J22*(1-K$20)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Junho_24'!O$19)</f>
        <v>434.58940000000001</v>
      </c>
      <c r="E23" s="52">
        <f t="shared" si="1"/>
        <v>391.13046000000003</v>
      </c>
      <c r="F23" s="42">
        <f>'POLÍTICA COMERCIAL Jan24'!G24*(1+'POLÍTICA COMERCIAL Junho_24'!O$19)</f>
        <v>466.38940000000002</v>
      </c>
      <c r="G23" s="52">
        <f t="shared" ref="G23:G38" si="2">F23*(1-G$20)</f>
        <v>443.06993</v>
      </c>
      <c r="H23" s="42">
        <f>'POLÍTICA COMERCIAL Jan24'!I24*(1+'POLÍTICA COMERCIAL Junho_24'!O$19)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Junho_24'!O$19)</f>
        <v>466.38940000000002</v>
      </c>
      <c r="K23" s="52">
        <f t="shared" ref="K23:K38" si="4">J23*(1-K$20)</f>
        <v>443.06993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Junho_24'!O$19)</f>
        <v>487.58940000000001</v>
      </c>
      <c r="E25" s="52">
        <f t="shared" si="1"/>
        <v>438.83046000000002</v>
      </c>
      <c r="F25" s="42">
        <f>'POLÍTICA COMERCIAL Jan24'!G26*(1+'POLÍTICA COMERCIAL Junho_24'!O$19)</f>
        <v>519.38940000000002</v>
      </c>
      <c r="G25" s="52">
        <f t="shared" si="2"/>
        <v>493.41993000000002</v>
      </c>
      <c r="H25" s="42">
        <f>'POLÍTICA COMERCIAL Jan24'!I26*(1+'POLÍTICA COMERCIAL Junho_24'!O$19)</f>
        <v>551.18940000000009</v>
      </c>
      <c r="I25" s="52">
        <f t="shared" si="3"/>
        <v>523.62993000000006</v>
      </c>
      <c r="J25" s="42">
        <f>'POLÍTICA COMERCIAL Jan24'!K26*(1+'POLÍTICA COMERCIAL Junho_24'!O$19)</f>
        <v>519.38940000000002</v>
      </c>
      <c r="K25" s="52">
        <f t="shared" si="4"/>
        <v>493.41993000000002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Junho_24'!O$19)</f>
        <v>635.98940000000005</v>
      </c>
      <c r="E27" s="52">
        <f t="shared" si="1"/>
        <v>572.39046000000008</v>
      </c>
      <c r="F27" s="42">
        <f>'POLÍTICA COMERCIAL Jan24'!G28*(1+'POLÍTICA COMERCIAL Junho_24'!O$19)</f>
        <v>667.7894</v>
      </c>
      <c r="G27" s="52">
        <f t="shared" si="2"/>
        <v>634.39992999999993</v>
      </c>
      <c r="H27" s="42">
        <f>'POLÍTICA COMERCIAL Jan24'!I28*(1+'POLÍTICA COMERCIAL Junho_24'!O$19)</f>
        <v>710.18940000000009</v>
      </c>
      <c r="I27" s="52">
        <f t="shared" si="3"/>
        <v>674.67993000000001</v>
      </c>
      <c r="J27" s="42">
        <f>'POLÍTICA COMERCIAL Jan24'!K28*(1+'POLÍTICA COMERCIAL Junho_24'!O$19)</f>
        <v>667.7894</v>
      </c>
      <c r="K27" s="52">
        <f t="shared" si="4"/>
        <v>634.39992999999993</v>
      </c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x14ac:dyDescent="0.3">
      <c r="B29" s="55">
        <v>799</v>
      </c>
      <c r="C29" s="9" t="s">
        <v>33</v>
      </c>
      <c r="D29" s="42">
        <f>'POLÍTICA COMERCIAL Jan24'!C31*(1+'POLÍTICA COMERCIAL Junho_24'!O$19)</f>
        <v>816.18940000000009</v>
      </c>
      <c r="E29" s="52">
        <f t="shared" si="1"/>
        <v>734.57046000000014</v>
      </c>
      <c r="F29" s="42">
        <f>'POLÍTICA COMERCIAL Jan24'!G31*(1+'POLÍTICA COMERCIAL Junho_24'!O$19)</f>
        <v>847.98940000000005</v>
      </c>
      <c r="G29" s="52">
        <f t="shared" si="2"/>
        <v>805.58992999999998</v>
      </c>
      <c r="H29" s="42">
        <f>'POLÍTICA COMERCIAL Jan24'!I31*(1+'POLÍTICA COMERCIAL Junho_24'!O$19)</f>
        <v>890.38940000000002</v>
      </c>
      <c r="I29" s="52">
        <f t="shared" si="3"/>
        <v>845.86992999999995</v>
      </c>
      <c r="J29" s="42">
        <f>'POLÍTICA COMERCIAL Jan24'!K31*(1+'POLÍTICA COMERCIAL Junho_24'!O$19)</f>
        <v>847.98940000000005</v>
      </c>
      <c r="K29" s="52">
        <f t="shared" si="4"/>
        <v>805.58992999999998</v>
      </c>
    </row>
    <row r="30" spans="2:15" x14ac:dyDescent="0.3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624.50055502847999</v>
      </c>
      <c r="F30" s="42">
        <f>0.96*747.62293324</f>
        <v>717.71801591039991</v>
      </c>
      <c r="G30" s="52">
        <f t="shared" si="2"/>
        <v>681.83211511487991</v>
      </c>
      <c r="H30" s="42">
        <f>0.955*789.98477324</f>
        <v>754.43545844419998</v>
      </c>
      <c r="I30" s="52">
        <f t="shared" si="3"/>
        <v>716.71368552198999</v>
      </c>
      <c r="J30" s="42">
        <f>0.96*747.62293324</f>
        <v>717.71801591039991</v>
      </c>
      <c r="K30" s="52">
        <f t="shared" si="4"/>
        <v>681.83211511487991</v>
      </c>
    </row>
    <row r="31" spans="2:15" x14ac:dyDescent="0.3">
      <c r="B31" s="55">
        <v>854</v>
      </c>
      <c r="C31" s="9" t="str">
        <f>C9</f>
        <v>FONTE 90 BOB</v>
      </c>
      <c r="D31" s="42">
        <f>'POLÍTICA COMERCIAL Jan24'!C33*(1+'POLÍTICA COMERCIAL Junho_24'!O$19)</f>
        <v>413.38940000000002</v>
      </c>
      <c r="E31" s="52">
        <f t="shared" si="1"/>
        <v>372.05046000000004</v>
      </c>
      <c r="F31" s="42">
        <f>'POLÍTICA COMERCIAL Jan24'!G33*(1+'POLÍTICA COMERCIAL Junho_24'!O$19)</f>
        <v>445.18940000000003</v>
      </c>
      <c r="G31" s="52">
        <f t="shared" si="2"/>
        <v>422.92993000000001</v>
      </c>
      <c r="H31" s="42">
        <f>'POLÍTICA COMERCIAL Jan24'!I33*(1+'POLÍTICA COMERCIAL Junho_24'!O$19)</f>
        <v>466.38940000000002</v>
      </c>
      <c r="I31" s="52">
        <f t="shared" si="3"/>
        <v>443.06993</v>
      </c>
      <c r="J31" s="42">
        <f>'POLÍTICA COMERCIAL Jan24'!K33*(1+'POLÍTICA COMERCIAL Junho_24'!O$19)</f>
        <v>445.18940000000003</v>
      </c>
      <c r="K31" s="52">
        <f t="shared" si="4"/>
        <v>422.92993000000001</v>
      </c>
    </row>
    <row r="32" spans="2:15" x14ac:dyDescent="0.3">
      <c r="B32" s="55">
        <v>801</v>
      </c>
      <c r="C32" s="9" t="s">
        <v>35</v>
      </c>
      <c r="D32" s="42">
        <f>'POLÍTICA COMERCIAL Jan24'!C34*(1+'POLÍTICA COMERCIAL Junho_24'!O$19)</f>
        <v>493.94940000000003</v>
      </c>
      <c r="E32" s="52">
        <f t="shared" si="1"/>
        <v>444.55446000000001</v>
      </c>
      <c r="F32" s="42">
        <f>'POLÍTICA COMERCIAL Jan24'!G34*(1+'POLÍTICA COMERCIAL Junho_24'!O$19)</f>
        <v>525.74940000000004</v>
      </c>
      <c r="G32" s="52">
        <f t="shared" si="2"/>
        <v>499.46193</v>
      </c>
      <c r="H32" s="42">
        <f>'POLÍTICA COMERCIAL Jan24'!I34*(1+'POLÍTICA COMERCIAL Junho_24'!O$19)</f>
        <v>568.14940000000001</v>
      </c>
      <c r="I32" s="52">
        <f t="shared" si="3"/>
        <v>539.74193000000002</v>
      </c>
      <c r="J32" s="42">
        <f>'POLÍTICA COMERCIAL Jan24'!K34*(1+'POLÍTICA COMERCIAL Junho_24'!O$19)</f>
        <v>525.74940000000004</v>
      </c>
      <c r="K32" s="52">
        <f t="shared" si="4"/>
        <v>499.46193</v>
      </c>
    </row>
    <row r="33" spans="2:13" x14ac:dyDescent="0.3">
      <c r="B33" s="55">
        <v>802</v>
      </c>
      <c r="C33" s="9" t="s">
        <v>34</v>
      </c>
      <c r="D33" s="42">
        <f>'POLÍTICA COMERCIAL Jan24'!C35*(1+'POLÍTICA COMERCIAL Junho_24'!O$19)</f>
        <v>625.38940000000002</v>
      </c>
      <c r="E33" s="52">
        <f t="shared" si="1"/>
        <v>562.85046</v>
      </c>
      <c r="F33" s="42">
        <f>'POLÍTICA COMERCIAL Jan24'!G35*(1+'POLÍTICA COMERCIAL Junho_24'!O$19)</f>
        <v>657.18940000000009</v>
      </c>
      <c r="G33" s="52">
        <f t="shared" si="2"/>
        <v>624.3299300000001</v>
      </c>
      <c r="H33" s="42">
        <f>'POLÍTICA COMERCIAL Jan24'!I35*(1+'POLÍTICA COMERCIAL Junho_24'!O$19)</f>
        <v>731.38940000000002</v>
      </c>
      <c r="I33" s="52">
        <f t="shared" si="3"/>
        <v>694.81993</v>
      </c>
      <c r="J33" s="42">
        <f>'POLÍTICA COMERCIAL Jan24'!K35*(1+'POLÍTICA COMERCIAL Junho_24'!O$19)</f>
        <v>657.18940000000009</v>
      </c>
      <c r="K33" s="52">
        <f t="shared" si="4"/>
        <v>624.3299300000001</v>
      </c>
    </row>
    <row r="34" spans="2:13" x14ac:dyDescent="0.3">
      <c r="B34" s="55">
        <v>800</v>
      </c>
      <c r="C34" s="9" t="str">
        <f>C12</f>
        <v>FONTE 200 MONO</v>
      </c>
      <c r="D34" s="42">
        <f>'POLÍTICA COMERCIAL Jan24'!C36*(1+'POLÍTICA COMERCIAL Junho_24'!O$19)</f>
        <v>669.57038682500001</v>
      </c>
      <c r="E34" s="52">
        <f t="shared" si="1"/>
        <v>602.61334814250006</v>
      </c>
      <c r="F34" s="42">
        <f>'POLÍTICA COMERCIAL Jan24'!G36*(1+'POLÍTICA COMERCIAL Junho_24'!O$19)</f>
        <v>775.37993000000006</v>
      </c>
      <c r="G34" s="52">
        <f t="shared" si="2"/>
        <v>736.61093349999999</v>
      </c>
      <c r="H34" s="42">
        <f>'POLÍTICA COMERCIAL Jan24'!I36*(1+'POLÍTICA COMERCIAL Junho_24'!O$19)</f>
        <v>815.65993000000003</v>
      </c>
      <c r="I34" s="52">
        <f t="shared" si="3"/>
        <v>774.87693349999995</v>
      </c>
      <c r="J34" s="42">
        <f>'POLÍTICA COMERCIAL Jan24'!K36*(1+'POLÍTICA COMERCIAL Junho_24'!O$19)</f>
        <v>775.37993000000006</v>
      </c>
      <c r="K34" s="52">
        <f t="shared" si="4"/>
        <v>736.61093349999999</v>
      </c>
    </row>
    <row r="35" spans="2:13" x14ac:dyDescent="0.3">
      <c r="B35" s="55" t="s">
        <v>151</v>
      </c>
      <c r="C35" s="9" t="s">
        <v>37</v>
      </c>
      <c r="D35" s="42">
        <f>'POLÍTICA COMERCIAL Jan24'!C38*(1+'POLÍTICA COMERCIAL Junho_24'!O$19)</f>
        <v>58.194000000000003</v>
      </c>
      <c r="E35" s="52">
        <f t="shared" si="1"/>
        <v>52.374600000000001</v>
      </c>
      <c r="F35" s="42">
        <f>'POLÍTICA COMERCIAL Jan24'!G38*(1+'POLÍTICA COMERCIAL Junho_24'!O$19)</f>
        <v>64.861188000000013</v>
      </c>
      <c r="G35" s="52">
        <f t="shared" si="2"/>
        <v>61.618128600000006</v>
      </c>
      <c r="H35" s="42">
        <f>'POLÍTICA COMERCIAL Jan24'!I38*(1+'POLÍTICA COMERCIAL Junho_24'!O$19)</f>
        <v>70.169880000000006</v>
      </c>
      <c r="I35" s="52">
        <f t="shared" si="3"/>
        <v>66.661386000000007</v>
      </c>
      <c r="J35" s="42">
        <f>'POLÍTICA COMERCIAL Jan24'!K38*(1+'POLÍTICA COMERCIAL Junho_24'!O$19)</f>
        <v>64.861188000000013</v>
      </c>
      <c r="K35" s="52">
        <f t="shared" si="4"/>
        <v>61.618128600000006</v>
      </c>
    </row>
    <row r="36" spans="2:13" x14ac:dyDescent="0.3">
      <c r="B36" s="55" t="s">
        <v>150</v>
      </c>
      <c r="C36" s="9" t="s">
        <v>36</v>
      </c>
      <c r="D36" s="42">
        <f>'POLÍTICA COMERCIAL Jan24'!C39*(1+'POLÍTICA COMERCIAL Junho_24'!O$19)</f>
        <v>55.284299999999995</v>
      </c>
      <c r="E36" s="52">
        <f t="shared" si="1"/>
        <v>49.755869999999994</v>
      </c>
      <c r="F36" s="42">
        <f>'POLÍTICA COMERCIAL Jan24'!G39*(1+'POLÍTICA COMERCIAL Junho_24'!O$19)</f>
        <v>61.618128600000006</v>
      </c>
      <c r="G36" s="52">
        <f t="shared" si="2"/>
        <v>58.53722217</v>
      </c>
      <c r="H36" s="42">
        <f>'POLÍTICA COMERCIAL Jan24'!I39*(1+'POLÍTICA COMERCIAL Junho_24'!O$19)</f>
        <v>66.661386000000007</v>
      </c>
      <c r="I36" s="52">
        <f t="shared" si="3"/>
        <v>63.328316700000002</v>
      </c>
      <c r="J36" s="42">
        <f>'POLÍTICA COMERCIAL Jan24'!K39*(1+'POLÍTICA COMERCIAL Junho_24'!O$19)</f>
        <v>61.618128600000006</v>
      </c>
      <c r="K36" s="52">
        <f t="shared" si="4"/>
        <v>58.53722217</v>
      </c>
    </row>
    <row r="37" spans="2:13" x14ac:dyDescent="0.3">
      <c r="B37" s="55">
        <v>681</v>
      </c>
      <c r="C37" s="9" t="s">
        <v>38</v>
      </c>
      <c r="D37" s="42">
        <f>'POLÍTICA COMERCIAL Jan24'!C40*(1+'POLÍTICA COMERCIAL Junho_24'!O$19)</f>
        <v>83.740000000000009</v>
      </c>
      <c r="E37" s="52">
        <f t="shared" si="1"/>
        <v>75.366000000000014</v>
      </c>
      <c r="F37" s="42">
        <f>'POLÍTICA COMERCIAL Jan24'!G40*(1+'POLÍTICA COMERCIAL Junho_24'!O$19)</f>
        <v>96.226800000000011</v>
      </c>
      <c r="G37" s="52">
        <f t="shared" si="2"/>
        <v>91.41546000000001</v>
      </c>
      <c r="H37" s="42">
        <f>'POLÍTICA COMERCIAL Jan24'!I40*(1+'POLÍTICA COMERCIAL Junho_24'!O$19)</f>
        <v>107.03880000000001</v>
      </c>
      <c r="I37" s="52">
        <f t="shared" si="3"/>
        <v>101.68686000000001</v>
      </c>
      <c r="J37" s="42">
        <f>'POLÍTICA COMERCIAL Jan24'!K40*(1+'POLÍTICA COMERCIAL Junho_24'!O$19)</f>
        <v>96.226800000000011</v>
      </c>
      <c r="K37" s="52">
        <f t="shared" si="4"/>
        <v>91.41546000000001</v>
      </c>
    </row>
    <row r="38" spans="2:13" x14ac:dyDescent="0.3">
      <c r="B38" s="55" t="s">
        <v>149</v>
      </c>
      <c r="C38" s="9" t="s">
        <v>39</v>
      </c>
      <c r="D38" s="42">
        <f>'POLÍTICA COMERCIAL Jan24'!C41*(1+'POLÍTICA COMERCIAL Junho_24'!O$19)</f>
        <v>73.14</v>
      </c>
      <c r="E38" s="52">
        <f t="shared" si="1"/>
        <v>65.826000000000008</v>
      </c>
      <c r="F38" s="42">
        <f>'POLÍTICA COMERCIAL Jan24'!G41*(1+'POLÍTICA COMERCIAL Junho_24'!O$19)</f>
        <v>83.634000000000015</v>
      </c>
      <c r="G38" s="52">
        <f t="shared" si="2"/>
        <v>79.452300000000008</v>
      </c>
      <c r="H38" s="42">
        <f>'POLÍTICA COMERCIAL Jan24'!I41*(1+'POLÍTICA COMERCIAL Junho_24'!O$19)</f>
        <v>93.174000000000007</v>
      </c>
      <c r="I38" s="52">
        <f t="shared" si="3"/>
        <v>88.515299999999996</v>
      </c>
      <c r="J38" s="42">
        <f>'POLÍTICA COMERCIAL Jan24'!K41*(1+'POLÍTICA COMERCIAL Junho_24'!O$19)</f>
        <v>83.634000000000015</v>
      </c>
      <c r="K38" s="52">
        <f t="shared" si="4"/>
        <v>79.452300000000008</v>
      </c>
    </row>
    <row r="39" spans="2:13" hidden="1" x14ac:dyDescent="0.3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3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3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3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</v>
      </c>
      <c r="H42" s="28" t="s">
        <v>27</v>
      </c>
      <c r="I42" s="51">
        <v>0.1</v>
      </c>
      <c r="J42" s="28" t="str">
        <f>J21</f>
        <v xml:space="preserve"> MARKETPLACES</v>
      </c>
      <c r="K42" s="51">
        <v>0.1</v>
      </c>
      <c r="L42" s="59"/>
      <c r="M42" s="59"/>
    </row>
    <row r="43" spans="2:13" x14ac:dyDescent="0.3">
      <c r="B43" s="69" t="s">
        <v>157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345.74070324348003</v>
      </c>
      <c r="H43" s="42">
        <f>441.90761032*0.93</f>
        <v>410.9740775976</v>
      </c>
      <c r="I43" s="52">
        <f>H43*(1-I$42)</f>
        <v>369.87666983783998</v>
      </c>
      <c r="J43" s="42">
        <f>413.07133004*0.93</f>
        <v>384.15633693720002</v>
      </c>
      <c r="K43" s="52">
        <f>J43*(1-K$42)</f>
        <v>345.74070324348003</v>
      </c>
    </row>
    <row r="44" spans="2:13" x14ac:dyDescent="0.3">
      <c r="B44" s="70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387.22075995168001</v>
      </c>
      <c r="H44" s="42">
        <f>0.94*486.47493932</f>
        <v>457.28644296079995</v>
      </c>
      <c r="I44" s="52">
        <f t="shared" ref="I44:I46" si="10">H44*(1-I$42)</f>
        <v>411.55779866471994</v>
      </c>
      <c r="J44" s="42">
        <f>0.94*457.70775408</f>
        <v>430.24528883519997</v>
      </c>
      <c r="K44" s="52">
        <f t="shared" ref="K44:K46" si="11">J44*(1-K$42)</f>
        <v>387.22075995168001</v>
      </c>
    </row>
    <row r="45" spans="2:13" x14ac:dyDescent="0.3">
      <c r="B45" s="70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508.03379767296002</v>
      </c>
      <c r="H45" s="42">
        <f>0.95*635.30051448</f>
        <v>603.53548875599995</v>
      </c>
      <c r="I45" s="52">
        <f t="shared" si="10"/>
        <v>543.18193988040002</v>
      </c>
      <c r="J45" s="42">
        <f>0.96*588.00208064</f>
        <v>564.48199741439998</v>
      </c>
      <c r="K45" s="52">
        <f t="shared" si="11"/>
        <v>508.03379767296002</v>
      </c>
    </row>
    <row r="46" spans="2:13" x14ac:dyDescent="0.3">
      <c r="B46" s="71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645.94621431935991</v>
      </c>
      <c r="H46" s="42">
        <f>0.955*789.98477324</f>
        <v>754.43545844419998</v>
      </c>
      <c r="I46" s="52">
        <f t="shared" si="10"/>
        <v>678.99191259977999</v>
      </c>
      <c r="J46" s="42">
        <f>0.96*747.62293324</f>
        <v>717.71801591039991</v>
      </c>
      <c r="K46" s="52">
        <f t="shared" si="11"/>
        <v>645.94621431935991</v>
      </c>
    </row>
    <row r="48" spans="2:13" x14ac:dyDescent="0.3">
      <c r="B48" s="72" t="s">
        <v>158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400.67046000000005</v>
      </c>
      <c r="H48" s="42">
        <f>H31</f>
        <v>466.38940000000002</v>
      </c>
      <c r="I48" s="52">
        <f t="shared" ref="I48:I50" si="12">H48*(1-I$42)</f>
        <v>419.75046000000003</v>
      </c>
      <c r="J48" s="42">
        <f>J31</f>
        <v>445.18940000000003</v>
      </c>
      <c r="K48" s="52">
        <f>J48*(1-K$42)</f>
        <v>400.67046000000005</v>
      </c>
    </row>
    <row r="49" spans="2:11" x14ac:dyDescent="0.3">
      <c r="B49" s="73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473.17446000000007</v>
      </c>
      <c r="H49" s="42">
        <f>H32</f>
        <v>568.14940000000001</v>
      </c>
      <c r="I49" s="52">
        <f t="shared" si="12"/>
        <v>511.33446000000004</v>
      </c>
      <c r="J49" s="42">
        <f>J32</f>
        <v>525.74940000000004</v>
      </c>
      <c r="K49" s="52">
        <f t="shared" ref="K49:K60" si="14">J49*(1-K$42)</f>
        <v>473.17446000000007</v>
      </c>
    </row>
    <row r="50" spans="2:11" x14ac:dyDescent="0.3">
      <c r="B50" s="74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591.47046000000012</v>
      </c>
      <c r="H50" s="42">
        <f>H33</f>
        <v>731.38940000000002</v>
      </c>
      <c r="I50" s="52">
        <f t="shared" si="12"/>
        <v>658.25046000000009</v>
      </c>
      <c r="J50" s="42">
        <f>J33</f>
        <v>657.18940000000009</v>
      </c>
      <c r="K50" s="52">
        <f t="shared" si="14"/>
        <v>591.47046000000012</v>
      </c>
    </row>
    <row r="51" spans="2:11" x14ac:dyDescent="0.3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3">
      <c r="B52" s="75" t="s">
        <v>159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381.59046000000006</v>
      </c>
      <c r="H52" s="42">
        <f>H22</f>
        <v>455.78940000000006</v>
      </c>
      <c r="I52" s="52">
        <f t="shared" ref="I52:I56" si="15">H52*(1-I$42)</f>
        <v>410.21046000000007</v>
      </c>
      <c r="J52" s="42">
        <f>J22</f>
        <v>423.98940000000005</v>
      </c>
      <c r="K52" s="52">
        <f t="shared" si="14"/>
        <v>381.59046000000006</v>
      </c>
    </row>
    <row r="53" spans="2:11" x14ac:dyDescent="0.3">
      <c r="B53" s="73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419.75046000000003</v>
      </c>
      <c r="H53" s="42">
        <f>H23</f>
        <v>498.18940000000003</v>
      </c>
      <c r="I53" s="52">
        <f t="shared" si="15"/>
        <v>448.37046000000004</v>
      </c>
      <c r="J53" s="42">
        <f>J23</f>
        <v>466.38940000000002</v>
      </c>
      <c r="K53" s="52">
        <f t="shared" si="14"/>
        <v>419.75046000000003</v>
      </c>
    </row>
    <row r="54" spans="2:11" x14ac:dyDescent="0.3">
      <c r="B54" s="73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467.45046000000002</v>
      </c>
      <c r="H54" s="42">
        <f>H25</f>
        <v>551.18940000000009</v>
      </c>
      <c r="I54" s="52">
        <f t="shared" si="15"/>
        <v>496.07046000000008</v>
      </c>
      <c r="J54" s="42">
        <f>J25</f>
        <v>519.38940000000002</v>
      </c>
      <c r="K54" s="52">
        <f t="shared" si="14"/>
        <v>467.45046000000002</v>
      </c>
    </row>
    <row r="55" spans="2:11" x14ac:dyDescent="0.3">
      <c r="B55" s="73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601.01045999999997</v>
      </c>
      <c r="H55" s="42">
        <f>H27</f>
        <v>710.18940000000009</v>
      </c>
      <c r="I55" s="52">
        <f t="shared" si="15"/>
        <v>639.17046000000005</v>
      </c>
      <c r="J55" s="42">
        <f>J27</f>
        <v>667.7894</v>
      </c>
      <c r="K55" s="52">
        <f t="shared" si="14"/>
        <v>601.01045999999997</v>
      </c>
    </row>
    <row r="56" spans="2:11" x14ac:dyDescent="0.3">
      <c r="B56" s="74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763.19046000000003</v>
      </c>
      <c r="H56" s="42">
        <f>H29</f>
        <v>890.38940000000002</v>
      </c>
      <c r="I56" s="52">
        <f t="shared" si="15"/>
        <v>801.35046</v>
      </c>
      <c r="J56" s="42">
        <f>J29</f>
        <v>847.98940000000005</v>
      </c>
      <c r="K56" s="52">
        <f t="shared" si="14"/>
        <v>763.19046000000003</v>
      </c>
    </row>
    <row r="58" spans="2:11" x14ac:dyDescent="0.3">
      <c r="B58" s="69" t="s">
        <v>160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345.74070324348003</v>
      </c>
      <c r="H58" s="42">
        <f>H43</f>
        <v>410.9740775976</v>
      </c>
      <c r="I58" s="52">
        <f t="shared" ref="I58:I60" si="17">H58*(1-I$42)</f>
        <v>369.87666983783998</v>
      </c>
      <c r="J58" s="42">
        <f>J43</f>
        <v>384.15633693720002</v>
      </c>
      <c r="K58" s="52">
        <f t="shared" si="14"/>
        <v>345.74070324348003</v>
      </c>
    </row>
    <row r="59" spans="2:11" x14ac:dyDescent="0.3">
      <c r="B59" s="73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400.67046000000005</v>
      </c>
      <c r="H59" s="42">
        <f>H48</f>
        <v>466.38940000000002</v>
      </c>
      <c r="I59" s="52">
        <f t="shared" si="17"/>
        <v>419.75046000000003</v>
      </c>
      <c r="J59" s="42">
        <f>J48</f>
        <v>445.18940000000003</v>
      </c>
      <c r="K59" s="52">
        <f t="shared" si="14"/>
        <v>400.67046000000005</v>
      </c>
    </row>
    <row r="60" spans="2:11" x14ac:dyDescent="0.3">
      <c r="B60" s="74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601.01045999999997</v>
      </c>
      <c r="H60" s="42">
        <f>H55</f>
        <v>710.18940000000009</v>
      </c>
      <c r="I60" s="52">
        <f t="shared" si="17"/>
        <v>639.17046000000005</v>
      </c>
      <c r="J60" s="42">
        <f>J55</f>
        <v>667.7894</v>
      </c>
      <c r="K60" s="52">
        <f t="shared" si="14"/>
        <v>601.01045999999997</v>
      </c>
    </row>
  </sheetData>
  <mergeCells count="11">
    <mergeCell ref="B43:B46"/>
    <mergeCell ref="B48:B50"/>
    <mergeCell ref="B52:B56"/>
    <mergeCell ref="B58:B60"/>
    <mergeCell ref="C19:K19"/>
    <mergeCell ref="C20:D20"/>
    <mergeCell ref="C41:D41"/>
    <mergeCell ref="E20:E21"/>
    <mergeCell ref="G20:G21"/>
    <mergeCell ref="I20:I21"/>
    <mergeCell ref="K20:K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39 H22:H39 J22:J39 F43:F46 H43:H46 J43:J46 J48:J50 J53:J56 H48:H50 H53:H56 E51:I52 E57:I60 E53:G56 I53:I56 E48:G50 I48:I50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showGridLines="0" zoomScale="80" zoomScaleNormal="80" workbookViewId="0">
      <selection activeCell="C23" sqref="C23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10" width="10.88671875" bestFit="1" customWidth="1"/>
  </cols>
  <sheetData>
    <row r="1" spans="2:14" ht="4.5" customHeight="1" x14ac:dyDescent="0.3"/>
    <row r="2" spans="2:14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</row>
    <row r="4" spans="2:14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</row>
    <row r="5" spans="2:14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14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14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J8" s="11"/>
      <c r="K8" s="10"/>
    </row>
    <row r="9" spans="2:14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3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3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3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3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7" ht="6" customHeight="1" x14ac:dyDescent="0.3"/>
    <row r="18" spans="2:7" ht="12.75" customHeight="1" x14ac:dyDescent="0.3">
      <c r="B18" s="12" t="s">
        <v>40</v>
      </c>
      <c r="C18" s="13">
        <v>0.1</v>
      </c>
    </row>
    <row r="19" spans="2:7" x14ac:dyDescent="0.3">
      <c r="B19" s="86" t="s">
        <v>43</v>
      </c>
      <c r="C19" s="87"/>
      <c r="D19" s="87"/>
      <c r="E19" s="87"/>
      <c r="F19" s="87"/>
      <c r="G19" s="88"/>
    </row>
    <row r="20" spans="2:7" x14ac:dyDescent="0.3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7" x14ac:dyDescent="0.3">
      <c r="B21" s="9" t="s">
        <v>28</v>
      </c>
      <c r="C21" s="7">
        <f t="shared" ref="C21:C30" si="1">C3*(1-C$18)</f>
        <v>305.10000000000002</v>
      </c>
      <c r="D21" s="7">
        <f t="shared" ref="D21:D30" si="2">D3*(1-C$18)</f>
        <v>332.1</v>
      </c>
      <c r="E21" s="7">
        <f t="shared" ref="E21:E30" si="3">E3*(1-C$18)</f>
        <v>332.1</v>
      </c>
      <c r="F21" s="7">
        <f t="shared" ref="F21:F30" si="4">F3*(1-C$18)</f>
        <v>350.1</v>
      </c>
      <c r="G21" s="7">
        <f t="shared" ref="G21:G30" si="5">G3*(1-C$18)</f>
        <v>341.1</v>
      </c>
    </row>
    <row r="22" spans="2:7" x14ac:dyDescent="0.3">
      <c r="B22" s="9" t="s">
        <v>29</v>
      </c>
      <c r="C22" s="7">
        <f t="shared" si="1"/>
        <v>341.1</v>
      </c>
      <c r="D22" s="7">
        <f t="shared" si="2"/>
        <v>368.1</v>
      </c>
      <c r="E22" s="7">
        <f t="shared" si="3"/>
        <v>368.1</v>
      </c>
      <c r="F22" s="7">
        <f t="shared" si="4"/>
        <v>386.1</v>
      </c>
      <c r="G22" s="7">
        <f t="shared" si="5"/>
        <v>377.1</v>
      </c>
    </row>
    <row r="23" spans="2:7" x14ac:dyDescent="0.3">
      <c r="B23" s="9" t="s">
        <v>30</v>
      </c>
      <c r="C23" s="7">
        <f t="shared" si="1"/>
        <v>359.1</v>
      </c>
      <c r="D23" s="7">
        <f t="shared" si="2"/>
        <v>404.1</v>
      </c>
      <c r="E23" s="7">
        <f t="shared" si="3"/>
        <v>404.1</v>
      </c>
      <c r="F23" s="7">
        <f t="shared" si="4"/>
        <v>426.6</v>
      </c>
      <c r="G23" s="7">
        <f t="shared" si="5"/>
        <v>413.1</v>
      </c>
    </row>
    <row r="24" spans="2:7" x14ac:dyDescent="0.3">
      <c r="B24" s="9" t="s">
        <v>31</v>
      </c>
      <c r="C24" s="7">
        <f t="shared" si="1"/>
        <v>494.1</v>
      </c>
      <c r="D24" s="7">
        <f t="shared" si="2"/>
        <v>548.1</v>
      </c>
      <c r="E24" s="7">
        <f t="shared" si="3"/>
        <v>539.1</v>
      </c>
      <c r="F24" s="7">
        <f t="shared" si="4"/>
        <v>566.1</v>
      </c>
      <c r="G24" s="7">
        <f t="shared" si="5"/>
        <v>548.1</v>
      </c>
    </row>
    <row r="25" spans="2:7" x14ac:dyDescent="0.3">
      <c r="B25" s="9" t="s">
        <v>32</v>
      </c>
      <c r="C25" s="7">
        <f t="shared" si="1"/>
        <v>566.1</v>
      </c>
      <c r="D25" s="7">
        <f t="shared" si="2"/>
        <v>620.1</v>
      </c>
      <c r="E25" s="7">
        <f t="shared" si="3"/>
        <v>611.1</v>
      </c>
      <c r="F25" s="7">
        <f t="shared" si="4"/>
        <v>647.1</v>
      </c>
      <c r="G25" s="7">
        <f t="shared" si="5"/>
        <v>638.1</v>
      </c>
    </row>
    <row r="26" spans="2:7" x14ac:dyDescent="0.3">
      <c r="B26" s="9" t="s">
        <v>33</v>
      </c>
      <c r="C26" s="7">
        <f t="shared" si="1"/>
        <v>656.1</v>
      </c>
      <c r="D26" s="7">
        <f t="shared" si="2"/>
        <v>701.1</v>
      </c>
      <c r="E26" s="7">
        <f t="shared" si="3"/>
        <v>692.1</v>
      </c>
      <c r="F26" s="7">
        <f t="shared" si="4"/>
        <v>737.1</v>
      </c>
      <c r="G26" s="7">
        <f t="shared" si="5"/>
        <v>719.1</v>
      </c>
    </row>
    <row r="27" spans="2:7" x14ac:dyDescent="0.3">
      <c r="B27" s="9" t="str">
        <f>B9</f>
        <v>FONTE 90 BOB</v>
      </c>
      <c r="C27" s="7">
        <f t="shared" si="1"/>
        <v>341.1</v>
      </c>
      <c r="D27" s="7">
        <f t="shared" si="2"/>
        <v>368.1</v>
      </c>
      <c r="E27" s="7">
        <f t="shared" si="3"/>
        <v>368.1</v>
      </c>
      <c r="F27" s="7">
        <f t="shared" si="4"/>
        <v>386.1</v>
      </c>
      <c r="G27" s="7">
        <f t="shared" si="5"/>
        <v>377.1</v>
      </c>
    </row>
    <row r="28" spans="2:7" x14ac:dyDescent="0.3">
      <c r="B28" s="9" t="s">
        <v>35</v>
      </c>
      <c r="C28" s="7">
        <f t="shared" si="1"/>
        <v>395.1</v>
      </c>
      <c r="D28" s="7">
        <f t="shared" si="2"/>
        <v>440.1</v>
      </c>
      <c r="E28" s="7">
        <f t="shared" si="3"/>
        <v>431.1</v>
      </c>
      <c r="F28" s="7">
        <f t="shared" si="4"/>
        <v>458.1</v>
      </c>
      <c r="G28" s="7">
        <f t="shared" si="5"/>
        <v>449.1</v>
      </c>
    </row>
    <row r="29" spans="2:7" x14ac:dyDescent="0.3">
      <c r="B29" s="9" t="s">
        <v>34</v>
      </c>
      <c r="C29" s="7">
        <f t="shared" si="1"/>
        <v>494.1</v>
      </c>
      <c r="D29" s="7">
        <f t="shared" si="2"/>
        <v>539.1</v>
      </c>
      <c r="E29" s="7">
        <f t="shared" si="3"/>
        <v>539.1</v>
      </c>
      <c r="F29" s="7">
        <f t="shared" si="4"/>
        <v>575.1</v>
      </c>
      <c r="G29" s="7">
        <f t="shared" si="5"/>
        <v>548.1</v>
      </c>
    </row>
    <row r="30" spans="2:7" x14ac:dyDescent="0.3">
      <c r="B30" s="9" t="str">
        <f>B12</f>
        <v>FONTE 200 MONO</v>
      </c>
      <c r="C30" s="7">
        <f t="shared" si="1"/>
        <v>622.80000000000007</v>
      </c>
      <c r="D30" s="7">
        <f t="shared" si="2"/>
        <v>666</v>
      </c>
      <c r="E30" s="7">
        <f t="shared" si="3"/>
        <v>657</v>
      </c>
      <c r="F30" s="7">
        <f t="shared" si="4"/>
        <v>700.2</v>
      </c>
      <c r="G30" s="7">
        <f t="shared" si="5"/>
        <v>683.1</v>
      </c>
    </row>
    <row r="31" spans="2:7" x14ac:dyDescent="0.3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7" x14ac:dyDescent="0.3">
      <c r="B32" s="9" t="s">
        <v>37</v>
      </c>
      <c r="C32" s="7">
        <f>C14*(1-C$18)</f>
        <v>49.41</v>
      </c>
      <c r="D32" s="7">
        <f>D14*(1-C$18)</f>
        <v>49.41</v>
      </c>
      <c r="E32" s="7">
        <f>E14*(1-C$18)</f>
        <v>53.991</v>
      </c>
      <c r="F32" s="7">
        <f>F14*(1-C$18)</f>
        <v>58.410000000000004</v>
      </c>
      <c r="G32" s="7">
        <f>G14*(1-C$18)</f>
        <v>53.991</v>
      </c>
    </row>
    <row r="33" spans="2:7" x14ac:dyDescent="0.3">
      <c r="B33" s="9" t="s">
        <v>38</v>
      </c>
      <c r="C33" s="7">
        <f>C15*(1-C$18)</f>
        <v>71.100000000000009</v>
      </c>
      <c r="D33" s="7">
        <f>D15*(1-C$18)</f>
        <v>71.100000000000009</v>
      </c>
      <c r="E33" s="7">
        <f>E15*(1-C$18)</f>
        <v>80.100000000000009</v>
      </c>
      <c r="F33" s="7">
        <f>F15*(1-C$18)</f>
        <v>89.100000000000009</v>
      </c>
      <c r="G33" s="7">
        <f>G15*(1-C$18)</f>
        <v>80.100000000000009</v>
      </c>
    </row>
    <row r="34" spans="2:7" x14ac:dyDescent="0.3">
      <c r="B34" s="9" t="s">
        <v>39</v>
      </c>
      <c r="C34" s="7">
        <f>C16*(1-C$18)</f>
        <v>62.1</v>
      </c>
      <c r="D34" s="7">
        <f>D16*(1-C$18)</f>
        <v>62.1</v>
      </c>
      <c r="E34" s="7">
        <f>E16*(1-C$18)</f>
        <v>71.010000000000005</v>
      </c>
      <c r="F34" s="7">
        <f>F16*(1-C$18)</f>
        <v>80.010000000000005</v>
      </c>
      <c r="G34" s="7">
        <f>G16*(1-C$18)</f>
        <v>71.100000000000009</v>
      </c>
    </row>
  </sheetData>
  <mergeCells count="1">
    <mergeCell ref="B19:G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showGridLines="0" topLeftCell="A20" zoomScale="80" zoomScaleNormal="80" workbookViewId="0">
      <selection activeCell="C44" sqref="C44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10" width="10.88671875" bestFit="1" customWidth="1"/>
  </cols>
  <sheetData>
    <row r="1" spans="2:14" ht="4.5" customHeight="1" x14ac:dyDescent="0.3"/>
    <row r="2" spans="2:14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  <c r="J12" s="15"/>
    </row>
    <row r="13" spans="2:14" x14ac:dyDescent="0.3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3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3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3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9" ht="6" customHeight="1" x14ac:dyDescent="0.3"/>
    <row r="18" spans="2:9" ht="12.75" customHeight="1" x14ac:dyDescent="0.3">
      <c r="B18" s="12" t="s">
        <v>50</v>
      </c>
      <c r="C18" s="13">
        <v>0.02</v>
      </c>
    </row>
    <row r="19" spans="2:9" x14ac:dyDescent="0.3">
      <c r="B19" s="86" t="s">
        <v>58</v>
      </c>
      <c r="C19" s="87"/>
      <c r="D19" s="87"/>
      <c r="E19" s="87"/>
      <c r="F19" s="87"/>
      <c r="G19" s="88"/>
    </row>
    <row r="20" spans="2:9" x14ac:dyDescent="0.3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9" x14ac:dyDescent="0.3">
      <c r="B21" s="9" t="s">
        <v>28</v>
      </c>
      <c r="C21" s="7">
        <f>C3*(1+C$18)</f>
        <v>345.78000000000003</v>
      </c>
      <c r="D21" s="7">
        <f>D3*(1+C$18)</f>
        <v>376.38</v>
      </c>
      <c r="E21" s="7">
        <f>E3*(1+C$18)</f>
        <v>376.38</v>
      </c>
      <c r="F21" s="7">
        <f>F3*(1+C$18)</f>
        <v>396.78000000000003</v>
      </c>
      <c r="G21" s="7">
        <f>G3*(1+C$18)</f>
        <v>386.58</v>
      </c>
    </row>
    <row r="22" spans="2:9" x14ac:dyDescent="0.3">
      <c r="B22" s="9" t="s">
        <v>29</v>
      </c>
      <c r="C22" s="7">
        <f t="shared" ref="C22:C30" si="1">C4*(1+C$18)</f>
        <v>386.58</v>
      </c>
      <c r="D22" s="7">
        <f t="shared" ref="D22:D30" si="2">D4*(1+C$18)</f>
        <v>417.18</v>
      </c>
      <c r="E22" s="7">
        <f t="shared" ref="E22:E30" si="3">E4*(1+C$18)</f>
        <v>417.18</v>
      </c>
      <c r="F22" s="7">
        <f t="shared" ref="F22:F30" si="4">F4*(1+C$18)</f>
        <v>437.58</v>
      </c>
      <c r="G22" s="7">
        <f t="shared" ref="G22:G30" si="5">G4*(1+C$18)</f>
        <v>427.38</v>
      </c>
    </row>
    <row r="23" spans="2:9" x14ac:dyDescent="0.3">
      <c r="B23" s="9" t="s">
        <v>30</v>
      </c>
      <c r="C23" s="7">
        <f t="shared" si="1"/>
        <v>406.98</v>
      </c>
      <c r="D23" s="7">
        <f t="shared" si="2"/>
        <v>457.98</v>
      </c>
      <c r="E23" s="7">
        <f t="shared" si="3"/>
        <v>457.98</v>
      </c>
      <c r="F23" s="7">
        <f t="shared" si="4"/>
        <v>483.48</v>
      </c>
      <c r="G23" s="7">
        <f t="shared" si="5"/>
        <v>468.18</v>
      </c>
    </row>
    <row r="24" spans="2:9" x14ac:dyDescent="0.3">
      <c r="B24" s="9" t="s">
        <v>31</v>
      </c>
      <c r="C24" s="7">
        <f t="shared" si="1"/>
        <v>559.98</v>
      </c>
      <c r="D24" s="7">
        <f t="shared" si="2"/>
        <v>621.18000000000006</v>
      </c>
      <c r="E24" s="7">
        <f t="shared" si="3"/>
        <v>610.98</v>
      </c>
      <c r="F24" s="7">
        <f t="shared" si="4"/>
        <v>641.58000000000004</v>
      </c>
      <c r="G24" s="7">
        <f t="shared" si="5"/>
        <v>621.18000000000006</v>
      </c>
      <c r="I24" s="15"/>
    </row>
    <row r="25" spans="2:9" x14ac:dyDescent="0.3">
      <c r="B25" s="9" t="s">
        <v>32</v>
      </c>
      <c r="C25" s="7">
        <f t="shared" si="1"/>
        <v>641.58000000000004</v>
      </c>
      <c r="D25" s="7">
        <f t="shared" si="2"/>
        <v>702.78</v>
      </c>
      <c r="E25" s="7">
        <f t="shared" si="3"/>
        <v>692.58</v>
      </c>
      <c r="F25" s="7">
        <f t="shared" si="4"/>
        <v>733.38</v>
      </c>
      <c r="G25" s="7">
        <f t="shared" si="5"/>
        <v>723.18000000000006</v>
      </c>
    </row>
    <row r="26" spans="2:9" x14ac:dyDescent="0.3">
      <c r="B26" s="9" t="s">
        <v>33</v>
      </c>
      <c r="C26" s="7">
        <f t="shared" si="1"/>
        <v>743.58</v>
      </c>
      <c r="D26" s="7">
        <f t="shared" si="2"/>
        <v>794.58</v>
      </c>
      <c r="E26" s="7">
        <f t="shared" si="3"/>
        <v>784.38</v>
      </c>
      <c r="F26" s="7">
        <f t="shared" si="4"/>
        <v>835.38</v>
      </c>
      <c r="G26" s="7">
        <f t="shared" si="5"/>
        <v>814.98</v>
      </c>
    </row>
    <row r="27" spans="2:9" x14ac:dyDescent="0.3">
      <c r="B27" s="9" t="str">
        <f>B9</f>
        <v>FONTE 90 BOB</v>
      </c>
      <c r="C27" s="7">
        <f t="shared" si="1"/>
        <v>386.58</v>
      </c>
      <c r="D27" s="7">
        <f t="shared" si="2"/>
        <v>417.18</v>
      </c>
      <c r="E27" s="7">
        <f t="shared" si="3"/>
        <v>417.18</v>
      </c>
      <c r="F27" s="7">
        <f t="shared" si="4"/>
        <v>437.58</v>
      </c>
      <c r="G27" s="7">
        <f t="shared" si="5"/>
        <v>427.38</v>
      </c>
    </row>
    <row r="28" spans="2:9" x14ac:dyDescent="0.3">
      <c r="B28" s="9" t="s">
        <v>35</v>
      </c>
      <c r="C28" s="7">
        <f t="shared" si="1"/>
        <v>447.78000000000003</v>
      </c>
      <c r="D28" s="7">
        <f t="shared" si="2"/>
        <v>498.78000000000003</v>
      </c>
      <c r="E28" s="7">
        <f t="shared" si="3"/>
        <v>488.58</v>
      </c>
      <c r="F28" s="7">
        <f t="shared" si="4"/>
        <v>519.18000000000006</v>
      </c>
      <c r="G28" s="7">
        <f t="shared" si="5"/>
        <v>508.98</v>
      </c>
    </row>
    <row r="29" spans="2:9" x14ac:dyDescent="0.3">
      <c r="B29" s="9" t="s">
        <v>34</v>
      </c>
      <c r="C29" s="7">
        <f t="shared" si="1"/>
        <v>559.98</v>
      </c>
      <c r="D29" s="7">
        <f t="shared" si="2"/>
        <v>610.98</v>
      </c>
      <c r="E29" s="7">
        <f t="shared" si="3"/>
        <v>610.98</v>
      </c>
      <c r="F29" s="7">
        <f t="shared" si="4"/>
        <v>651.78</v>
      </c>
      <c r="G29" s="7">
        <f t="shared" si="5"/>
        <v>621.18000000000006</v>
      </c>
    </row>
    <row r="30" spans="2:9" x14ac:dyDescent="0.3">
      <c r="B30" s="9" t="str">
        <f>B12</f>
        <v>FONTE 200 MONO</v>
      </c>
      <c r="C30" s="7">
        <f t="shared" si="1"/>
        <v>705.84</v>
      </c>
      <c r="D30" s="7">
        <f t="shared" si="2"/>
        <v>754.80000000000007</v>
      </c>
      <c r="E30" s="7">
        <f t="shared" si="3"/>
        <v>744.6</v>
      </c>
      <c r="F30" s="7">
        <f t="shared" si="4"/>
        <v>793.56000000000006</v>
      </c>
      <c r="G30" s="7">
        <f t="shared" si="5"/>
        <v>774.18000000000006</v>
      </c>
    </row>
    <row r="31" spans="2:9" hidden="1" x14ac:dyDescent="0.3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9" x14ac:dyDescent="0.3">
      <c r="B32" s="9" t="s">
        <v>37</v>
      </c>
      <c r="C32" s="7">
        <v>54.9</v>
      </c>
      <c r="D32" s="7">
        <v>54.9</v>
      </c>
      <c r="E32" s="7">
        <v>59.99</v>
      </c>
      <c r="F32" s="7">
        <v>64.900000000000006</v>
      </c>
      <c r="G32" s="7">
        <v>59.99</v>
      </c>
    </row>
    <row r="33" spans="2:11" x14ac:dyDescent="0.3">
      <c r="B33" s="9" t="s">
        <v>38</v>
      </c>
      <c r="C33" s="7">
        <v>79</v>
      </c>
      <c r="D33" s="7">
        <v>79</v>
      </c>
      <c r="E33" s="7">
        <v>89</v>
      </c>
      <c r="F33" s="7">
        <v>99</v>
      </c>
      <c r="G33" s="7">
        <v>89</v>
      </c>
    </row>
    <row r="34" spans="2:11" x14ac:dyDescent="0.3">
      <c r="B34" s="9" t="s">
        <v>39</v>
      </c>
      <c r="C34" s="7">
        <v>69</v>
      </c>
      <c r="D34" s="7">
        <v>69</v>
      </c>
      <c r="E34" s="7">
        <v>78.900000000000006</v>
      </c>
      <c r="F34" s="7">
        <v>88.9</v>
      </c>
      <c r="G34" s="7">
        <v>79</v>
      </c>
    </row>
    <row r="36" spans="2:11" x14ac:dyDescent="0.3">
      <c r="B36" s="12" t="s">
        <v>51</v>
      </c>
      <c r="C36" s="13">
        <v>0.1</v>
      </c>
      <c r="E36" s="15">
        <f>E39*0.95</f>
        <v>321.80489999999998</v>
      </c>
      <c r="F36" s="15">
        <f>F39*0.95</f>
        <v>339.24690000000004</v>
      </c>
    </row>
    <row r="37" spans="2:11" x14ac:dyDescent="0.3">
      <c r="B37" s="86" t="s">
        <v>63</v>
      </c>
      <c r="C37" s="87"/>
      <c r="D37" s="87"/>
      <c r="E37" s="87"/>
      <c r="F37" s="87"/>
      <c r="G37" s="88"/>
    </row>
    <row r="38" spans="2:11" x14ac:dyDescent="0.3">
      <c r="B38" s="8" t="s">
        <v>23</v>
      </c>
      <c r="C38" s="8" t="s">
        <v>24</v>
      </c>
      <c r="D38" s="8" t="s">
        <v>25</v>
      </c>
      <c r="E38" s="8" t="s">
        <v>26</v>
      </c>
      <c r="F38" s="8" t="s">
        <v>27</v>
      </c>
      <c r="G38" s="8" t="str">
        <f>G20</f>
        <v xml:space="preserve"> MARKETPLACES</v>
      </c>
    </row>
    <row r="39" spans="2:11" x14ac:dyDescent="0.3">
      <c r="B39" s="17" t="s">
        <v>28</v>
      </c>
      <c r="C39" s="7">
        <f>C21*(1-C$36)</f>
        <v>311.20200000000006</v>
      </c>
      <c r="D39" s="7">
        <f>D21*(1-C$36)</f>
        <v>338.74200000000002</v>
      </c>
      <c r="E39" s="7">
        <f>E21*(1-C$36)</f>
        <v>338.74200000000002</v>
      </c>
      <c r="F39" s="7">
        <f>F21*(1-C$36)</f>
        <v>357.10200000000003</v>
      </c>
      <c r="G39" s="7">
        <f>G21*(1-C$36)</f>
        <v>347.92199999999997</v>
      </c>
    </row>
    <row r="40" spans="2:11" x14ac:dyDescent="0.3">
      <c r="B40" s="17" t="s">
        <v>29</v>
      </c>
      <c r="C40" s="7">
        <f t="shared" ref="C40:C52" si="6">C22*(1-C$36)</f>
        <v>347.92199999999997</v>
      </c>
      <c r="D40" s="7">
        <f t="shared" ref="D40:D52" si="7">D22*(1-C$36)</f>
        <v>375.46199999999999</v>
      </c>
      <c r="E40" s="7">
        <f t="shared" ref="E40:E52" si="8">E22*(1-C$36)</f>
        <v>375.46199999999999</v>
      </c>
      <c r="F40" s="7">
        <f t="shared" ref="F40:F52" si="9">F22*(1-C$36)</f>
        <v>393.822</v>
      </c>
      <c r="G40" s="7">
        <f t="shared" ref="G40:G52" si="10">G22*(1-C$36)</f>
        <v>384.642</v>
      </c>
    </row>
    <row r="41" spans="2:11" x14ac:dyDescent="0.3">
      <c r="B41" s="17" t="s">
        <v>30</v>
      </c>
      <c r="C41" s="7">
        <f t="shared" si="6"/>
        <v>366.28200000000004</v>
      </c>
      <c r="D41" s="7">
        <f t="shared" si="7"/>
        <v>412.18200000000002</v>
      </c>
      <c r="E41" s="7">
        <f t="shared" si="8"/>
        <v>412.18200000000002</v>
      </c>
      <c r="F41" s="7">
        <f t="shared" si="9"/>
        <v>435.13200000000001</v>
      </c>
      <c r="G41" s="7">
        <f t="shared" si="10"/>
        <v>421.36200000000002</v>
      </c>
    </row>
    <row r="42" spans="2:11" x14ac:dyDescent="0.3">
      <c r="B42" s="17" t="s">
        <v>31</v>
      </c>
      <c r="C42" s="7">
        <f t="shared" si="6"/>
        <v>503.98200000000003</v>
      </c>
      <c r="D42" s="7">
        <f t="shared" si="7"/>
        <v>559.06200000000013</v>
      </c>
      <c r="E42" s="7">
        <f t="shared" si="8"/>
        <v>549.88200000000006</v>
      </c>
      <c r="F42" s="7">
        <f t="shared" si="9"/>
        <v>577.42200000000003</v>
      </c>
      <c r="G42" s="7">
        <f t="shared" si="10"/>
        <v>559.06200000000013</v>
      </c>
      <c r="I42" s="20"/>
      <c r="J42" s="18"/>
      <c r="K42" s="19"/>
    </row>
    <row r="43" spans="2:11" x14ac:dyDescent="0.3">
      <c r="B43" s="17" t="s">
        <v>32</v>
      </c>
      <c r="C43" s="7">
        <f t="shared" si="6"/>
        <v>577.42200000000003</v>
      </c>
      <c r="D43" s="7">
        <f t="shared" si="7"/>
        <v>632.50199999999995</v>
      </c>
      <c r="E43" s="7">
        <f t="shared" si="8"/>
        <v>623.322</v>
      </c>
      <c r="F43" s="7">
        <f t="shared" si="9"/>
        <v>660.04200000000003</v>
      </c>
      <c r="G43" s="7">
        <f t="shared" si="10"/>
        <v>650.86200000000008</v>
      </c>
      <c r="I43" s="20"/>
      <c r="J43" s="18"/>
      <c r="K43" s="19"/>
    </row>
    <row r="44" spans="2:11" x14ac:dyDescent="0.3">
      <c r="B44" s="17" t="s">
        <v>33</v>
      </c>
      <c r="C44" s="7">
        <f t="shared" si="6"/>
        <v>669.22200000000009</v>
      </c>
      <c r="D44" s="7">
        <f t="shared" si="7"/>
        <v>715.12200000000007</v>
      </c>
      <c r="E44" s="7">
        <f t="shared" si="8"/>
        <v>705.94200000000001</v>
      </c>
      <c r="F44" s="7">
        <f t="shared" si="9"/>
        <v>751.84199999999998</v>
      </c>
      <c r="G44" s="7">
        <f t="shared" si="10"/>
        <v>733.48200000000008</v>
      </c>
      <c r="I44" s="20"/>
    </row>
    <row r="45" spans="2:11" x14ac:dyDescent="0.3">
      <c r="B45" s="17" t="str">
        <f>B27</f>
        <v>FONTE 90 BOB</v>
      </c>
      <c r="C45" s="7">
        <f t="shared" si="6"/>
        <v>347.92199999999997</v>
      </c>
      <c r="D45" s="7">
        <f t="shared" si="7"/>
        <v>375.46199999999999</v>
      </c>
      <c r="E45" s="7">
        <f t="shared" si="8"/>
        <v>375.46199999999999</v>
      </c>
      <c r="F45" s="7">
        <f t="shared" si="9"/>
        <v>393.822</v>
      </c>
      <c r="G45" s="7">
        <f t="shared" si="10"/>
        <v>384.642</v>
      </c>
      <c r="I45" s="20"/>
    </row>
    <row r="46" spans="2:11" x14ac:dyDescent="0.3">
      <c r="B46" s="17" t="s">
        <v>35</v>
      </c>
      <c r="C46" s="7">
        <f t="shared" si="6"/>
        <v>403.00200000000001</v>
      </c>
      <c r="D46" s="7">
        <f t="shared" si="7"/>
        <v>448.90200000000004</v>
      </c>
      <c r="E46" s="7">
        <f t="shared" si="8"/>
        <v>439.72199999999998</v>
      </c>
      <c r="F46" s="7">
        <f t="shared" si="9"/>
        <v>467.26200000000006</v>
      </c>
      <c r="G46" s="7">
        <f t="shared" si="10"/>
        <v>458.08200000000005</v>
      </c>
      <c r="I46" s="20"/>
    </row>
    <row r="47" spans="2:11" x14ac:dyDescent="0.3">
      <c r="B47" s="17" t="s">
        <v>34</v>
      </c>
      <c r="C47" s="7">
        <f t="shared" si="6"/>
        <v>503.98200000000003</v>
      </c>
      <c r="D47" s="7">
        <f t="shared" si="7"/>
        <v>549.88200000000006</v>
      </c>
      <c r="E47" s="7">
        <f t="shared" si="8"/>
        <v>549.88200000000006</v>
      </c>
      <c r="F47" s="7">
        <f t="shared" si="9"/>
        <v>586.60199999999998</v>
      </c>
      <c r="G47" s="7">
        <f t="shared" si="10"/>
        <v>559.06200000000013</v>
      </c>
      <c r="I47" s="20"/>
    </row>
    <row r="48" spans="2:11" x14ac:dyDescent="0.3">
      <c r="B48" s="17" t="str">
        <f>B30</f>
        <v>FONTE 200 MONO</v>
      </c>
      <c r="C48" s="7">
        <f t="shared" si="6"/>
        <v>635.25600000000009</v>
      </c>
      <c r="D48" s="7">
        <f t="shared" si="7"/>
        <v>679.32</v>
      </c>
      <c r="E48" s="7">
        <f t="shared" si="8"/>
        <v>670.14</v>
      </c>
      <c r="F48" s="7">
        <f t="shared" si="9"/>
        <v>714.20400000000006</v>
      </c>
      <c r="G48" s="7">
        <f t="shared" si="10"/>
        <v>696.76200000000006</v>
      </c>
    </row>
    <row r="49" spans="2:7" hidden="1" x14ac:dyDescent="0.3">
      <c r="B49" s="17" t="s">
        <v>36</v>
      </c>
      <c r="C49" s="14" t="s">
        <v>46</v>
      </c>
      <c r="D49" s="14" t="s">
        <v>46</v>
      </c>
      <c r="E49" s="14" t="s">
        <v>46</v>
      </c>
      <c r="F49" s="14" t="s">
        <v>46</v>
      </c>
      <c r="G49" s="14" t="s">
        <v>46</v>
      </c>
    </row>
    <row r="50" spans="2:7" x14ac:dyDescent="0.3">
      <c r="B50" s="17" t="s">
        <v>37</v>
      </c>
      <c r="C50" s="7">
        <f t="shared" si="6"/>
        <v>49.41</v>
      </c>
      <c r="D50" s="7">
        <f t="shared" si="7"/>
        <v>49.41</v>
      </c>
      <c r="E50" s="7">
        <f t="shared" si="8"/>
        <v>53.991</v>
      </c>
      <c r="F50" s="7">
        <f t="shared" si="9"/>
        <v>58.410000000000004</v>
      </c>
      <c r="G50" s="7">
        <f t="shared" si="10"/>
        <v>53.991</v>
      </c>
    </row>
    <row r="51" spans="2:7" x14ac:dyDescent="0.3">
      <c r="B51" s="17" t="s">
        <v>38</v>
      </c>
      <c r="C51" s="7">
        <f t="shared" si="6"/>
        <v>71.100000000000009</v>
      </c>
      <c r="D51" s="7">
        <f t="shared" si="7"/>
        <v>71.100000000000009</v>
      </c>
      <c r="E51" s="7">
        <f t="shared" si="8"/>
        <v>80.100000000000009</v>
      </c>
      <c r="F51" s="7">
        <f t="shared" si="9"/>
        <v>89.100000000000009</v>
      </c>
      <c r="G51" s="7">
        <f t="shared" si="10"/>
        <v>80.100000000000009</v>
      </c>
    </row>
    <row r="52" spans="2:7" x14ac:dyDescent="0.3">
      <c r="B52" s="17" t="s">
        <v>39</v>
      </c>
      <c r="C52" s="7">
        <f t="shared" si="6"/>
        <v>62.1</v>
      </c>
      <c r="D52" s="7">
        <f t="shared" si="7"/>
        <v>62.1</v>
      </c>
      <c r="E52" s="7">
        <f t="shared" si="8"/>
        <v>71.010000000000005</v>
      </c>
      <c r="F52" s="7">
        <f t="shared" si="9"/>
        <v>80.010000000000005</v>
      </c>
      <c r="G52" s="7">
        <f t="shared" si="10"/>
        <v>71.100000000000009</v>
      </c>
    </row>
  </sheetData>
  <mergeCells count="2">
    <mergeCell ref="B19:G19"/>
    <mergeCell ref="B37:G3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POLÍTICA COMERCIAL Out24</vt:lpstr>
      <vt:lpstr>POLÍTICA COMERCIAL Nov24</vt:lpstr>
      <vt:lpstr>POLÍTICA COMERCIAL Out24 II</vt:lpstr>
      <vt:lpstr>POLÍTICA COMERCIAL Set24</vt:lpstr>
      <vt:lpstr>POLÍTICA COMERCIAL Agosto24</vt:lpstr>
      <vt:lpstr>POLÍTICA COMERCIAL Julho_24 </vt:lpstr>
      <vt:lpstr>POLÍTICA COMERCIAL Junho_24</vt:lpstr>
      <vt:lpstr>POLÍTICA COMERCIAL 2022</vt:lpstr>
      <vt:lpstr>POLÍTICA COMERCIAL 2023</vt:lpstr>
      <vt:lpstr>Comparativo JFA X Usina</vt:lpstr>
      <vt:lpstr>POLÍTICA COMERCIAL Maio_24</vt:lpstr>
      <vt:lpstr>POLÍTICA COMERCIAL Abril_24</vt:lpstr>
      <vt:lpstr>POLÍTICA COMERCIAL Mar24</vt:lpstr>
      <vt:lpstr>POLÍTICA COMERCIAL Fev24</vt:lpstr>
      <vt:lpstr>POLÍTICA COMERCIAL Jan24</vt:lpstr>
      <vt:lpstr>POLÍTICA COMERCIAL Dez03 Padrão</vt:lpstr>
      <vt:lpstr>POLÍTICA COMERCIAL Dez03</vt:lpstr>
      <vt:lpstr>POLÍTICA COMERCIAL NOV_23 </vt:lpstr>
      <vt:lpstr>POLÍTICA COMERCIAL OUT_23 </vt:lpstr>
      <vt:lpstr>POLÍTICA COMERCIAL SET_23</vt:lpstr>
      <vt:lpstr>PAINEL DE AÇÕES -Set3 </vt:lpstr>
      <vt:lpstr>POLÍTICA COMERCIAL AGOSTO_2003 </vt:lpstr>
      <vt:lpstr>POLÍTICA COMERCIAL JULHO_2023</vt:lpstr>
      <vt:lpstr>POLÍTICA COMERCIAL 2023_LITE</vt:lpstr>
      <vt:lpstr>PAINEL DE AÇÕES - Agosto23 </vt:lpstr>
      <vt:lpstr>PAINEL DE AÇÕES - Julho23 II</vt:lpstr>
      <vt:lpstr>PAINEL DE AÇÕES - Julho23</vt:lpstr>
      <vt:lpstr>PAINEL DE AÇÕES - Junho23</vt:lpstr>
      <vt:lpstr>PAINEL DE AÇÕES - Maio23</vt:lpstr>
      <vt:lpstr>PAINEL DE AÇÕES - ABR_23 </vt:lpstr>
      <vt:lpstr>PAINEL DE AÇÕES - MAR_23 - LITE</vt:lpstr>
      <vt:lpstr>PAINEL DE AÇÕES - MAR_23</vt:lpstr>
      <vt:lpstr>PAINEL DE AÇÕES - FEV_23</vt:lpstr>
      <vt:lpstr>PAINEL DE AÇÕES - OUTUBRO_22</vt:lpstr>
      <vt:lpstr>PAINEL DE AÇÕES - NOVEMBRO_ (2</vt:lpstr>
      <vt:lpstr>PAINEL DE AÇÕES - DEZEMBRO_ (2</vt:lpstr>
      <vt:lpstr>PAINEL DE AÇÕES - JAN_23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Barto</dc:creator>
  <cp:lastModifiedBy>User</cp:lastModifiedBy>
  <dcterms:created xsi:type="dcterms:W3CDTF">2022-10-04T17:13:00Z</dcterms:created>
  <dcterms:modified xsi:type="dcterms:W3CDTF">2024-11-12T13:53:26Z</dcterms:modified>
</cp:coreProperties>
</file>